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60"/>
  </bookViews>
  <sheets>
    <sheet name="算定調書（駐車場整備地区、商業地区、近隣商業地域）" sheetId="1" r:id="rId1"/>
    <sheet name="共同住宅の住戸数計算" sheetId="2" r:id="rId2"/>
  </sheets>
  <definedNames>
    <definedName name="_xlnm.Print_Area" localSheetId="1">共同住宅の住戸数計算!$A$1:$D$11</definedName>
    <definedName name="_xlnm.Print_Area" localSheetId="0">'算定調書（駐車場整備地区、商業地区、近隣商業地域）'!$A$1:$K$133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G19" i="1" l="1"/>
  <c r="F10" i="1"/>
  <c r="E5" i="2"/>
  <c r="E7" i="2" l="1"/>
  <c r="C11" i="2" s="1"/>
  <c r="G20" i="1" s="1"/>
  <c r="G21" i="1" s="1"/>
  <c r="D14" i="1" l="1"/>
  <c r="D17" i="1" s="1"/>
  <c r="F13" i="1" l="1"/>
  <c r="J13" i="1" s="1"/>
  <c r="F9" i="1"/>
  <c r="J9" i="1" s="1"/>
  <c r="F7" i="1"/>
  <c r="J7" i="1" s="1"/>
  <c r="J10" i="1"/>
  <c r="F12" i="1"/>
  <c r="J12" i="1" s="1"/>
  <c r="F8" i="1"/>
  <c r="J8" i="1" s="1"/>
  <c r="F11" i="1"/>
  <c r="J11" i="1" s="1"/>
  <c r="C18" i="1"/>
  <c r="E36" i="1" l="1"/>
  <c r="J32" i="1"/>
  <c r="D35" i="1"/>
  <c r="D33" i="1"/>
  <c r="J35" i="1"/>
  <c r="J33" i="1"/>
  <c r="D34" i="1"/>
  <c r="J34" i="1"/>
  <c r="I24" i="1"/>
  <c r="J36" i="1" l="1"/>
  <c r="J38" i="1" s="1"/>
  <c r="J26" i="1"/>
  <c r="D53" i="1" s="1"/>
  <c r="G77" i="1" l="1"/>
  <c r="J77" i="1" s="1"/>
  <c r="G106" i="1"/>
  <c r="J106" i="1" s="1"/>
  <c r="E44" i="1"/>
  <c r="C42" i="1"/>
  <c r="D63" i="1"/>
  <c r="C46" i="1"/>
  <c r="D61" i="1"/>
  <c r="D111" i="1" l="1"/>
  <c r="D122" i="1"/>
  <c r="D113" i="1"/>
  <c r="D84" i="1"/>
  <c r="D86" i="1"/>
  <c r="D98" i="1"/>
  <c r="D88" i="1"/>
  <c r="D82" i="1"/>
  <c r="D100" i="1"/>
  <c r="H100" i="1" s="1"/>
  <c r="D124" i="1"/>
  <c r="H124" i="1" s="1"/>
  <c r="C47" i="1"/>
  <c r="I63" i="1"/>
  <c r="D89" i="1" l="1"/>
  <c r="D101" i="1" s="1"/>
  <c r="H101" i="1" s="1"/>
  <c r="J102" i="1" s="1"/>
  <c r="D114" i="1"/>
  <c r="D125" i="1" s="1"/>
  <c r="H125" i="1" s="1"/>
  <c r="J126" i="1" s="1"/>
  <c r="I130" i="1" s="1"/>
  <c r="D56" i="1"/>
  <c r="H56" i="1" s="1"/>
  <c r="D57" i="1"/>
  <c r="H57" i="1" s="1"/>
  <c r="I59" i="1" l="1"/>
  <c r="C66" i="1" s="1"/>
  <c r="G130" i="1" s="1"/>
  <c r="C71" i="1" l="1"/>
  <c r="B130" i="1" s="1"/>
  <c r="C73" i="1" l="1"/>
  <c r="E130" i="1" s="1"/>
</calcChain>
</file>

<file path=xl/sharedStrings.xml><?xml version="1.0" encoding="utf-8"?>
<sst xmlns="http://schemas.openxmlformats.org/spreadsheetml/2006/main" count="229" uniqueCount="154">
  <si>
    <t>附置義務台数算定調書（１）</t>
    <rPh sb="0" eb="2">
      <t>フチ</t>
    </rPh>
    <rPh sb="2" eb="4">
      <t>ギム</t>
    </rPh>
    <rPh sb="4" eb="6">
      <t>ダイスウ</t>
    </rPh>
    <rPh sb="6" eb="8">
      <t>サンテイ</t>
    </rPh>
    <rPh sb="8" eb="10">
      <t>チョウショ</t>
    </rPh>
    <phoneticPr fontId="1"/>
  </si>
  <si>
    <t>（駐車場整備地区、商業地域、近隣商業地域）</t>
    <rPh sb="1" eb="4">
      <t>チュウシャジョウ</t>
    </rPh>
    <rPh sb="4" eb="6">
      <t>セイビ</t>
    </rPh>
    <rPh sb="6" eb="8">
      <t>チク</t>
    </rPh>
    <rPh sb="9" eb="11">
      <t>ショウギョウ</t>
    </rPh>
    <rPh sb="11" eb="13">
      <t>チイキ</t>
    </rPh>
    <rPh sb="14" eb="16">
      <t>キンリン</t>
    </rPh>
    <rPh sb="16" eb="18">
      <t>ショウギョウ</t>
    </rPh>
    <rPh sb="18" eb="20">
      <t>チイキ</t>
    </rPh>
    <phoneticPr fontId="1"/>
  </si>
  <si>
    <t>１　建築物の概要</t>
    <rPh sb="2" eb="5">
      <t>ケンチクブツ</t>
    </rPh>
    <rPh sb="6" eb="8">
      <t>ガイヨウ</t>
    </rPh>
    <phoneticPr fontId="1"/>
  </si>
  <si>
    <t>（小数点第３位を四捨五入）</t>
    <rPh sb="1" eb="4">
      <t>ショウスウテン</t>
    </rPh>
    <rPh sb="4" eb="5">
      <t>ダイ</t>
    </rPh>
    <rPh sb="6" eb="7">
      <t>イ</t>
    </rPh>
    <rPh sb="8" eb="12">
      <t>シシャゴニュウ</t>
    </rPh>
    <phoneticPr fontId="1"/>
  </si>
  <si>
    <t>名称</t>
    <rPh sb="0" eb="2">
      <t>メイショウ</t>
    </rPh>
    <phoneticPr fontId="1"/>
  </si>
  <si>
    <t>地域地区</t>
    <rPh sb="0" eb="2">
      <t>チイキ</t>
    </rPh>
    <rPh sb="2" eb="4">
      <t>チク</t>
    </rPh>
    <phoneticPr fontId="1"/>
  </si>
  <si>
    <t>建築物の用途区分</t>
    <rPh sb="0" eb="3">
      <t>ケンチクブツ</t>
    </rPh>
    <rPh sb="4" eb="6">
      <t>ヨウト</t>
    </rPh>
    <rPh sb="6" eb="8">
      <t>クブン</t>
    </rPh>
    <phoneticPr fontId="1"/>
  </si>
  <si>
    <t>床面積</t>
    <rPh sb="0" eb="3">
      <t>ユカメンセキ</t>
    </rPh>
    <phoneticPr fontId="1"/>
  </si>
  <si>
    <t>共通用途部分の按分面積</t>
    <rPh sb="0" eb="2">
      <t>キョウツウ</t>
    </rPh>
    <rPh sb="2" eb="4">
      <t>ヨウト</t>
    </rPh>
    <rPh sb="4" eb="6">
      <t>ブブン</t>
    </rPh>
    <rPh sb="7" eb="9">
      <t>アンブン</t>
    </rPh>
    <rPh sb="9" eb="11">
      <t>メンセキ</t>
    </rPh>
    <phoneticPr fontId="1"/>
  </si>
  <si>
    <t>合計面積</t>
    <rPh sb="0" eb="2">
      <t>ゴウケイ</t>
    </rPh>
    <rPh sb="2" eb="4">
      <t>メンセキ</t>
    </rPh>
    <phoneticPr fontId="1"/>
  </si>
  <si>
    <t>特
定
用
途</t>
    <rPh sb="0" eb="1">
      <t>トク</t>
    </rPh>
    <rPh sb="2" eb="3">
      <t>ジョウ</t>
    </rPh>
    <rPh sb="4" eb="5">
      <t>ヨウ</t>
    </rPh>
    <rPh sb="6" eb="7">
      <t>ト</t>
    </rPh>
    <phoneticPr fontId="1"/>
  </si>
  <si>
    <t>非
特
定
用
途</t>
    <rPh sb="0" eb="1">
      <t>ヒ</t>
    </rPh>
    <rPh sb="2" eb="3">
      <t>トッ</t>
    </rPh>
    <rPh sb="4" eb="5">
      <t>ジョウ</t>
    </rPh>
    <rPh sb="6" eb="7">
      <t>ヨウ</t>
    </rPh>
    <rPh sb="8" eb="9">
      <t>ト</t>
    </rPh>
    <phoneticPr fontId="1"/>
  </si>
  <si>
    <t>百貨店その他の店舗</t>
    <rPh sb="0" eb="3">
      <t>ヒャッカテン</t>
    </rPh>
    <rPh sb="5" eb="6">
      <t>タ</t>
    </rPh>
    <rPh sb="7" eb="9">
      <t>テンポ</t>
    </rPh>
    <phoneticPr fontId="1"/>
  </si>
  <si>
    <t>事務所</t>
    <rPh sb="0" eb="2">
      <t>ジム</t>
    </rPh>
    <rPh sb="2" eb="3">
      <t>ショ</t>
    </rPh>
    <phoneticPr fontId="1"/>
  </si>
  <si>
    <t>倉庫</t>
    <rPh sb="0" eb="2">
      <t>ソウコ</t>
    </rPh>
    <phoneticPr fontId="1"/>
  </si>
  <si>
    <t>その他の特定用途</t>
    <rPh sb="2" eb="3">
      <t>タ</t>
    </rPh>
    <rPh sb="4" eb="6">
      <t>トクテイ</t>
    </rPh>
    <rPh sb="6" eb="8">
      <t>ヨウト</t>
    </rPh>
    <phoneticPr fontId="1"/>
  </si>
  <si>
    <t>共同住宅等以外</t>
    <rPh sb="0" eb="2">
      <t>キョウドウ</t>
    </rPh>
    <rPh sb="2" eb="4">
      <t>ジュウタク</t>
    </rPh>
    <rPh sb="4" eb="5">
      <t>トウ</t>
    </rPh>
    <rPh sb="5" eb="7">
      <t>イガイ</t>
    </rPh>
    <phoneticPr fontId="1"/>
  </si>
  <si>
    <t>共同住宅</t>
    <rPh sb="0" eb="2">
      <t>キョウドウ</t>
    </rPh>
    <rPh sb="2" eb="4">
      <t>ジュウタク</t>
    </rPh>
    <phoneticPr fontId="1"/>
  </si>
  <si>
    <t>規則第７条の部分</t>
    <rPh sb="0" eb="2">
      <t>キソク</t>
    </rPh>
    <rPh sb="2" eb="3">
      <t>ダイ</t>
    </rPh>
    <rPh sb="4" eb="5">
      <t>ジョウ</t>
    </rPh>
    <rPh sb="6" eb="8">
      <t>ブブン</t>
    </rPh>
    <phoneticPr fontId="1"/>
  </si>
  <si>
    <t>小計</t>
    <rPh sb="0" eb="2">
      <t>ショウケイ</t>
    </rPh>
    <phoneticPr fontId="1"/>
  </si>
  <si>
    <t>共通用途部分</t>
    <rPh sb="0" eb="2">
      <t>キョウツウ</t>
    </rPh>
    <rPh sb="2" eb="4">
      <t>ヨウト</t>
    </rPh>
    <rPh sb="4" eb="6">
      <t>ブブン</t>
    </rPh>
    <phoneticPr fontId="1"/>
  </si>
  <si>
    <t>駐車場部分等の床面積</t>
    <rPh sb="0" eb="3">
      <t>チュウシャジョウ</t>
    </rPh>
    <rPh sb="3" eb="5">
      <t>ブブン</t>
    </rPh>
    <rPh sb="5" eb="6">
      <t>トウ</t>
    </rPh>
    <rPh sb="7" eb="10">
      <t>ユカメンセキ</t>
    </rPh>
    <phoneticPr fontId="1"/>
  </si>
  <si>
    <t>駐車場部分等を除く床面積</t>
    <rPh sb="0" eb="3">
      <t>チュウシャジョウ</t>
    </rPh>
    <rPh sb="3" eb="5">
      <t>ブブン</t>
    </rPh>
    <rPh sb="5" eb="6">
      <t>トウ</t>
    </rPh>
    <rPh sb="7" eb="8">
      <t>ノゾ</t>
    </rPh>
    <rPh sb="9" eb="12">
      <t>ユカメンセキ</t>
    </rPh>
    <phoneticPr fontId="1"/>
  </si>
  <si>
    <t>合計</t>
    <rPh sb="0" eb="2">
      <t>ゴウケイ</t>
    </rPh>
    <phoneticPr fontId="1"/>
  </si>
  <si>
    <t>㎡</t>
  </si>
  <si>
    <t>㎡</t>
    <phoneticPr fontId="1"/>
  </si>
  <si>
    <t>戸</t>
  </si>
  <si>
    <t>戸</t>
    <rPh sb="0" eb="1">
      <t>コ</t>
    </rPh>
    <phoneticPr fontId="1"/>
  </si>
  <si>
    <t>２　条例対象規模の判定</t>
    <rPh sb="2" eb="4">
      <t>ジョウレイ</t>
    </rPh>
    <rPh sb="4" eb="6">
      <t>タイショウ</t>
    </rPh>
    <rPh sb="6" eb="8">
      <t>キボ</t>
    </rPh>
    <rPh sb="9" eb="11">
      <t>ハンテイ</t>
    </rPh>
    <phoneticPr fontId="1"/>
  </si>
  <si>
    <t>３　大規模事務所の特例（小数点第３位を四捨五入）</t>
    <rPh sb="2" eb="5">
      <t>ダイキボ</t>
    </rPh>
    <rPh sb="5" eb="7">
      <t>ジム</t>
    </rPh>
    <rPh sb="7" eb="8">
      <t>ショ</t>
    </rPh>
    <rPh sb="9" eb="11">
      <t>トクレイ</t>
    </rPh>
    <rPh sb="12" eb="15">
      <t>ショウスウテン</t>
    </rPh>
    <rPh sb="15" eb="16">
      <t>ダイ</t>
    </rPh>
    <rPh sb="17" eb="18">
      <t>イ</t>
    </rPh>
    <rPh sb="19" eb="23">
      <t>シシャゴニュウ</t>
    </rPh>
    <phoneticPr fontId="1"/>
  </si>
  <si>
    <t>事務所の規模</t>
    <rPh sb="0" eb="2">
      <t>ジム</t>
    </rPh>
    <rPh sb="2" eb="3">
      <t>ショ</t>
    </rPh>
    <rPh sb="4" eb="6">
      <t>キボ</t>
    </rPh>
    <phoneticPr fontId="1"/>
  </si>
  <si>
    <t>床面積×逓減率</t>
    <rPh sb="0" eb="3">
      <t>ユカメンセキ</t>
    </rPh>
    <rPh sb="4" eb="6">
      <t>テイゲン</t>
    </rPh>
    <rPh sb="6" eb="7">
      <t>リツ</t>
    </rPh>
    <phoneticPr fontId="1"/>
  </si>
  <si>
    <t>逓減措置後の面積</t>
    <rPh sb="0" eb="2">
      <t>テイゲン</t>
    </rPh>
    <rPh sb="2" eb="4">
      <t>ソチ</t>
    </rPh>
    <rPh sb="4" eb="5">
      <t>ゴ</t>
    </rPh>
    <rPh sb="6" eb="8">
      <t>メンセキ</t>
    </rPh>
    <phoneticPr fontId="1"/>
  </si>
  <si>
    <t>10,000㎡以下の部分</t>
    <rPh sb="7" eb="9">
      <t>イカ</t>
    </rPh>
    <rPh sb="10" eb="12">
      <t>ブブン</t>
    </rPh>
    <phoneticPr fontId="1"/>
  </si>
  <si>
    <t>10,000㎡を超え50,000㎡以下の部分</t>
    <rPh sb="8" eb="9">
      <t>コ</t>
    </rPh>
    <rPh sb="17" eb="19">
      <t>イカ</t>
    </rPh>
    <rPh sb="20" eb="22">
      <t>ブブン</t>
    </rPh>
    <phoneticPr fontId="1"/>
  </si>
  <si>
    <t>50,000㎡を超え100,000㎡以下の部分</t>
    <rPh sb="8" eb="9">
      <t>コ</t>
    </rPh>
    <rPh sb="18" eb="20">
      <t>イカ</t>
    </rPh>
    <rPh sb="21" eb="23">
      <t>ブブン</t>
    </rPh>
    <phoneticPr fontId="1"/>
  </si>
  <si>
    <t>100,000㎡を超える部分</t>
    <rPh sb="9" eb="10">
      <t>コ</t>
    </rPh>
    <rPh sb="12" eb="14">
      <t>ブブン</t>
    </rPh>
    <phoneticPr fontId="1"/>
  </si>
  <si>
    <t>×</t>
    <phoneticPr fontId="1"/>
  </si>
  <si>
    <t>㎡</t>
    <phoneticPr fontId="1"/>
  </si>
  <si>
    <t>㎡</t>
    <phoneticPr fontId="1"/>
  </si>
  <si>
    <t>４　特定自動車の附置義務台数の算定</t>
    <rPh sb="2" eb="4">
      <t>トクテイ</t>
    </rPh>
    <rPh sb="4" eb="7">
      <t>ジドウシャ</t>
    </rPh>
    <rPh sb="8" eb="10">
      <t>フチ</t>
    </rPh>
    <rPh sb="10" eb="12">
      <t>ギム</t>
    </rPh>
    <rPh sb="12" eb="14">
      <t>ダイスウ</t>
    </rPh>
    <rPh sb="15" eb="17">
      <t>サンテイ</t>
    </rPh>
    <phoneticPr fontId="1"/>
  </si>
  <si>
    <t>（１）共同住宅、長屋、寄宿舎又は下宿以外の用途に供する部分</t>
    <rPh sb="3" eb="5">
      <t>キョウドウ</t>
    </rPh>
    <rPh sb="5" eb="7">
      <t>ジュウタク</t>
    </rPh>
    <rPh sb="8" eb="10">
      <t>ナガヤ</t>
    </rPh>
    <rPh sb="11" eb="14">
      <t>キシュクシャ</t>
    </rPh>
    <rPh sb="14" eb="15">
      <t>マタ</t>
    </rPh>
    <rPh sb="16" eb="18">
      <t>ゲシュク</t>
    </rPh>
    <rPh sb="18" eb="20">
      <t>イガイ</t>
    </rPh>
    <rPh sb="21" eb="23">
      <t>ヨウト</t>
    </rPh>
    <rPh sb="24" eb="25">
      <t>キョウ</t>
    </rPh>
    <rPh sb="27" eb="29">
      <t>ブブン</t>
    </rPh>
    <phoneticPr fontId="1"/>
  </si>
  <si>
    <t>　　ア　百貨店その他の店舗の用途に供する部分</t>
    <rPh sb="4" eb="7">
      <t>ヒャッカテン</t>
    </rPh>
    <rPh sb="9" eb="10">
      <t>タ</t>
    </rPh>
    <rPh sb="11" eb="13">
      <t>テンポ</t>
    </rPh>
    <rPh sb="14" eb="16">
      <t>ヨウト</t>
    </rPh>
    <rPh sb="17" eb="18">
      <t>キョウ</t>
    </rPh>
    <rPh sb="20" eb="22">
      <t>ブブン</t>
    </rPh>
    <phoneticPr fontId="1"/>
  </si>
  <si>
    <t>台</t>
    <rPh sb="0" eb="1">
      <t>ダイ</t>
    </rPh>
    <phoneticPr fontId="1"/>
  </si>
  <si>
    <t>台（小数点以下第３位を四捨五入）</t>
    <rPh sb="0" eb="1">
      <t>ダイ</t>
    </rPh>
    <rPh sb="2" eb="5">
      <t>ショウスウテン</t>
    </rPh>
    <rPh sb="5" eb="7">
      <t>イカ</t>
    </rPh>
    <rPh sb="7" eb="8">
      <t>ダイ</t>
    </rPh>
    <rPh sb="9" eb="10">
      <t>イ</t>
    </rPh>
    <rPh sb="11" eb="15">
      <t>シシャゴニュウ</t>
    </rPh>
    <phoneticPr fontId="1"/>
  </si>
  <si>
    <t>　　イ　事務所、倉庫、その他の特定用途に供する部分</t>
    <rPh sb="4" eb="6">
      <t>ジム</t>
    </rPh>
    <rPh sb="6" eb="7">
      <t>ショ</t>
    </rPh>
    <rPh sb="8" eb="10">
      <t>ソウコ</t>
    </rPh>
    <rPh sb="13" eb="14">
      <t>タ</t>
    </rPh>
    <rPh sb="15" eb="17">
      <t>トクテイ</t>
    </rPh>
    <rPh sb="17" eb="19">
      <t>ヨウト</t>
    </rPh>
    <rPh sb="20" eb="21">
      <t>キョウ</t>
    </rPh>
    <rPh sb="23" eb="25">
      <t>ブブン</t>
    </rPh>
    <phoneticPr fontId="1"/>
  </si>
  <si>
    <t>　　ウ　共同住宅、長屋、寄宿舎又は下宿以外の非特定用途に供する部分</t>
    <rPh sb="4" eb="6">
      <t>キョウドウ</t>
    </rPh>
    <rPh sb="6" eb="8">
      <t>ジュウタク</t>
    </rPh>
    <rPh sb="9" eb="11">
      <t>ナガヤ</t>
    </rPh>
    <rPh sb="12" eb="15">
      <t>キシュクシャ</t>
    </rPh>
    <rPh sb="15" eb="16">
      <t>マタ</t>
    </rPh>
    <rPh sb="17" eb="19">
      <t>ゲシュク</t>
    </rPh>
    <rPh sb="19" eb="21">
      <t>イガイ</t>
    </rPh>
    <rPh sb="22" eb="23">
      <t>ヒ</t>
    </rPh>
    <rPh sb="23" eb="25">
      <t>トクテイ</t>
    </rPh>
    <rPh sb="25" eb="27">
      <t>ヨウト</t>
    </rPh>
    <rPh sb="28" eb="29">
      <t>キョウ</t>
    </rPh>
    <rPh sb="31" eb="33">
      <t>ブブン</t>
    </rPh>
    <phoneticPr fontId="1"/>
  </si>
  <si>
    <t>緩和率＝1-</t>
    <rPh sb="0" eb="2">
      <t>カンワ</t>
    </rPh>
    <rPh sb="2" eb="3">
      <t>リツ</t>
    </rPh>
    <phoneticPr fontId="1"/>
  </si>
  <si>
    <t>（小数点以下第６位を四捨五入）</t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phoneticPr fontId="1"/>
  </si>
  <si>
    <t>　　カ　共同住宅等を除いた用途に供する部分の附置義務台数</t>
    <phoneticPr fontId="1"/>
  </si>
  <si>
    <t>（２）共同住宅、長屋、寄宿舎又は下宿の用途に供する部分</t>
    <rPh sb="3" eb="5">
      <t>キョウドウ</t>
    </rPh>
    <rPh sb="5" eb="7">
      <t>ジュウタク</t>
    </rPh>
    <rPh sb="8" eb="10">
      <t>ナガヤ</t>
    </rPh>
    <rPh sb="11" eb="14">
      <t>キシュクシャ</t>
    </rPh>
    <rPh sb="14" eb="15">
      <t>マタ</t>
    </rPh>
    <rPh sb="16" eb="18">
      <t>ゲシュク</t>
    </rPh>
    <rPh sb="19" eb="21">
      <t>ヨウト</t>
    </rPh>
    <rPh sb="22" eb="23">
      <t>キョウ</t>
    </rPh>
    <rPh sb="25" eb="27">
      <t>ブブン</t>
    </rPh>
    <phoneticPr fontId="1"/>
  </si>
  <si>
    <t>　・荷さばきの用に供することができる場所がある場合</t>
    <rPh sb="2" eb="3">
      <t>ニ</t>
    </rPh>
    <rPh sb="7" eb="8">
      <t>ヨウ</t>
    </rPh>
    <rPh sb="9" eb="10">
      <t>キョウ</t>
    </rPh>
    <rPh sb="18" eb="20">
      <t>バショ</t>
    </rPh>
    <rPh sb="23" eb="25">
      <t>バアイ</t>
    </rPh>
    <phoneticPr fontId="1"/>
  </si>
  <si>
    <t>台（小数点以下切上げ）</t>
    <rPh sb="0" eb="1">
      <t>ダイ</t>
    </rPh>
    <rPh sb="2" eb="5">
      <t>ショウスウテン</t>
    </rPh>
    <rPh sb="5" eb="7">
      <t>イカ</t>
    </rPh>
    <rPh sb="7" eb="9">
      <t>キリア</t>
    </rPh>
    <phoneticPr fontId="1"/>
  </si>
  <si>
    <t>　・荷さばきの用に供することができる場所がない場合</t>
    <rPh sb="2" eb="3">
      <t>ニ</t>
    </rPh>
    <rPh sb="7" eb="8">
      <t>ヨウ</t>
    </rPh>
    <rPh sb="9" eb="10">
      <t>キョウ</t>
    </rPh>
    <rPh sb="18" eb="20">
      <t>バショ</t>
    </rPh>
    <rPh sb="23" eb="25">
      <t>バアイ</t>
    </rPh>
    <phoneticPr fontId="1"/>
  </si>
  <si>
    <t>（３）特定自動車用駐車施設の附置義務台数合計</t>
    <rPh sb="3" eb="5">
      <t>トクテイ</t>
    </rPh>
    <rPh sb="5" eb="8">
      <t>ジドウシャ</t>
    </rPh>
    <rPh sb="8" eb="9">
      <t>ヨウ</t>
    </rPh>
    <rPh sb="9" eb="11">
      <t>チュウシャ</t>
    </rPh>
    <rPh sb="11" eb="13">
      <t>シセツ</t>
    </rPh>
    <rPh sb="14" eb="16">
      <t>フチ</t>
    </rPh>
    <rPh sb="16" eb="18">
      <t>ギム</t>
    </rPh>
    <rPh sb="18" eb="20">
      <t>ダイスウ</t>
    </rPh>
    <rPh sb="20" eb="22">
      <t>ゴウケイ</t>
    </rPh>
    <phoneticPr fontId="1"/>
  </si>
  <si>
    <t>５　特定自動車用駐車施設の規模別台数の算定</t>
    <rPh sb="2" eb="4">
      <t>トクテイ</t>
    </rPh>
    <rPh sb="4" eb="7">
      <t>ジドウシャ</t>
    </rPh>
    <rPh sb="7" eb="8">
      <t>ヨウ</t>
    </rPh>
    <rPh sb="8" eb="10">
      <t>チュウシャ</t>
    </rPh>
    <rPh sb="10" eb="12">
      <t>シセツ</t>
    </rPh>
    <rPh sb="13" eb="15">
      <t>キボ</t>
    </rPh>
    <rPh sb="15" eb="16">
      <t>ベツ</t>
    </rPh>
    <rPh sb="16" eb="18">
      <t>ダイスウ</t>
    </rPh>
    <rPh sb="19" eb="21">
      <t>サンテイ</t>
    </rPh>
    <phoneticPr fontId="1"/>
  </si>
  <si>
    <t>（１）普通乗用車用　幅2.5m×奥行き6.0m　以上</t>
    <rPh sb="3" eb="5">
      <t>フツウ</t>
    </rPh>
    <rPh sb="5" eb="9">
      <t>ジョウヨウシャヨウ</t>
    </rPh>
    <rPh sb="10" eb="11">
      <t>ハバ</t>
    </rPh>
    <rPh sb="16" eb="18">
      <t>オクユ</t>
    </rPh>
    <rPh sb="24" eb="26">
      <t>イジョウ</t>
    </rPh>
    <phoneticPr fontId="1"/>
  </si>
  <si>
    <t>（２）小型自動車用　幅2.3m×奥行き5.0m　以上</t>
    <rPh sb="3" eb="5">
      <t>コガタ</t>
    </rPh>
    <rPh sb="5" eb="8">
      <t>ジドウシャ</t>
    </rPh>
    <rPh sb="8" eb="9">
      <t>ヨウ</t>
    </rPh>
    <rPh sb="10" eb="11">
      <t>ハバ</t>
    </rPh>
    <rPh sb="16" eb="18">
      <t>オクユ</t>
    </rPh>
    <rPh sb="24" eb="26">
      <t>イジョウ</t>
    </rPh>
    <phoneticPr fontId="1"/>
  </si>
  <si>
    <t>６　荷さばき用駐車施設の附置義務の算定</t>
    <rPh sb="2" eb="3">
      <t>ニ</t>
    </rPh>
    <rPh sb="6" eb="7">
      <t>ヨウ</t>
    </rPh>
    <rPh sb="7" eb="9">
      <t>チュウシャ</t>
    </rPh>
    <rPh sb="9" eb="11">
      <t>シセツ</t>
    </rPh>
    <rPh sb="12" eb="14">
      <t>フチ</t>
    </rPh>
    <rPh sb="14" eb="16">
      <t>ギム</t>
    </rPh>
    <rPh sb="17" eb="19">
      <t>サンテイ</t>
    </rPh>
    <phoneticPr fontId="1"/>
  </si>
  <si>
    <t>　　イ　事務所の用途に供する部分</t>
    <rPh sb="4" eb="6">
      <t>ジム</t>
    </rPh>
    <rPh sb="6" eb="7">
      <t>ショ</t>
    </rPh>
    <rPh sb="8" eb="10">
      <t>ヨウト</t>
    </rPh>
    <rPh sb="11" eb="12">
      <t>キョウ</t>
    </rPh>
    <rPh sb="14" eb="16">
      <t>ブブン</t>
    </rPh>
    <phoneticPr fontId="1"/>
  </si>
  <si>
    <t>　　ウ　倉庫の用途に供する部分</t>
    <rPh sb="4" eb="6">
      <t>ソウコ</t>
    </rPh>
    <rPh sb="7" eb="9">
      <t>ヨウト</t>
    </rPh>
    <rPh sb="10" eb="11">
      <t>キョウ</t>
    </rPh>
    <rPh sb="13" eb="15">
      <t>ブブン</t>
    </rPh>
    <phoneticPr fontId="1"/>
  </si>
  <si>
    <t>　　エ　その他の特定用途に供する部分</t>
    <rPh sb="6" eb="7">
      <t>タ</t>
    </rPh>
    <rPh sb="8" eb="10">
      <t>トクテイ</t>
    </rPh>
    <rPh sb="10" eb="12">
      <t>ヨウト</t>
    </rPh>
    <rPh sb="13" eb="14">
      <t>キョウ</t>
    </rPh>
    <rPh sb="16" eb="18">
      <t>ブブン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</si>
  <si>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</si>
  <si>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</si>
  <si>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</si>
  <si>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</si>
  <si>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</si>
  <si>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</si>
  <si>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</si>
  <si>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</si>
  <si>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</si>
  <si>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９</t>
    <phoneticPr fontId="1"/>
  </si>
  <si>
    <r>
      <t>（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）+〔（</t>
    </r>
    <r>
      <rPr>
        <b/>
        <u/>
        <sz val="11"/>
        <color rgb="FFFF0000"/>
        <rFont val="ＭＳ 明朝"/>
        <family val="1"/>
        <charset val="128"/>
      </rPr>
      <t>５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６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７</t>
    </r>
    <r>
      <rPr>
        <sz val="11"/>
        <color theme="1"/>
        <rFont val="ＭＳ 明朝"/>
        <family val="1"/>
        <charset val="128"/>
      </rPr>
      <t>）×0.75〕（小数点第３位を四捨五入）＝</t>
    </r>
    <rPh sb="25" eb="28">
      <t>ショウスウテン</t>
    </rPh>
    <rPh sb="28" eb="29">
      <t>ダイ</t>
    </rPh>
    <rPh sb="30" eb="31">
      <t>イ</t>
    </rPh>
    <rPh sb="32" eb="36">
      <t>シシャゴニュウ</t>
    </rPh>
    <phoneticPr fontId="1"/>
  </si>
  <si>
    <r>
      <t>・</t>
    </r>
    <r>
      <rPr>
        <b/>
        <u/>
        <sz val="11"/>
        <color rgb="FFFF0000"/>
        <rFont val="ＭＳ 明朝"/>
        <family val="1"/>
        <charset val="128"/>
      </rPr>
      <t>10</t>
    </r>
    <r>
      <rPr>
        <sz val="11"/>
        <color theme="1"/>
        <rFont val="ＭＳ 明朝"/>
        <family val="1"/>
        <charset val="128"/>
      </rPr>
      <t>の面積が1,500㎡を超える場合　⇒　条例の対象</t>
    </r>
    <rPh sb="4" eb="6">
      <t>メンセキ</t>
    </rPh>
    <rPh sb="14" eb="15">
      <t>コ</t>
    </rPh>
    <rPh sb="17" eb="19">
      <t>バアイ</t>
    </rPh>
    <rPh sb="22" eb="24">
      <t>ジョウレイ</t>
    </rPh>
    <rPh sb="25" eb="27">
      <t>タイショウ</t>
    </rPh>
    <phoneticPr fontId="1"/>
  </si>
  <si>
    <r>
      <t>・</t>
    </r>
    <r>
      <rPr>
        <b/>
        <u/>
        <sz val="11"/>
        <color rgb="FFFF0000"/>
        <rFont val="ＭＳ 明朝"/>
        <family val="1"/>
        <charset val="128"/>
      </rPr>
      <t>10</t>
    </r>
    <r>
      <rPr>
        <sz val="11"/>
        <color theme="1"/>
        <rFont val="ＭＳ 明朝"/>
        <family val="1"/>
        <charset val="128"/>
      </rPr>
      <t>の面積が1,500㎡以下の場合　⇒　条例の対象外</t>
    </r>
    <rPh sb="4" eb="6">
      <t>メンセキ</t>
    </rPh>
    <rPh sb="13" eb="15">
      <t>イカ</t>
    </rPh>
    <rPh sb="16" eb="18">
      <t>バアイ</t>
    </rPh>
    <rPh sb="21" eb="23">
      <t>ジョウレイ</t>
    </rPh>
    <rPh sb="24" eb="26">
      <t>タイショウ</t>
    </rPh>
    <rPh sb="26" eb="27">
      <t>ソト</t>
    </rPh>
    <phoneticPr fontId="1"/>
  </si>
  <si>
    <r>
      <t>　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の面積が10,000㎡を超える場合は、床面積に次の表により逓減し、逓減後の合計面積（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rgb="FFFF0000"/>
        <rFont val="ＭＳ 明朝"/>
        <family val="1"/>
        <charset val="128"/>
      </rPr>
      <t>’</t>
    </r>
    <r>
      <rPr>
        <sz val="11"/>
        <color theme="1"/>
        <rFont val="ＭＳ 明朝"/>
        <family val="1"/>
        <charset val="128"/>
      </rPr>
      <t>）</t>
    </r>
    <rPh sb="3" eb="5">
      <t>メンセキ</t>
    </rPh>
    <rPh sb="14" eb="15">
      <t>コ</t>
    </rPh>
    <rPh sb="17" eb="19">
      <t>バアイ</t>
    </rPh>
    <rPh sb="21" eb="24">
      <t>ユカメンセキ</t>
    </rPh>
    <rPh sb="25" eb="26">
      <t>ツギ</t>
    </rPh>
    <rPh sb="27" eb="28">
      <t>ヒョウ</t>
    </rPh>
    <rPh sb="31" eb="33">
      <t>テイゲン</t>
    </rPh>
    <rPh sb="35" eb="37">
      <t>テイゲン</t>
    </rPh>
    <rPh sb="37" eb="38">
      <t>ゴ</t>
    </rPh>
    <rPh sb="39" eb="41">
      <t>ゴウケイ</t>
    </rPh>
    <rPh sb="41" eb="43">
      <t>メンセキ</t>
    </rPh>
    <phoneticPr fontId="1"/>
  </si>
  <si>
    <r>
      <t>を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の面積とします。</t>
    </r>
    <rPh sb="3" eb="5">
      <t>メンセキ</t>
    </rPh>
    <phoneticPr fontId="1"/>
  </si>
  <si>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rgb="FFFF0000"/>
        <rFont val="ＭＳ 明朝"/>
        <family val="1"/>
        <charset val="128"/>
      </rPr>
      <t>’</t>
    </r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</si>
  <si>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÷300[㎡/台]＝</t>
    </r>
    <r>
      <rPr>
        <b/>
        <u/>
        <sz val="11"/>
        <color rgb="FFFF0000"/>
        <rFont val="ＭＳ 明朝"/>
        <family val="1"/>
        <charset val="128"/>
      </rPr>
      <t>11</t>
    </r>
    <rPh sb="11" eb="12">
      <t>ダイ</t>
    </rPh>
    <phoneticPr fontId="1"/>
  </si>
  <si>
    <r>
      <t>　　　（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）÷350[㎡/台]＝</t>
    </r>
    <r>
      <rPr>
        <b/>
        <u/>
        <sz val="11"/>
        <color rgb="FFFF0000"/>
        <rFont val="ＭＳ 明朝"/>
        <family val="1"/>
        <charset val="128"/>
      </rPr>
      <t>12</t>
    </r>
    <rPh sb="17" eb="18">
      <t>ダイ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</si>
  <si>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５</t>
    </r>
    <r>
      <rPr>
        <sz val="11"/>
        <color theme="1"/>
        <rFont val="ＭＳ 明朝"/>
        <family val="1"/>
        <charset val="128"/>
      </rPr>
      <t>÷600[㎡/台]＝</t>
    </r>
    <r>
      <rPr>
        <b/>
        <u/>
        <sz val="11"/>
        <color rgb="FFFF0000"/>
        <rFont val="ＭＳ 明朝"/>
        <family val="1"/>
        <charset val="128"/>
      </rPr>
      <t>13</t>
    </r>
    <rPh sb="11" eb="12">
      <t>ダイ</t>
    </rPh>
    <phoneticPr fontId="1"/>
  </si>
  <si>
    <r>
      <t>　　エ　小計</t>
    </r>
    <r>
      <rPr>
        <b/>
        <u/>
        <sz val="11"/>
        <color rgb="FFFF0000"/>
        <rFont val="ＭＳ 明朝"/>
        <family val="1"/>
        <charset val="128"/>
      </rPr>
      <t>11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12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13</t>
    </r>
    <r>
      <rPr>
        <sz val="11"/>
        <color theme="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14</t>
    </r>
    <rPh sb="4" eb="6">
      <t>ショウケイ</t>
    </rPh>
    <phoneticPr fontId="1"/>
  </si>
  <si>
    <r>
      <t>　　オ　</t>
    </r>
    <r>
      <rPr>
        <b/>
        <u/>
        <sz val="11"/>
        <color rgb="FFFF0000"/>
        <rFont val="ＭＳ 明朝"/>
        <family val="1"/>
        <charset val="128"/>
      </rPr>
      <t>８</t>
    </r>
    <r>
      <rPr>
        <sz val="11"/>
        <color theme="1"/>
        <rFont val="ＭＳ 明朝"/>
        <family val="1"/>
        <charset val="128"/>
      </rPr>
      <t>が6,000㎡未満の場合は、次により算定された緩和率を</t>
    </r>
    <r>
      <rPr>
        <b/>
        <u/>
        <sz val="11"/>
        <color rgb="FFFF0000"/>
        <rFont val="ＭＳ 明朝"/>
        <family val="1"/>
        <charset val="128"/>
      </rPr>
      <t>14</t>
    </r>
    <r>
      <rPr>
        <sz val="11"/>
        <color theme="1"/>
        <rFont val="ＭＳ 明朝"/>
        <family val="1"/>
        <charset val="128"/>
      </rPr>
      <t>に乗じます。</t>
    </r>
    <rPh sb="12" eb="14">
      <t>ミマン</t>
    </rPh>
    <rPh sb="15" eb="17">
      <t>バアイ</t>
    </rPh>
    <rPh sb="19" eb="20">
      <t>ツギ</t>
    </rPh>
    <rPh sb="23" eb="25">
      <t>サンテイ</t>
    </rPh>
    <rPh sb="28" eb="30">
      <t>カンワ</t>
    </rPh>
    <rPh sb="30" eb="31">
      <t>リツ</t>
    </rPh>
    <rPh sb="35" eb="36">
      <t>ジョウ</t>
    </rPh>
    <phoneticPr fontId="1"/>
  </si>
  <si>
    <r>
      <t>1,500㎡×(6,000㎡-</t>
    </r>
    <r>
      <rPr>
        <b/>
        <u/>
        <sz val="11"/>
        <color rgb="FFFF0000"/>
        <rFont val="ＭＳ 明朝"/>
        <family val="1"/>
        <charset val="128"/>
      </rPr>
      <t>８</t>
    </r>
    <r>
      <rPr>
        <sz val="11"/>
        <color theme="1"/>
        <rFont val="ＭＳ 明朝"/>
        <family val="1"/>
        <charset val="128"/>
      </rPr>
      <t>)</t>
    </r>
    <phoneticPr fontId="1"/>
  </si>
  <si>
    <r>
      <t>6,000㎡×</t>
    </r>
    <r>
      <rPr>
        <b/>
        <u/>
        <sz val="11"/>
        <color rgb="FFFF0000"/>
        <rFont val="ＭＳ 明朝"/>
        <family val="1"/>
        <charset val="128"/>
      </rPr>
      <t>10</t>
    </r>
    <r>
      <rPr>
        <sz val="11"/>
        <color theme="1"/>
        <rFont val="ＭＳ 明朝"/>
        <family val="1"/>
        <charset val="128"/>
      </rPr>
      <t>-1,500㎡×</t>
    </r>
    <r>
      <rPr>
        <b/>
        <u/>
        <sz val="11"/>
        <color rgb="FFFF0000"/>
        <rFont val="ＭＳ 明朝"/>
        <family val="1"/>
        <charset val="128"/>
      </rPr>
      <t>８</t>
    </r>
    <phoneticPr fontId="1"/>
  </si>
  <si>
    <r>
      <t>　・緩和措置のある場合</t>
    </r>
    <r>
      <rPr>
        <b/>
        <u/>
        <sz val="11"/>
        <color rgb="FFFF0000"/>
        <rFont val="ＭＳ 明朝"/>
        <family val="1"/>
        <charset val="128"/>
      </rPr>
      <t>14</t>
    </r>
    <r>
      <rPr>
        <sz val="11"/>
        <color theme="1"/>
        <rFont val="ＭＳ 明朝"/>
        <family val="1"/>
        <charset val="128"/>
      </rPr>
      <t>×</t>
    </r>
    <r>
      <rPr>
        <b/>
        <u/>
        <sz val="11"/>
        <color rgb="FFFF0000"/>
        <rFont val="ＭＳ 明朝"/>
        <family val="1"/>
        <charset val="128"/>
      </rPr>
      <t>15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</si>
  <si>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　・緩和措置のない場合　　</t>
    </r>
    <r>
      <rPr>
        <b/>
        <u/>
        <sz val="11"/>
        <color rgb="FFFF0000"/>
        <rFont val="ＭＳ 明朝"/>
        <family val="1"/>
        <charset val="128"/>
      </rPr>
      <t>14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</si>
  <si>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16</t>
    </r>
    <rPh sb="0" eb="3">
      <t>ショウスウテン</t>
    </rPh>
    <rPh sb="3" eb="5">
      <t>イカ</t>
    </rPh>
    <rPh sb="5" eb="7">
      <t>キリア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</si>
  <si>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16</t>
    </r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</si>
  <si>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９</t>
    </r>
    <r>
      <rPr>
        <sz val="11"/>
        <color theme="1"/>
        <rFont val="ＭＳ 明朝"/>
        <family val="1"/>
        <charset val="128"/>
      </rPr>
      <t>×1/3[台/戸数]-2＝</t>
    </r>
    <r>
      <rPr>
        <b/>
        <u/>
        <sz val="11"/>
        <color rgb="FFFF0000"/>
        <rFont val="ＭＳ 明朝"/>
        <family val="1"/>
        <charset val="128"/>
      </rPr>
      <t>17</t>
    </r>
    <rPh sb="9" eb="10">
      <t>ダイ</t>
    </rPh>
    <rPh sb="11" eb="13">
      <t>コスウ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</si>
  <si>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９</t>
    </r>
    <r>
      <rPr>
        <sz val="11"/>
        <color theme="1"/>
        <rFont val="ＭＳ 明朝"/>
        <family val="1"/>
        <charset val="128"/>
      </rPr>
      <t>×1/3[台/戸数]  ＝</t>
    </r>
    <r>
      <rPr>
        <b/>
        <u/>
        <sz val="11"/>
        <color rgb="FFFF0000"/>
        <rFont val="ＭＳ 明朝"/>
        <family val="1"/>
        <charset val="128"/>
      </rPr>
      <t>17</t>
    </r>
    <rPh sb="9" eb="10">
      <t>ダイ</t>
    </rPh>
    <rPh sb="11" eb="13">
      <t>コスウ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</si>
  <si>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16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17</t>
    </r>
    <r>
      <rPr>
        <sz val="11"/>
        <color theme="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18</t>
    </r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</si>
  <si>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16</t>
    </r>
    <r>
      <rPr>
        <sz val="11"/>
        <color theme="1"/>
        <rFont val="ＭＳ 明朝"/>
        <family val="1"/>
        <charset val="128"/>
      </rPr>
      <t>×0.3＝</t>
    </r>
    <r>
      <rPr>
        <b/>
        <u/>
        <sz val="11"/>
        <color rgb="FFFF0000"/>
        <rFont val="ＭＳ 明朝"/>
        <family val="1"/>
        <charset val="128"/>
      </rPr>
      <t>19</t>
    </r>
    <phoneticPr fontId="1"/>
  </si>
  <si>
    <r>
      <t>　　　（</t>
    </r>
    <r>
      <rPr>
        <b/>
        <u/>
        <sz val="11"/>
        <color rgb="FFFF0000"/>
        <rFont val="ＭＳ 明朝"/>
        <family val="1"/>
        <charset val="128"/>
      </rPr>
      <t>16</t>
    </r>
    <r>
      <rPr>
        <sz val="11"/>
        <color theme="1"/>
        <rFont val="ＭＳ 明朝"/>
        <family val="1"/>
        <charset val="128"/>
      </rPr>
      <t>-</t>
    </r>
    <r>
      <rPr>
        <b/>
        <u/>
        <sz val="11"/>
        <color rgb="FFFF0000"/>
        <rFont val="ＭＳ 明朝"/>
        <family val="1"/>
        <charset val="128"/>
      </rPr>
      <t>19</t>
    </r>
    <r>
      <rPr>
        <sz val="11"/>
        <color theme="1"/>
        <rFont val="ＭＳ 明朝"/>
        <family val="1"/>
        <charset val="128"/>
      </rPr>
      <t>）+</t>
    </r>
    <r>
      <rPr>
        <b/>
        <u/>
        <sz val="11"/>
        <color rgb="FFFF0000"/>
        <rFont val="ＭＳ 明朝"/>
        <family val="1"/>
        <charset val="128"/>
      </rPr>
      <t>17</t>
    </r>
    <r>
      <rPr>
        <sz val="11"/>
        <color theme="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20</t>
    </r>
    <phoneticPr fontId="1"/>
  </si>
  <si>
    <r>
      <t>（１）特定用途に供する部分の床面積（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）＝</t>
    </r>
    <r>
      <rPr>
        <b/>
        <u/>
        <sz val="11"/>
        <color rgb="FFFF0000"/>
        <rFont val="ＭＳ 明朝"/>
        <family val="1"/>
        <charset val="128"/>
      </rPr>
      <t>21</t>
    </r>
    <rPh sb="3" eb="5">
      <t>トクテイ</t>
    </rPh>
    <rPh sb="5" eb="7">
      <t>ヨウト</t>
    </rPh>
    <rPh sb="8" eb="9">
      <t>キョウ</t>
    </rPh>
    <rPh sb="11" eb="13">
      <t>ブブン</t>
    </rPh>
    <rPh sb="14" eb="17">
      <t>ユカメンセキ</t>
    </rPh>
    <phoneticPr fontId="1"/>
  </si>
  <si>
    <r>
      <t>　・</t>
    </r>
    <r>
      <rPr>
        <b/>
        <u/>
        <sz val="11"/>
        <color rgb="FFFF0000"/>
        <rFont val="ＭＳ 明朝"/>
        <family val="1"/>
        <charset val="128"/>
      </rPr>
      <t>21</t>
    </r>
    <r>
      <rPr>
        <sz val="11"/>
        <color theme="1"/>
        <rFont val="ＭＳ 明朝"/>
        <family val="1"/>
        <charset val="128"/>
      </rPr>
      <t>の面積が3,000㎡を超える場合⇒条例の対象</t>
    </r>
    <rPh sb="5" eb="7">
      <t>メンセキ</t>
    </rPh>
    <rPh sb="15" eb="16">
      <t>コ</t>
    </rPh>
    <rPh sb="18" eb="20">
      <t>バアイ</t>
    </rPh>
    <rPh sb="21" eb="23">
      <t>ジョウレイ</t>
    </rPh>
    <rPh sb="24" eb="26">
      <t>タイショウ</t>
    </rPh>
    <phoneticPr fontId="1"/>
  </si>
  <si>
    <r>
      <t>　・</t>
    </r>
    <r>
      <rPr>
        <b/>
        <u/>
        <sz val="11"/>
        <color rgb="FFFF0000"/>
        <rFont val="ＭＳ 明朝"/>
        <family val="1"/>
        <charset val="128"/>
      </rPr>
      <t>21</t>
    </r>
    <r>
      <rPr>
        <sz val="11"/>
        <color theme="1"/>
        <rFont val="ＭＳ 明朝"/>
        <family val="1"/>
        <charset val="128"/>
      </rPr>
      <t>の面積が3,000㎡以下の場合⇒条例の対象外</t>
    </r>
    <rPh sb="5" eb="7">
      <t>メンセキ</t>
    </rPh>
    <rPh sb="14" eb="16">
      <t>イカ</t>
    </rPh>
    <rPh sb="17" eb="19">
      <t>バアイ</t>
    </rPh>
    <rPh sb="20" eb="22">
      <t>ジョウレイ</t>
    </rPh>
    <rPh sb="23" eb="25">
      <t>タイショウ</t>
    </rPh>
    <rPh sb="25" eb="26">
      <t>ガイ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</si>
  <si>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÷6,000㎡[㎡/台]＝</t>
    </r>
    <r>
      <rPr>
        <b/>
        <u/>
        <sz val="11"/>
        <color rgb="FFFF0000"/>
        <rFont val="ＭＳ 明朝"/>
        <family val="1"/>
        <charset val="128"/>
      </rPr>
      <t>23</t>
    </r>
    <rPh sb="14" eb="15">
      <t>ダイ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</si>
  <si>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÷2,000㎡[㎡/台]＝</t>
    </r>
    <r>
      <rPr>
        <b/>
        <u/>
        <sz val="11"/>
        <color rgb="FFFF0000"/>
        <rFont val="ＭＳ 明朝"/>
        <family val="1"/>
        <charset val="128"/>
      </rPr>
      <t>24</t>
    </r>
    <rPh sb="14" eb="15">
      <t>ダイ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</si>
  <si>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÷5,000㎡[㎡/台]＝</t>
    </r>
    <r>
      <rPr>
        <b/>
        <u/>
        <sz val="11"/>
        <color rgb="FFFF0000"/>
        <rFont val="ＭＳ 明朝"/>
        <family val="1"/>
        <charset val="128"/>
      </rPr>
      <t>25</t>
    </r>
    <rPh sb="14" eb="15">
      <t>ダイ</t>
    </rPh>
    <phoneticPr fontId="1"/>
  </si>
  <si>
    <r>
      <t>　　オ　小計　</t>
    </r>
    <r>
      <rPr>
        <b/>
        <u/>
        <sz val="11"/>
        <color rgb="FFFF0000"/>
        <rFont val="ＭＳ 明朝"/>
        <family val="1"/>
        <charset val="128"/>
      </rPr>
      <t>22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23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24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25</t>
    </r>
    <r>
      <rPr>
        <sz val="1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26</t>
    </r>
    <rPh sb="4" eb="6">
      <t>ショウケイ</t>
    </rPh>
    <phoneticPr fontId="1"/>
  </si>
  <si>
    <t>（２）荷さばき用駐車施設の附置義務台数（幅3m以上×奥行き7.7m以上×3m以上又は</t>
    <rPh sb="3" eb="4">
      <t>ニ</t>
    </rPh>
    <rPh sb="7" eb="8">
      <t>ヨウ</t>
    </rPh>
    <rPh sb="8" eb="10">
      <t>チュウシャ</t>
    </rPh>
    <rPh sb="10" eb="12">
      <t>シセツ</t>
    </rPh>
    <rPh sb="13" eb="15">
      <t>フチ</t>
    </rPh>
    <rPh sb="15" eb="17">
      <t>ギム</t>
    </rPh>
    <rPh sb="17" eb="19">
      <t>ダイスウ</t>
    </rPh>
    <rPh sb="20" eb="21">
      <t>ハバ</t>
    </rPh>
    <rPh sb="23" eb="25">
      <t>イジョウ</t>
    </rPh>
    <rPh sb="26" eb="28">
      <t>オクユ</t>
    </rPh>
    <rPh sb="33" eb="35">
      <t>イジョウ</t>
    </rPh>
    <rPh sb="38" eb="40">
      <t>イジョウ</t>
    </rPh>
    <rPh sb="40" eb="41">
      <t>マタ</t>
    </rPh>
    <phoneticPr fontId="1"/>
  </si>
  <si>
    <t>　　　幅4m以上×奥行き6m以上×高さ3m以上）</t>
    <rPh sb="3" eb="4">
      <t>ハバ</t>
    </rPh>
    <rPh sb="6" eb="8">
      <t>イジョウ</t>
    </rPh>
    <rPh sb="9" eb="11">
      <t>オクユ</t>
    </rPh>
    <rPh sb="14" eb="16">
      <t>イジョウ</t>
    </rPh>
    <rPh sb="17" eb="18">
      <t>タカ</t>
    </rPh>
    <rPh sb="21" eb="23">
      <t>イジョウ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</si>
  <si>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８</t>
    </r>
    <r>
      <rPr>
        <sz val="11"/>
        <color theme="1"/>
        <rFont val="ＭＳ 明朝"/>
        <family val="1"/>
        <charset val="128"/>
      </rPr>
      <t>が6,000㎡未満の場合は、次により算定された緩和率を</t>
    </r>
    <r>
      <rPr>
        <b/>
        <u/>
        <sz val="11"/>
        <color rgb="FFFF0000"/>
        <rFont val="ＭＳ 明朝"/>
        <family val="1"/>
        <charset val="128"/>
      </rPr>
      <t>26</t>
    </r>
    <r>
      <rPr>
        <sz val="11"/>
        <color theme="1"/>
        <rFont val="ＭＳ 明朝"/>
        <family val="1"/>
        <charset val="128"/>
      </rPr>
      <t>に乗じます。</t>
    </r>
    <rPh sb="11" eb="13">
      <t>ミマン</t>
    </rPh>
    <rPh sb="14" eb="16">
      <t>バアイ</t>
    </rPh>
    <rPh sb="18" eb="19">
      <t>ツギ</t>
    </rPh>
    <rPh sb="22" eb="24">
      <t>サンテイ</t>
    </rPh>
    <rPh sb="27" eb="29">
      <t>カンワ</t>
    </rPh>
    <rPh sb="29" eb="30">
      <t>リツ</t>
    </rPh>
    <rPh sb="34" eb="35">
      <t>ジョウ</t>
    </rPh>
    <phoneticPr fontId="1"/>
  </si>
  <si>
    <r>
      <t>6,000㎡-</t>
    </r>
    <r>
      <rPr>
        <b/>
        <u/>
        <sz val="11"/>
        <color rgb="FFFF0000"/>
        <rFont val="ＭＳ 明朝"/>
        <family val="1"/>
        <charset val="128"/>
      </rPr>
      <t>８</t>
    </r>
    <phoneticPr fontId="1"/>
  </si>
  <si>
    <r>
      <rPr>
        <b/>
        <u/>
        <sz val="11"/>
        <color rgb="FFFF0000"/>
        <rFont val="ＭＳ 明朝"/>
        <family val="1"/>
        <charset val="128"/>
      </rPr>
      <t>８</t>
    </r>
    <phoneticPr fontId="1"/>
  </si>
  <si>
    <r>
      <rPr>
        <sz val="1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27</t>
    </r>
    <phoneticPr fontId="1"/>
  </si>
  <si>
    <r>
      <rPr>
        <sz val="1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15</t>
    </r>
    <phoneticPr fontId="1"/>
  </si>
  <si>
    <r>
      <t>　・緩和措置のある場合</t>
    </r>
    <r>
      <rPr>
        <b/>
        <u/>
        <sz val="11"/>
        <color rgb="FFFF0000"/>
        <rFont val="ＭＳ 明朝"/>
        <family val="1"/>
        <charset val="128"/>
      </rPr>
      <t>26</t>
    </r>
    <r>
      <rPr>
        <sz val="11"/>
        <color theme="1"/>
        <rFont val="ＭＳ 明朝"/>
        <family val="1"/>
        <charset val="128"/>
      </rPr>
      <t>×</t>
    </r>
    <r>
      <rPr>
        <b/>
        <u/>
        <sz val="11"/>
        <color rgb="FFFF0000"/>
        <rFont val="ＭＳ 明朝"/>
        <family val="1"/>
        <charset val="128"/>
      </rPr>
      <t>27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</si>
  <si>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　・緩和措置のない場合　　</t>
    </r>
    <r>
      <rPr>
        <b/>
        <u/>
        <sz val="11"/>
        <color rgb="FFFF0000"/>
        <rFont val="ＭＳ 明朝"/>
        <family val="1"/>
        <charset val="128"/>
      </rPr>
      <t>26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</si>
  <si>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28</t>
    </r>
    <rPh sb="0" eb="3">
      <t>ショウスウテン</t>
    </rPh>
    <rPh sb="3" eb="5">
      <t>イカ</t>
    </rPh>
    <rPh sb="5" eb="7">
      <t>キリア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</si>
  <si>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28</t>
    </r>
    <phoneticPr fontId="1"/>
  </si>
  <si>
    <r>
      <t>　※</t>
    </r>
    <r>
      <rPr>
        <b/>
        <u/>
        <sz val="11"/>
        <color rgb="FFFF0000"/>
        <rFont val="ＭＳ 明朝"/>
        <family val="1"/>
        <charset val="128"/>
      </rPr>
      <t>28</t>
    </r>
    <r>
      <rPr>
        <sz val="11"/>
        <color theme="1"/>
        <rFont val="ＭＳ 明朝"/>
        <family val="1"/>
        <charset val="128"/>
      </rPr>
      <t>が10台を超える場合は、10台とします。</t>
    </r>
    <rPh sb="7" eb="8">
      <t>ダイ</t>
    </rPh>
    <rPh sb="9" eb="10">
      <t>コ</t>
    </rPh>
    <rPh sb="12" eb="14">
      <t>バアイ</t>
    </rPh>
    <rPh sb="18" eb="19">
      <t>ダイ</t>
    </rPh>
    <phoneticPr fontId="1"/>
  </si>
  <si>
    <t>７　特定自動二輪車用駐車施設の附置義務の算定</t>
    <rPh sb="2" eb="4">
      <t>トクテイ</t>
    </rPh>
    <rPh sb="4" eb="6">
      <t>ジドウ</t>
    </rPh>
    <rPh sb="6" eb="9">
      <t>ニリンシャ</t>
    </rPh>
    <rPh sb="9" eb="10">
      <t>ヨウ</t>
    </rPh>
    <rPh sb="10" eb="12">
      <t>チュウシャ</t>
    </rPh>
    <rPh sb="12" eb="14">
      <t>シセツ</t>
    </rPh>
    <rPh sb="15" eb="17">
      <t>フチ</t>
    </rPh>
    <rPh sb="17" eb="19">
      <t>ギム</t>
    </rPh>
    <rPh sb="20" eb="22">
      <t>サンテイ</t>
    </rPh>
    <phoneticPr fontId="1"/>
  </si>
  <si>
    <r>
      <t>（１）特定用途に供する部分の床面積（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）＝</t>
    </r>
    <r>
      <rPr>
        <b/>
        <u/>
        <sz val="11"/>
        <color rgb="FFFF0000"/>
        <rFont val="ＭＳ 明朝"/>
        <family val="1"/>
        <charset val="128"/>
      </rPr>
      <t>29</t>
    </r>
    <rPh sb="3" eb="5">
      <t>トクテイ</t>
    </rPh>
    <rPh sb="5" eb="7">
      <t>ヨウト</t>
    </rPh>
    <rPh sb="8" eb="9">
      <t>キョウ</t>
    </rPh>
    <rPh sb="11" eb="13">
      <t>ブブン</t>
    </rPh>
    <rPh sb="14" eb="17">
      <t>ユカメンセキ</t>
    </rPh>
    <phoneticPr fontId="1"/>
  </si>
  <si>
    <r>
      <t>　・</t>
    </r>
    <r>
      <rPr>
        <b/>
        <u/>
        <sz val="11"/>
        <color rgb="FFFF0000"/>
        <rFont val="ＭＳ 明朝"/>
        <family val="1"/>
        <charset val="128"/>
      </rPr>
      <t>29</t>
    </r>
    <r>
      <rPr>
        <sz val="11"/>
        <color theme="1"/>
        <rFont val="ＭＳ 明朝"/>
        <family val="1"/>
        <charset val="128"/>
      </rPr>
      <t>の面積が1,500㎡を超える場合⇒条例の対象</t>
    </r>
    <rPh sb="5" eb="7">
      <t>メンセキ</t>
    </rPh>
    <rPh sb="15" eb="16">
      <t>コ</t>
    </rPh>
    <rPh sb="18" eb="20">
      <t>バアイ</t>
    </rPh>
    <rPh sb="21" eb="23">
      <t>ジョウレイ</t>
    </rPh>
    <rPh sb="24" eb="26">
      <t>タイショウ</t>
    </rPh>
    <phoneticPr fontId="1"/>
  </si>
  <si>
    <r>
      <t>　・</t>
    </r>
    <r>
      <rPr>
        <b/>
        <u/>
        <sz val="11"/>
        <color rgb="FFFF0000"/>
        <rFont val="ＭＳ 明朝"/>
        <family val="1"/>
        <charset val="128"/>
      </rPr>
      <t>29</t>
    </r>
    <r>
      <rPr>
        <sz val="11"/>
        <color theme="1"/>
        <rFont val="ＭＳ 明朝"/>
        <family val="1"/>
        <charset val="128"/>
      </rPr>
      <t>の面積が1,500㎡以下の場合⇒条例の対象外</t>
    </r>
    <rPh sb="5" eb="7">
      <t>メンセキ</t>
    </rPh>
    <rPh sb="14" eb="16">
      <t>イカ</t>
    </rPh>
    <rPh sb="17" eb="19">
      <t>バアイ</t>
    </rPh>
    <rPh sb="20" eb="22">
      <t>ジョウレイ</t>
    </rPh>
    <rPh sb="23" eb="25">
      <t>タイショウ</t>
    </rPh>
    <rPh sb="25" eb="26">
      <t>ガイ</t>
    </rPh>
    <phoneticPr fontId="1"/>
  </si>
  <si>
    <t>　　ア　百貨店その他の店舗、事務所の用途に供する部分</t>
    <rPh sb="4" eb="7">
      <t>ヒャッカテン</t>
    </rPh>
    <rPh sb="9" eb="10">
      <t>タ</t>
    </rPh>
    <rPh sb="11" eb="13">
      <t>テンポ</t>
    </rPh>
    <rPh sb="14" eb="16">
      <t>ジム</t>
    </rPh>
    <rPh sb="16" eb="17">
      <t>ショ</t>
    </rPh>
    <rPh sb="18" eb="20">
      <t>ヨウト</t>
    </rPh>
    <rPh sb="21" eb="22">
      <t>キョウ</t>
    </rPh>
    <rPh sb="24" eb="26">
      <t>ブブン</t>
    </rPh>
    <phoneticPr fontId="1"/>
  </si>
  <si>
    <t>　　イ　倉庫その他の特定用途に供する部分</t>
    <rPh sb="4" eb="6">
      <t>ソウコ</t>
    </rPh>
    <rPh sb="8" eb="9">
      <t>タ</t>
    </rPh>
    <rPh sb="10" eb="12">
      <t>トクテイ</t>
    </rPh>
    <rPh sb="12" eb="14">
      <t>ヨウト</t>
    </rPh>
    <rPh sb="15" eb="16">
      <t>キョウ</t>
    </rPh>
    <rPh sb="18" eb="20">
      <t>ブブン</t>
    </rPh>
    <phoneticPr fontId="1"/>
  </si>
  <si>
    <r>
      <t>　　　(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)</t>
    </r>
    <r>
      <rPr>
        <sz val="11"/>
        <color theme="1"/>
        <rFont val="ＭＳ 明朝"/>
        <family val="1"/>
        <charset val="128"/>
      </rPr>
      <t>÷3,000㎡[㎡/台]＝</t>
    </r>
    <r>
      <rPr>
        <b/>
        <u/>
        <sz val="11"/>
        <color rgb="FFFF0000"/>
        <rFont val="ＭＳ 明朝"/>
        <family val="1"/>
        <charset val="128"/>
      </rPr>
      <t>30</t>
    </r>
    <rPh sb="18" eb="19">
      <t>ダイ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</si>
  <si>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÷2,500㎡[㎡/台]＝</t>
    </r>
    <r>
      <rPr>
        <b/>
        <u/>
        <sz val="11"/>
        <color rgb="FFFF0000"/>
        <rFont val="ＭＳ 明朝"/>
        <family val="1"/>
        <charset val="128"/>
      </rPr>
      <t>22</t>
    </r>
    <rPh sb="14" eb="15">
      <t>ダイ</t>
    </rPh>
    <phoneticPr fontId="1"/>
  </si>
  <si>
    <r>
      <t>　　　(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)÷8,000㎡[㎡/台]＝</t>
    </r>
    <r>
      <rPr>
        <b/>
        <u/>
        <sz val="11"/>
        <color rgb="FFFF0000"/>
        <rFont val="ＭＳ 明朝"/>
        <family val="1"/>
        <charset val="128"/>
      </rPr>
      <t>31</t>
    </r>
    <rPh sb="18" eb="19">
      <t>ダイ</t>
    </rPh>
    <phoneticPr fontId="1"/>
  </si>
  <si>
    <r>
      <t>　　ウ　小計　</t>
    </r>
    <r>
      <rPr>
        <b/>
        <u/>
        <sz val="11"/>
        <color rgb="FFFF0000"/>
        <rFont val="ＭＳ 明朝"/>
        <family val="1"/>
        <charset val="128"/>
      </rPr>
      <t>30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31</t>
    </r>
    <r>
      <rPr>
        <sz val="1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32</t>
    </r>
    <rPh sb="4" eb="6">
      <t>ショウケイ</t>
    </rPh>
    <phoneticPr fontId="1"/>
  </si>
  <si>
    <t>（２）特定自動二輪車用駐車施設の附置義務台数（幅1m×奥行き2.3m以上）</t>
    <rPh sb="3" eb="5">
      <t>トクテイ</t>
    </rPh>
    <rPh sb="5" eb="7">
      <t>ジドウ</t>
    </rPh>
    <rPh sb="7" eb="10">
      <t>ニリンシャ</t>
    </rPh>
    <rPh sb="10" eb="11">
      <t>ヨウ</t>
    </rPh>
    <rPh sb="11" eb="13">
      <t>チュウシャ</t>
    </rPh>
    <rPh sb="13" eb="15">
      <t>シセツ</t>
    </rPh>
    <rPh sb="16" eb="18">
      <t>フチ</t>
    </rPh>
    <rPh sb="18" eb="20">
      <t>ギム</t>
    </rPh>
    <rPh sb="20" eb="22">
      <t>ダイスウ</t>
    </rPh>
    <rPh sb="23" eb="24">
      <t>ハバ</t>
    </rPh>
    <rPh sb="27" eb="29">
      <t>オクユ</t>
    </rPh>
    <rPh sb="34" eb="36">
      <t>イジョウ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</si>
  <si>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８</t>
    </r>
    <r>
      <rPr>
        <sz val="11"/>
        <color theme="1"/>
        <rFont val="ＭＳ 明朝"/>
        <family val="1"/>
        <charset val="128"/>
      </rPr>
      <t>が6,000㎡未満の場合は、次により算定された緩和率を</t>
    </r>
    <r>
      <rPr>
        <b/>
        <u/>
        <sz val="11"/>
        <color rgb="FFFF0000"/>
        <rFont val="ＭＳ 明朝"/>
        <family val="1"/>
        <charset val="128"/>
      </rPr>
      <t>32</t>
    </r>
    <r>
      <rPr>
        <sz val="11"/>
        <color theme="1"/>
        <rFont val="ＭＳ 明朝"/>
        <family val="1"/>
        <charset val="128"/>
      </rPr>
      <t>に乗じます。</t>
    </r>
    <rPh sb="11" eb="13">
      <t>ミマン</t>
    </rPh>
    <rPh sb="14" eb="16">
      <t>バアイ</t>
    </rPh>
    <rPh sb="18" eb="19">
      <t>ツギ</t>
    </rPh>
    <rPh sb="22" eb="24">
      <t>サンテイ</t>
    </rPh>
    <rPh sb="27" eb="29">
      <t>カンワ</t>
    </rPh>
    <rPh sb="29" eb="30">
      <t>リツ</t>
    </rPh>
    <rPh sb="34" eb="35">
      <t>ジョウ</t>
    </rPh>
    <phoneticPr fontId="1"/>
  </si>
  <si>
    <r>
      <t>1,500㎡×(6,000㎡-</t>
    </r>
    <r>
      <rPr>
        <b/>
        <u/>
        <sz val="11"/>
        <color rgb="FFFF0000"/>
        <rFont val="ＭＳ 明朝"/>
        <family val="1"/>
        <charset val="128"/>
      </rPr>
      <t>８</t>
    </r>
    <r>
      <rPr>
        <sz val="11"/>
        <rFont val="ＭＳ 明朝"/>
        <family val="1"/>
        <charset val="128"/>
      </rPr>
      <t>)</t>
    </r>
    <phoneticPr fontId="1"/>
  </si>
  <si>
    <r>
      <t>4,500㎡×</t>
    </r>
    <r>
      <rPr>
        <b/>
        <u/>
        <sz val="11"/>
        <color rgb="FFFF0000"/>
        <rFont val="ＭＳ 明朝"/>
        <family val="1"/>
        <charset val="128"/>
      </rPr>
      <t>８</t>
    </r>
    <phoneticPr fontId="1"/>
  </si>
  <si>
    <r>
      <rPr>
        <sz val="1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33</t>
    </r>
    <phoneticPr fontId="1"/>
  </si>
  <si>
    <r>
      <t>　・緩和措置のある場合</t>
    </r>
    <r>
      <rPr>
        <b/>
        <u/>
        <sz val="11"/>
        <color rgb="FFFF0000"/>
        <rFont val="ＭＳ 明朝"/>
        <family val="1"/>
        <charset val="128"/>
      </rPr>
      <t>32</t>
    </r>
    <r>
      <rPr>
        <sz val="11"/>
        <color theme="1"/>
        <rFont val="ＭＳ 明朝"/>
        <family val="1"/>
        <charset val="128"/>
      </rPr>
      <t>×</t>
    </r>
    <r>
      <rPr>
        <b/>
        <u/>
        <sz val="11"/>
        <color rgb="FFFF0000"/>
        <rFont val="ＭＳ 明朝"/>
        <family val="1"/>
        <charset val="128"/>
      </rPr>
      <t>33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</si>
  <si>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　・緩和措置のない場合　　</t>
    </r>
    <r>
      <rPr>
        <b/>
        <u/>
        <sz val="11"/>
        <color rgb="FFFF0000"/>
        <rFont val="ＭＳ 明朝"/>
        <family val="1"/>
        <charset val="128"/>
      </rPr>
      <t>32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</si>
  <si>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34</t>
    </r>
    <rPh sb="0" eb="3">
      <t>ショウスウテン</t>
    </rPh>
    <rPh sb="3" eb="5">
      <t>イカ</t>
    </rPh>
    <rPh sb="5" eb="7">
      <t>キリア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</si>
  <si>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34</t>
    </r>
    <phoneticPr fontId="1"/>
  </si>
  <si>
    <t>８　駐車施設の附置義務台数</t>
    <rPh sb="2" eb="4">
      <t>チュウシャ</t>
    </rPh>
    <rPh sb="4" eb="6">
      <t>シセツ</t>
    </rPh>
    <rPh sb="7" eb="9">
      <t>フチ</t>
    </rPh>
    <rPh sb="9" eb="11">
      <t>ギム</t>
    </rPh>
    <rPh sb="11" eb="13">
      <t>ダイスウ</t>
    </rPh>
    <phoneticPr fontId="1"/>
  </si>
  <si>
    <t>附置義務台数</t>
    <rPh sb="0" eb="2">
      <t>フチ</t>
    </rPh>
    <rPh sb="2" eb="4">
      <t>ギム</t>
    </rPh>
    <rPh sb="4" eb="6">
      <t>ダイスウ</t>
    </rPh>
    <phoneticPr fontId="1"/>
  </si>
  <si>
    <t>設置台数</t>
    <rPh sb="0" eb="2">
      <t>セッチ</t>
    </rPh>
    <rPh sb="2" eb="4">
      <t>ダイスウ</t>
    </rPh>
    <phoneticPr fontId="1"/>
  </si>
  <si>
    <r>
      <t>普通自動車用
（</t>
    </r>
    <r>
      <rPr>
        <b/>
        <u/>
        <sz val="11"/>
        <color rgb="FFFF0000"/>
        <rFont val="ＭＳ 明朝"/>
        <family val="1"/>
        <charset val="128"/>
      </rPr>
      <t>19</t>
    </r>
    <r>
      <rPr>
        <sz val="11"/>
        <color theme="1"/>
        <rFont val="ＭＳ 明朝"/>
        <family val="1"/>
        <charset val="128"/>
      </rPr>
      <t>）</t>
    </r>
    <rPh sb="0" eb="2">
      <t>フツウ</t>
    </rPh>
    <rPh sb="2" eb="6">
      <t>ジドウシャヨウ</t>
    </rPh>
    <phoneticPr fontId="1"/>
  </si>
  <si>
    <r>
      <t>荷さばき用
（</t>
    </r>
    <r>
      <rPr>
        <b/>
        <u/>
        <sz val="11"/>
        <color rgb="FFFF0000"/>
        <rFont val="ＭＳ 明朝"/>
        <family val="1"/>
        <charset val="128"/>
      </rPr>
      <t>28</t>
    </r>
    <r>
      <rPr>
        <sz val="11"/>
        <color theme="1"/>
        <rFont val="ＭＳ 明朝"/>
        <family val="1"/>
        <charset val="128"/>
      </rPr>
      <t>）</t>
    </r>
    <rPh sb="0" eb="1">
      <t>ニ</t>
    </rPh>
    <rPh sb="4" eb="5">
      <t>ヨウ</t>
    </rPh>
    <phoneticPr fontId="1"/>
  </si>
  <si>
    <r>
      <t>小型自動車用
（</t>
    </r>
    <r>
      <rPr>
        <b/>
        <u/>
        <sz val="11"/>
        <color rgb="FFFF0000"/>
        <rFont val="ＭＳ 明朝"/>
        <family val="1"/>
        <charset val="128"/>
      </rPr>
      <t>20</t>
    </r>
    <r>
      <rPr>
        <sz val="11"/>
        <color theme="1"/>
        <rFont val="ＭＳ 明朝"/>
        <family val="1"/>
        <charset val="128"/>
      </rPr>
      <t>）</t>
    </r>
    <rPh sb="0" eb="2">
      <t>コガタ</t>
    </rPh>
    <rPh sb="2" eb="5">
      <t>ジドウシャ</t>
    </rPh>
    <rPh sb="5" eb="6">
      <t>ヨウ</t>
    </rPh>
    <phoneticPr fontId="1"/>
  </si>
  <si>
    <r>
      <t>特定自動車用
合計（</t>
    </r>
    <r>
      <rPr>
        <b/>
        <u/>
        <sz val="11"/>
        <color rgb="FFFF0000"/>
        <rFont val="ＭＳ 明朝"/>
        <family val="1"/>
        <charset val="128"/>
      </rPr>
      <t>18</t>
    </r>
    <r>
      <rPr>
        <sz val="11"/>
        <color theme="1"/>
        <rFont val="ＭＳ 明朝"/>
        <family val="1"/>
        <charset val="128"/>
      </rPr>
      <t>）</t>
    </r>
    <rPh sb="0" eb="2">
      <t>トクテイ</t>
    </rPh>
    <rPh sb="2" eb="5">
      <t>ジドウシャ</t>
    </rPh>
    <rPh sb="5" eb="6">
      <t>ヨウ</t>
    </rPh>
    <rPh sb="7" eb="9">
      <t>ゴウケイ</t>
    </rPh>
    <phoneticPr fontId="1"/>
  </si>
  <si>
    <r>
      <t>特定自動二輪
車用（</t>
    </r>
    <r>
      <rPr>
        <b/>
        <u/>
        <sz val="11"/>
        <color rgb="FFFF0000"/>
        <rFont val="ＭＳ 明朝"/>
        <family val="1"/>
        <charset val="128"/>
      </rPr>
      <t>34</t>
    </r>
    <r>
      <rPr>
        <sz val="11"/>
        <color theme="1"/>
        <rFont val="ＭＳ 明朝"/>
        <family val="1"/>
        <charset val="128"/>
      </rPr>
      <t>）</t>
    </r>
    <rPh sb="0" eb="2">
      <t>トクテイ</t>
    </rPh>
    <rPh sb="2" eb="4">
      <t>ジドウ</t>
    </rPh>
    <rPh sb="4" eb="6">
      <t>ニリン</t>
    </rPh>
    <rPh sb="7" eb="9">
      <t>シャヨウ</t>
    </rPh>
    <phoneticPr fontId="1"/>
  </si>
  <si>
    <t>なし</t>
  </si>
  <si>
    <t>共同住宅の住戸数</t>
    <rPh sb="0" eb="2">
      <t>キョウドウ</t>
    </rPh>
    <rPh sb="2" eb="4">
      <t>ジュウタク</t>
    </rPh>
    <rPh sb="5" eb="7">
      <t>ジュウコ</t>
    </rPh>
    <rPh sb="7" eb="8">
      <t>スウ</t>
    </rPh>
    <phoneticPr fontId="1"/>
  </si>
  <si>
    <t>36㎡未満の住戸数</t>
    <rPh sb="3" eb="5">
      <t>ミマン</t>
    </rPh>
    <rPh sb="6" eb="8">
      <t>ジュウコ</t>
    </rPh>
    <rPh sb="8" eb="9">
      <t>スウ</t>
    </rPh>
    <phoneticPr fontId="1"/>
  </si>
  <si>
    <t>戸</t>
    <rPh sb="0" eb="1">
      <t>ジュウコ</t>
    </rPh>
    <phoneticPr fontId="1"/>
  </si>
  <si>
    <t>規則第７条第１項第４号適用後戸数</t>
    <rPh sb="13" eb="14">
      <t>ゴ</t>
    </rPh>
    <rPh sb="14" eb="16">
      <t>コスウ</t>
    </rPh>
    <phoneticPr fontId="1"/>
  </si>
  <si>
    <t>共同住宅の住戸数計算</t>
    <rPh sb="0" eb="2">
      <t>キョウドウ</t>
    </rPh>
    <rPh sb="2" eb="4">
      <t>ジュウタク</t>
    </rPh>
    <rPh sb="5" eb="7">
      <t>ジュウコ</t>
    </rPh>
    <rPh sb="7" eb="8">
      <t>スウ</t>
    </rPh>
    <rPh sb="8" eb="10">
      <t>ケイサン</t>
    </rPh>
    <phoneticPr fontId="1"/>
  </si>
  <si>
    <t>高齢者向け住宅、大学の学生等の寄宿舎の場合</t>
    <rPh sb="0" eb="3">
      <t>コウレイシャ</t>
    </rPh>
    <rPh sb="3" eb="4">
      <t>ム</t>
    </rPh>
    <rPh sb="5" eb="7">
      <t>ジュウタク</t>
    </rPh>
    <rPh sb="19" eb="21">
      <t>バアイ</t>
    </rPh>
    <phoneticPr fontId="1"/>
  </si>
  <si>
    <t>カーシェアリング制度導入住宅等である</t>
    <rPh sb="8" eb="14">
      <t>セイドドウニュウジュウタク</t>
    </rPh>
    <rPh sb="14" eb="15">
      <t>トウ</t>
    </rPh>
    <phoneticPr fontId="1"/>
  </si>
  <si>
    <t>共同住宅等の住戸又は住室数
　規則第７条第１項第４号を適用する場合</t>
    <rPh sb="0" eb="2">
      <t>キョウドウ</t>
    </rPh>
    <rPh sb="2" eb="4">
      <t>ジュウタク</t>
    </rPh>
    <rPh sb="4" eb="5">
      <t>トウ</t>
    </rPh>
    <rPh sb="6" eb="8">
      <t>ジュウコ</t>
    </rPh>
    <rPh sb="8" eb="9">
      <t>マタ</t>
    </rPh>
    <rPh sb="10" eb="11">
      <t>ジュウ</t>
    </rPh>
    <rPh sb="11" eb="12">
      <t>シツ</t>
    </rPh>
    <rPh sb="12" eb="13">
      <t>スウ</t>
    </rPh>
    <rPh sb="15" eb="17">
      <t>キソク</t>
    </rPh>
    <rPh sb="17" eb="18">
      <t>ダイ</t>
    </rPh>
    <rPh sb="19" eb="20">
      <t>ジョウ</t>
    </rPh>
    <rPh sb="20" eb="21">
      <t>ダイ</t>
    </rPh>
    <rPh sb="22" eb="23">
      <t>コウ</t>
    </rPh>
    <rPh sb="23" eb="24">
      <t>ダイ</t>
    </rPh>
    <rPh sb="25" eb="26">
      <t>ゴウ</t>
    </rPh>
    <rPh sb="27" eb="29">
      <t>テキヨウ</t>
    </rPh>
    <rPh sb="31" eb="33">
      <t>バアイ</t>
    </rPh>
    <phoneticPr fontId="1"/>
  </si>
  <si>
    <t>※　算定された附置台数に加え、カーシェアリング用の駐車施設も必要となります。</t>
    <rPh sb="2" eb="4">
      <t>サンテイ</t>
    </rPh>
    <rPh sb="7" eb="9">
      <t>フチ</t>
    </rPh>
    <rPh sb="9" eb="11">
      <t>ダイスウ</t>
    </rPh>
    <rPh sb="12" eb="13">
      <t>クワ</t>
    </rPh>
    <rPh sb="23" eb="24">
      <t>ヨウ</t>
    </rPh>
    <rPh sb="25" eb="27">
      <t>チュウシャ</t>
    </rPh>
    <rPh sb="27" eb="29">
      <t>シセツ</t>
    </rPh>
    <rPh sb="30" eb="32">
      <t>ヒツヨウ</t>
    </rPh>
    <phoneticPr fontId="1"/>
  </si>
  <si>
    <t>　</t>
  </si>
  <si>
    <t>※荷さばき用駐車施設の台数は、普通自動車用駐車施設の台数に含めることができます。</t>
    <phoneticPr fontId="1"/>
  </si>
  <si>
    <t>※設置台数には、実際に設置する駐車施設の台数を記入してください。</t>
    <phoneticPr fontId="1"/>
  </si>
  <si>
    <t>　　※条例第６条の２の２に規定する荷さばき場所を設置した場合、普通自動車用駐車施設を２台設置したものとみなすことができます。</t>
    <rPh sb="3" eb="5">
      <t>ジョウレイ</t>
    </rPh>
    <rPh sb="5" eb="6">
      <t>ダイ</t>
    </rPh>
    <rPh sb="7" eb="8">
      <t>ジョウ</t>
    </rPh>
    <rPh sb="13" eb="15">
      <t>キテイ</t>
    </rPh>
    <rPh sb="17" eb="18">
      <t>ニ</t>
    </rPh>
    <rPh sb="21" eb="23">
      <t>バショ</t>
    </rPh>
    <rPh sb="24" eb="26">
      <t>セッチ</t>
    </rPh>
    <rPh sb="28" eb="30">
      <t>バアイ</t>
    </rPh>
    <rPh sb="31" eb="33">
      <t>フツウ</t>
    </rPh>
    <rPh sb="33" eb="36">
      <t>ジドウシャ</t>
    </rPh>
    <rPh sb="36" eb="37">
      <t>ヨウ</t>
    </rPh>
    <rPh sb="37" eb="39">
      <t>チュウシャ</t>
    </rPh>
    <rPh sb="39" eb="41">
      <t>シセツ</t>
    </rPh>
    <rPh sb="43" eb="44">
      <t>ダイ</t>
    </rPh>
    <rPh sb="44" eb="46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</si>
</sst>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0_ "/>
    <numFmt numFmtId="178" formatCode="0_);[Red]\(0\)"/>
    <numFmt numFmtId="179" formatCode="0.00000_ "/>
    <numFmt numFmtId="180" formatCode="&quot;(&quot;General&quot;)&quot;"/>
    <numFmt numFmtId="181" formatCode="#,##0.00_ "/>
    <numFmt numFmtId="182" formatCode="0.00_);[Red]\(0.00\)"/>
    <numFmt numFmtId="183" formatCode="0.000000_ 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0"/>
      <name val="游ゴシック"/>
      <family val="2"/>
      <scheme val="minor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1" xfId="0" applyFont="1" applyBorder="1"/>
    <xf numFmtId="0" fontId="3" fillId="0" borderId="2" xfId="0" applyFont="1" applyBorder="1" applyAlignment="1"/>
    <xf numFmtId="0" fontId="3" fillId="0" borderId="3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12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/>
    <xf numFmtId="0" fontId="3" fillId="0" borderId="10" xfId="0" applyFont="1" applyBorder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 applyAlignment="1"/>
    <xf numFmtId="176" fontId="3" fillId="0" borderId="4" xfId="0" applyNumberFormat="1" applyFont="1" applyBorder="1"/>
    <xf numFmtId="0" fontId="3" fillId="0" borderId="8" xfId="0" applyFont="1" applyBorder="1"/>
    <xf numFmtId="176" fontId="3" fillId="0" borderId="9" xfId="0" applyNumberFormat="1" applyFont="1" applyBorder="1"/>
    <xf numFmtId="0" fontId="3" fillId="0" borderId="25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10" fillId="0" borderId="2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right"/>
    </xf>
    <xf numFmtId="49" fontId="10" fillId="0" borderId="23" xfId="0" applyNumberFormat="1" applyFont="1" applyBorder="1"/>
    <xf numFmtId="49" fontId="11" fillId="0" borderId="23" xfId="0" applyNumberFormat="1" applyFont="1" applyBorder="1"/>
    <xf numFmtId="0" fontId="11" fillId="0" borderId="0" xfId="0" quotePrefix="1" applyFont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4" xfId="0" applyNumberFormat="1" applyFont="1" applyFill="1" applyBorder="1"/>
    <xf numFmtId="177" fontId="3" fillId="0" borderId="4" xfId="0" applyNumberFormat="1" applyFont="1" applyBorder="1" applyAlignment="1"/>
    <xf numFmtId="177" fontId="3" fillId="0" borderId="12" xfId="0" applyNumberFormat="1" applyFont="1" applyBorder="1"/>
    <xf numFmtId="177" fontId="3" fillId="0" borderId="0" xfId="0" applyNumberFormat="1" applyFont="1"/>
    <xf numFmtId="179" fontId="3" fillId="0" borderId="12" xfId="0" applyNumberFormat="1" applyFont="1" applyBorder="1"/>
    <xf numFmtId="180" fontId="3" fillId="0" borderId="1" xfId="0" applyNumberFormat="1" applyFont="1" applyBorder="1" applyAlignment="1">
      <alignment vertical="center"/>
    </xf>
    <xf numFmtId="181" fontId="3" fillId="0" borderId="4" xfId="0" applyNumberFormat="1" applyFont="1" applyBorder="1"/>
    <xf numFmtId="181" fontId="3" fillId="0" borderId="9" xfId="0" applyNumberFormat="1" applyFont="1" applyBorder="1"/>
    <xf numFmtId="181" fontId="3" fillId="0" borderId="24" xfId="0" applyNumberFormat="1" applyFont="1" applyBorder="1"/>
    <xf numFmtId="182" fontId="3" fillId="0" borderId="2" xfId="0" applyNumberFormat="1" applyFont="1" applyBorder="1"/>
    <xf numFmtId="182" fontId="3" fillId="0" borderId="8" xfId="0" applyNumberFormat="1" applyFont="1" applyBorder="1"/>
    <xf numFmtId="178" fontId="3" fillId="0" borderId="0" xfId="0" applyNumberFormat="1" applyFont="1"/>
    <xf numFmtId="182" fontId="3" fillId="0" borderId="12" xfId="0" applyNumberFormat="1" applyFont="1" applyBorder="1"/>
    <xf numFmtId="0" fontId="13" fillId="0" borderId="0" xfId="0" applyFont="1" applyFill="1"/>
    <xf numFmtId="177" fontId="3" fillId="2" borderId="4" xfId="0" applyNumberFormat="1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3" fillId="3" borderId="1" xfId="0" applyFont="1" applyFill="1" applyBorder="1"/>
    <xf numFmtId="0" fontId="17" fillId="0" borderId="0" xfId="0" applyFont="1"/>
    <xf numFmtId="0" fontId="3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13" fillId="0" borderId="0" xfId="0" applyFont="1"/>
    <xf numFmtId="0" fontId="3" fillId="0" borderId="0" xfId="0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178" fontId="3" fillId="0" borderId="1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81" fontId="3" fillId="0" borderId="24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3" fontId="3" fillId="0" borderId="23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7" fontId="3" fillId="0" borderId="2" xfId="0" applyNumberFormat="1" applyFont="1" applyBorder="1" applyAlignment="1">
      <alignment horizontal="center"/>
    </xf>
    <xf numFmtId="177" fontId="3" fillId="0" borderId="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77" fontId="3" fillId="0" borderId="8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3" fontId="3" fillId="0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3" fillId="0" borderId="12" xfId="0" applyFont="1" applyFill="1" applyBorder="1" applyAlignment="1" applyProtection="1">
      <alignment horizontal="center" vertical="center"/>
    </xf>
    <xf numFmtId="0" fontId="7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71724</xdr:colOff>
      <xdr:row>1</xdr:row>
      <xdr:rowOff>49305</xdr:rowOff>
    </xdr:from>
    <xdr:to>
      <xdr:col>9</xdr:col>
      <xdr:colOff>430312</xdr:colOff>
      <xdr:row>2</xdr:row>
      <xdr:rowOff>49305</xdr:rowOff>
    </xdr:to>
    <xdr:sp macro="" textlink="">
      <xdr:nvSpPr>
        <xdr:cNvPr id="2" name="テキスト ボックス 1"/>
        <xdr:cNvSpPr txBox="1"/>
      </xdr:nvSpPr>
      <xdr:spPr>
        <a:xfrm>
          <a:off x="3769665" y="217393"/>
          <a:ext cx="344020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の部分を御入力ください。</a:t>
          </a:r>
        </a:p>
      </xdr:txBody>
    </xdr:sp>
    <xdr:clientData fPrintsWithSheet="0"/>
  </xdr:twoCellAnchor>
  <xdr:twoCellAnchor>
    <xdr:from>
      <xdr:col>3</xdr:col>
      <xdr:colOff>179300</xdr:colOff>
      <xdr:row>1</xdr:row>
      <xdr:rowOff>33617</xdr:rowOff>
    </xdr:from>
    <xdr:to>
      <xdr:col>4</xdr:col>
      <xdr:colOff>105342</xdr:colOff>
      <xdr:row>2</xdr:row>
      <xdr:rowOff>60511</xdr:rowOff>
    </xdr:to>
    <xdr:sp macro="" textlink="">
      <xdr:nvSpPr>
        <xdr:cNvPr id="3" name="テキスト ボックス 2"/>
        <xdr:cNvSpPr txBox="1"/>
      </xdr:nvSpPr>
      <xdr:spPr>
        <a:xfrm>
          <a:off x="2958359" y="201705"/>
          <a:ext cx="844924" cy="251012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twoCellAnchor>
    <xdr:from>
      <xdr:col>5</xdr:col>
      <xdr:colOff>22420</xdr:colOff>
      <xdr:row>3</xdr:row>
      <xdr:rowOff>11203</xdr:rowOff>
    </xdr:from>
    <xdr:to>
      <xdr:col>11</xdr:col>
      <xdr:colOff>89654</xdr:colOff>
      <xdr:row>4</xdr:row>
      <xdr:rowOff>67232</xdr:rowOff>
    </xdr:to>
    <xdr:sp macro="" textlink="">
      <xdr:nvSpPr>
        <xdr:cNvPr id="4" name="テキスト ボックス 3"/>
        <xdr:cNvSpPr txBox="1"/>
      </xdr:nvSpPr>
      <xdr:spPr>
        <a:xfrm>
          <a:off x="4258244" y="616321"/>
          <a:ext cx="3843616" cy="268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複数の用途地域にわたる場合は「最も大きい」地域を選択してください。</a:t>
          </a:r>
        </a:p>
      </xdr:txBody>
    </xdr:sp>
    <xdr:clientData fPrintsWithSheet="0"/>
  </xdr:twoCellAnchor>
  <xdr:twoCellAnchor>
    <xdr:from>
      <xdr:col>0</xdr:col>
      <xdr:colOff>22411</xdr:colOff>
      <xdr:row>20</xdr:row>
      <xdr:rowOff>33618</xdr:rowOff>
    </xdr:from>
    <xdr:to>
      <xdr:col>5</xdr:col>
      <xdr:colOff>537881</xdr:colOff>
      <xdr:row>21</xdr:row>
      <xdr:rowOff>33617</xdr:rowOff>
    </xdr:to>
    <xdr:sp macro="" textlink="">
      <xdr:nvSpPr>
        <xdr:cNvPr id="5" name="テキスト ボックス 4"/>
        <xdr:cNvSpPr txBox="1"/>
      </xdr:nvSpPr>
      <xdr:spPr>
        <a:xfrm>
          <a:off x="22411" y="4896971"/>
          <a:ext cx="4751294" cy="212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共同住宅の住戸数計算は「共同住宅の住戸数計算」シートで計算ください。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85" zoomScaleNormal="85" workbookViewId="0">
      <selection activeCell="B5" sqref="B5:E5"/>
    </sheetView>
  </sheetViews>
  <sheetFormatPr defaultRowHeight="17.100000000000001" customHeight="1" x14ac:dyDescent="0.15"/>
  <cols>
    <col min="1" max="1" width="10.5" style="2" customWidth="1"/>
    <col min="2" max="2" width="20.5" style="2" bestFit="1" customWidth="1"/>
    <col min="3" max="3" width="5.625" style="2" customWidth="1"/>
    <col min="4" max="4" width="12.125" style="2" customWidth="1"/>
    <col min="5" max="5" width="7" style="2" customWidth="1"/>
    <col min="6" max="6" width="8.125" style="2" customWidth="1"/>
    <col min="7" max="7" width="12.125" style="2" customWidth="1"/>
    <col min="8" max="8" width="4.375" style="2" customWidth="1"/>
    <col min="9" max="9" width="8.75" style="2" customWidth="1"/>
    <col min="10" max="10" width="12.125" style="2" customWidth="1"/>
    <col min="11" max="11" width="4.125" style="2" customWidth="1"/>
    <col min="12" max="16384" width="9" style="2"/>
  </cols>
  <sheetData>
    <row r="1" spans="1:11" ht="13.5" x14ac:dyDescent="0.15"/>
    <row r="2" spans="1:11" ht="17.25" x14ac:dyDescent="0.2">
      <c r="A2" s="3" t="s">
        <v>0</v>
      </c>
    </row>
    <row r="3" spans="1:11" ht="17.100000000000001" customHeight="1" x14ac:dyDescent="0.15">
      <c r="A3" s="4" t="s">
        <v>1</v>
      </c>
    </row>
    <row r="4" spans="1:11" ht="17.100000000000001" customHeight="1" x14ac:dyDescent="0.15">
      <c r="A4" s="1" t="s">
        <v>2</v>
      </c>
      <c r="C4" s="2" t="s">
        <v>3</v>
      </c>
    </row>
    <row r="5" spans="1:11" ht="20.100000000000001" customHeight="1" x14ac:dyDescent="0.15">
      <c r="A5" s="9" t="s">
        <v>4</v>
      </c>
      <c r="B5" s="111"/>
      <c r="C5" s="112"/>
      <c r="D5" s="112"/>
      <c r="E5" s="113"/>
      <c r="F5" s="114" t="s">
        <v>5</v>
      </c>
      <c r="G5" s="115"/>
      <c r="H5" s="69"/>
      <c r="I5" s="108"/>
      <c r="J5" s="109"/>
      <c r="K5" s="110"/>
    </row>
    <row r="6" spans="1:11" ht="20.100000000000001" customHeight="1" x14ac:dyDescent="0.15">
      <c r="A6" s="114" t="s">
        <v>6</v>
      </c>
      <c r="B6" s="69"/>
      <c r="C6" s="114" t="s">
        <v>7</v>
      </c>
      <c r="D6" s="115"/>
      <c r="E6" s="69"/>
      <c r="F6" s="116" t="s">
        <v>8</v>
      </c>
      <c r="G6" s="117"/>
      <c r="H6" s="118"/>
      <c r="I6" s="114" t="s">
        <v>9</v>
      </c>
      <c r="J6" s="115"/>
      <c r="K6" s="69"/>
    </row>
    <row r="7" spans="1:11" ht="20.100000000000001" customHeight="1" x14ac:dyDescent="0.15">
      <c r="A7" s="83" t="s">
        <v>10</v>
      </c>
      <c r="B7" s="5" t="s">
        <v>12</v>
      </c>
      <c r="C7" s="6"/>
      <c r="D7" s="52"/>
      <c r="E7" s="7" t="s">
        <v>25</v>
      </c>
      <c r="F7" s="92" t="str">
        <f>IF(D$15&lt;&gt;0,ROUND(D$15/D$14*D7,2),"")</f>
        <v/>
      </c>
      <c r="G7" s="93"/>
      <c r="H7" s="7" t="s">
        <v>25</v>
      </c>
      <c r="I7" s="28" t="s">
        <v>62</v>
      </c>
      <c r="J7" s="38">
        <f>SUM(D7,F7)</f>
        <v>0</v>
      </c>
      <c r="K7" s="7" t="s">
        <v>25</v>
      </c>
    </row>
    <row r="8" spans="1:11" ht="20.100000000000001" customHeight="1" x14ac:dyDescent="0.15">
      <c r="A8" s="84"/>
      <c r="B8" s="5" t="s">
        <v>13</v>
      </c>
      <c r="C8" s="6"/>
      <c r="D8" s="52"/>
      <c r="E8" s="7" t="s">
        <v>25</v>
      </c>
      <c r="F8" s="92" t="str">
        <f>IF(D$15&lt;&gt;0,ROUND(D$15/D$14*D8,2),"")</f>
        <v/>
      </c>
      <c r="G8" s="93"/>
      <c r="H8" s="7" t="s">
        <v>25</v>
      </c>
      <c r="I8" s="28" t="s">
        <v>63</v>
      </c>
      <c r="J8" s="38">
        <f t="shared" ref="J8:J13" si="0">SUM(D8,F8)</f>
        <v>0</v>
      </c>
      <c r="K8" s="7" t="s">
        <v>25</v>
      </c>
    </row>
    <row r="9" spans="1:11" ht="20.100000000000001" customHeight="1" x14ac:dyDescent="0.15">
      <c r="A9" s="84"/>
      <c r="B9" s="5" t="s">
        <v>14</v>
      </c>
      <c r="C9" s="6"/>
      <c r="D9" s="52"/>
      <c r="E9" s="7" t="s">
        <v>25</v>
      </c>
      <c r="F9" s="92" t="str">
        <f t="shared" ref="F9:F13" si="1">IF(D$15&lt;&gt;0,ROUND(D$15/D$14*D9,2),"")</f>
        <v/>
      </c>
      <c r="G9" s="93"/>
      <c r="H9" s="7" t="s">
        <v>25</v>
      </c>
      <c r="I9" s="28" t="s">
        <v>64</v>
      </c>
      <c r="J9" s="38">
        <f t="shared" si="0"/>
        <v>0</v>
      </c>
      <c r="K9" s="7" t="s">
        <v>25</v>
      </c>
    </row>
    <row r="10" spans="1:11" ht="20.100000000000001" customHeight="1" x14ac:dyDescent="0.15">
      <c r="A10" s="85"/>
      <c r="B10" s="5" t="s">
        <v>15</v>
      </c>
      <c r="C10" s="6"/>
      <c r="D10" s="52"/>
      <c r="E10" s="7" t="s">
        <v>25</v>
      </c>
      <c r="F10" s="92" t="str">
        <f>IF(D$15&lt;&gt;0,ROUND(D$15/D$14*D10,2),"")</f>
        <v/>
      </c>
      <c r="G10" s="93"/>
      <c r="H10" s="7" t="s">
        <v>25</v>
      </c>
      <c r="I10" s="28" t="s">
        <v>65</v>
      </c>
      <c r="J10" s="38">
        <f t="shared" si="0"/>
        <v>0</v>
      </c>
      <c r="K10" s="7" t="s">
        <v>25</v>
      </c>
    </row>
    <row r="11" spans="1:11" ht="20.100000000000001" customHeight="1" x14ac:dyDescent="0.15">
      <c r="A11" s="86" t="s">
        <v>11</v>
      </c>
      <c r="B11" s="5" t="s">
        <v>16</v>
      </c>
      <c r="C11" s="6"/>
      <c r="D11" s="52"/>
      <c r="E11" s="7" t="s">
        <v>25</v>
      </c>
      <c r="F11" s="92" t="str">
        <f t="shared" si="1"/>
        <v/>
      </c>
      <c r="G11" s="93"/>
      <c r="H11" s="7" t="s">
        <v>25</v>
      </c>
      <c r="I11" s="28" t="s">
        <v>66</v>
      </c>
      <c r="J11" s="38">
        <f t="shared" si="0"/>
        <v>0</v>
      </c>
      <c r="K11" s="7" t="s">
        <v>25</v>
      </c>
    </row>
    <row r="12" spans="1:11" ht="20.100000000000001" customHeight="1" x14ac:dyDescent="0.15">
      <c r="A12" s="87"/>
      <c r="B12" s="5" t="s">
        <v>17</v>
      </c>
      <c r="C12" s="6"/>
      <c r="D12" s="52"/>
      <c r="E12" s="7" t="s">
        <v>25</v>
      </c>
      <c r="F12" s="92" t="str">
        <f t="shared" si="1"/>
        <v/>
      </c>
      <c r="G12" s="93"/>
      <c r="H12" s="7" t="s">
        <v>25</v>
      </c>
      <c r="I12" s="28" t="s">
        <v>67</v>
      </c>
      <c r="J12" s="38">
        <f t="shared" si="0"/>
        <v>0</v>
      </c>
      <c r="K12" s="7" t="s">
        <v>25</v>
      </c>
    </row>
    <row r="13" spans="1:11" ht="20.100000000000001" customHeight="1" x14ac:dyDescent="0.15">
      <c r="A13" s="88"/>
      <c r="B13" s="5" t="s">
        <v>18</v>
      </c>
      <c r="C13" s="6"/>
      <c r="D13" s="52"/>
      <c r="E13" s="7" t="s">
        <v>25</v>
      </c>
      <c r="F13" s="92" t="str">
        <f t="shared" si="1"/>
        <v/>
      </c>
      <c r="G13" s="93"/>
      <c r="H13" s="7" t="s">
        <v>25</v>
      </c>
      <c r="I13" s="28" t="s">
        <v>68</v>
      </c>
      <c r="J13" s="38">
        <f t="shared" si="0"/>
        <v>0</v>
      </c>
      <c r="K13" s="7" t="s">
        <v>25</v>
      </c>
    </row>
    <row r="14" spans="1:11" ht="20.100000000000001" customHeight="1" x14ac:dyDescent="0.15">
      <c r="A14" s="120" t="s">
        <v>19</v>
      </c>
      <c r="B14" s="121"/>
      <c r="C14" s="6"/>
      <c r="D14" s="39">
        <f>SUM(D7:D13)</f>
        <v>0</v>
      </c>
      <c r="E14" s="7" t="s">
        <v>25</v>
      </c>
      <c r="F14" s="94"/>
      <c r="G14" s="95"/>
      <c r="H14" s="95"/>
      <c r="I14" s="95"/>
      <c r="J14" s="95"/>
      <c r="K14" s="96"/>
    </row>
    <row r="15" spans="1:11" ht="20.100000000000001" customHeight="1" x14ac:dyDescent="0.15">
      <c r="A15" s="120" t="s">
        <v>20</v>
      </c>
      <c r="B15" s="121"/>
      <c r="C15" s="6"/>
      <c r="D15" s="52"/>
      <c r="E15" s="7" t="s">
        <v>25</v>
      </c>
      <c r="F15" s="97"/>
      <c r="G15" s="98"/>
      <c r="H15" s="98"/>
      <c r="I15" s="98"/>
      <c r="J15" s="98"/>
      <c r="K15" s="99"/>
    </row>
    <row r="16" spans="1:11" ht="20.100000000000001" customHeight="1" x14ac:dyDescent="0.15">
      <c r="A16" s="120" t="s">
        <v>21</v>
      </c>
      <c r="B16" s="121"/>
      <c r="C16" s="6"/>
      <c r="D16" s="52"/>
      <c r="E16" s="7" t="s">
        <v>25</v>
      </c>
      <c r="F16" s="97"/>
      <c r="G16" s="98"/>
      <c r="H16" s="98"/>
      <c r="I16" s="98"/>
      <c r="J16" s="98"/>
      <c r="K16" s="99"/>
    </row>
    <row r="17" spans="1:11" ht="20.100000000000001" customHeight="1" x14ac:dyDescent="0.15">
      <c r="A17" s="120" t="s">
        <v>22</v>
      </c>
      <c r="B17" s="121"/>
      <c r="C17" s="28" t="s">
        <v>69</v>
      </c>
      <c r="D17" s="38">
        <f>SUM(D14:D15)</f>
        <v>0</v>
      </c>
      <c r="E17" s="7" t="s">
        <v>25</v>
      </c>
      <c r="F17" s="97"/>
      <c r="G17" s="98"/>
      <c r="H17" s="98"/>
      <c r="I17" s="98"/>
      <c r="J17" s="98"/>
      <c r="K17" s="99"/>
    </row>
    <row r="18" spans="1:11" ht="20.100000000000001" customHeight="1" thickBot="1" x14ac:dyDescent="0.2">
      <c r="A18" s="122" t="s">
        <v>23</v>
      </c>
      <c r="B18" s="123"/>
      <c r="C18" s="100">
        <f>SUM(D16:D17)</f>
        <v>0</v>
      </c>
      <c r="D18" s="101"/>
      <c r="E18" s="18" t="s">
        <v>25</v>
      </c>
      <c r="F18" s="97"/>
      <c r="G18" s="98"/>
      <c r="H18" s="98"/>
      <c r="I18" s="98"/>
      <c r="J18" s="98"/>
      <c r="K18" s="99"/>
    </row>
    <row r="19" spans="1:11" ht="20.100000000000001" customHeight="1" thickTop="1" x14ac:dyDescent="0.15">
      <c r="A19" s="102" t="s">
        <v>148</v>
      </c>
      <c r="B19" s="103"/>
      <c r="C19" s="103"/>
      <c r="D19" s="103"/>
      <c r="E19" s="104"/>
      <c r="F19" s="29" t="s">
        <v>70</v>
      </c>
      <c r="G19" s="62">
        <f>共同住宅の住戸数計算!C3</f>
        <v>0</v>
      </c>
      <c r="H19" s="19" t="s">
        <v>27</v>
      </c>
      <c r="I19" s="20"/>
      <c r="J19" s="19"/>
      <c r="K19" s="21"/>
    </row>
    <row r="20" spans="1:11" ht="27" customHeight="1" x14ac:dyDescent="0.15">
      <c r="A20" s="105"/>
      <c r="B20" s="106"/>
      <c r="C20" s="106"/>
      <c r="D20" s="106"/>
      <c r="E20" s="107"/>
      <c r="F20" s="30" t="s">
        <v>71</v>
      </c>
      <c r="G20" s="63">
        <f>共同住宅の住戸数計算!C11</f>
        <v>0</v>
      </c>
      <c r="H20" s="16" t="s">
        <v>26</v>
      </c>
      <c r="I20" s="13"/>
      <c r="J20" s="127" t="s">
        <v>140</v>
      </c>
      <c r="K20" s="17"/>
    </row>
    <row r="21" spans="1:11" ht="17.100000000000001" customHeight="1" x14ac:dyDescent="0.15">
      <c r="A21" s="56"/>
      <c r="G21" s="51">
        <f>IF(G20&lt;&gt;"",G20,G19)</f>
        <v>0</v>
      </c>
    </row>
    <row r="22" spans="1:11" ht="17.100000000000001" customHeight="1" x14ac:dyDescent="0.15">
      <c r="A22" s="55"/>
      <c r="G22" s="51"/>
    </row>
    <row r="23" spans="1:11" ht="13.5" x14ac:dyDescent="0.15">
      <c r="A23" s="1" t="s">
        <v>28</v>
      </c>
    </row>
    <row r="24" spans="1:11" ht="17.100000000000001" customHeight="1" x14ac:dyDescent="0.15">
      <c r="A24" s="2" t="s">
        <v>72</v>
      </c>
      <c r="H24" s="31">
        <v>10</v>
      </c>
      <c r="I24" s="70">
        <f>ROUND(J7+J8+J9+J10+(J11+J12+J13)*0.75,2)</f>
        <v>0</v>
      </c>
      <c r="J24" s="70"/>
      <c r="K24" s="13" t="s">
        <v>25</v>
      </c>
    </row>
    <row r="25" spans="1:11" ht="17.100000000000001" customHeight="1" x14ac:dyDescent="0.15">
      <c r="A25" s="2" t="s">
        <v>73</v>
      </c>
    </row>
    <row r="26" spans="1:11" ht="17.100000000000001" customHeight="1" x14ac:dyDescent="0.15">
      <c r="A26" s="2" t="s">
        <v>74</v>
      </c>
      <c r="J26" s="51" t="b">
        <f>I24&gt;1500</f>
        <v>0</v>
      </c>
    </row>
    <row r="27" spans="1:11" ht="17.100000000000001" customHeight="1" x14ac:dyDescent="0.15">
      <c r="H27" s="119"/>
      <c r="I27" s="119"/>
    </row>
    <row r="28" spans="1:11" ht="17.100000000000001" customHeight="1" x14ac:dyDescent="0.15">
      <c r="A28" s="1" t="s">
        <v>29</v>
      </c>
    </row>
    <row r="29" spans="1:11" ht="17.100000000000001" customHeight="1" x14ac:dyDescent="0.15">
      <c r="A29" s="2" t="s">
        <v>75</v>
      </c>
    </row>
    <row r="30" spans="1:11" ht="17.100000000000001" customHeight="1" x14ac:dyDescent="0.15">
      <c r="A30" s="2" t="s">
        <v>76</v>
      </c>
    </row>
    <row r="31" spans="1:11" ht="20.100000000000001" customHeight="1" x14ac:dyDescent="0.15">
      <c r="A31" s="89" t="s">
        <v>30</v>
      </c>
      <c r="B31" s="90"/>
      <c r="C31" s="91"/>
      <c r="D31" s="89" t="s">
        <v>31</v>
      </c>
      <c r="E31" s="90"/>
      <c r="F31" s="90"/>
      <c r="G31" s="90"/>
      <c r="H31" s="91"/>
      <c r="I31" s="89" t="s">
        <v>32</v>
      </c>
      <c r="J31" s="90"/>
      <c r="K31" s="91"/>
    </row>
    <row r="32" spans="1:11" ht="20.100000000000001" customHeight="1" x14ac:dyDescent="0.15">
      <c r="A32" s="73" t="s">
        <v>33</v>
      </c>
      <c r="B32" s="74"/>
      <c r="C32" s="75"/>
      <c r="D32" s="47">
        <v>10000</v>
      </c>
      <c r="E32" s="10" t="s">
        <v>38</v>
      </c>
      <c r="F32" s="10" t="s">
        <v>37</v>
      </c>
      <c r="G32" s="22">
        <v>1</v>
      </c>
      <c r="H32" s="7"/>
      <c r="I32" s="8"/>
      <c r="J32" s="44" t="str">
        <f>IF(J8&gt;10000,D32*G32,"")</f>
        <v/>
      </c>
      <c r="K32" s="7" t="s">
        <v>25</v>
      </c>
    </row>
    <row r="33" spans="1:11" ht="20.100000000000001" customHeight="1" x14ac:dyDescent="0.15">
      <c r="A33" s="73" t="s">
        <v>34</v>
      </c>
      <c r="B33" s="74"/>
      <c r="C33" s="75"/>
      <c r="D33" s="47" t="str">
        <f>IF(J8&gt;50000,40000,IF(AND(J8&gt;10000,J8&lt;=50000),J8-10000,""))</f>
        <v/>
      </c>
      <c r="E33" s="10" t="s">
        <v>38</v>
      </c>
      <c r="F33" s="10" t="s">
        <v>37</v>
      </c>
      <c r="G33" s="22">
        <v>0.7</v>
      </c>
      <c r="H33" s="7"/>
      <c r="I33" s="8"/>
      <c r="J33" s="44" t="str">
        <f>IF(J8&gt;50000,40000*G33,IF(AND(J8&gt;10000,J8&lt;=50000),(J8-10000)*G33,""))</f>
        <v/>
      </c>
      <c r="K33" s="7" t="s">
        <v>24</v>
      </c>
    </row>
    <row r="34" spans="1:11" ht="20.100000000000001" customHeight="1" x14ac:dyDescent="0.15">
      <c r="A34" s="73" t="s">
        <v>35</v>
      </c>
      <c r="B34" s="74"/>
      <c r="C34" s="75"/>
      <c r="D34" s="47" t="str">
        <f>IF(J8&gt;100000,50000,IF(AND(J8&gt;50000,J8&lt;=100000),J8-50000,""))</f>
        <v/>
      </c>
      <c r="E34" s="10" t="s">
        <v>38</v>
      </c>
      <c r="F34" s="10" t="s">
        <v>37</v>
      </c>
      <c r="G34" s="22">
        <v>0.6</v>
      </c>
      <c r="H34" s="7"/>
      <c r="I34" s="8"/>
      <c r="J34" s="44" t="str">
        <f>IF(J8&gt;100000,50000*G34,IF(AND(J8&gt;50000,J8&lt;=100000),(J8-50000)*G34,""))</f>
        <v/>
      </c>
      <c r="K34" s="7" t="s">
        <v>24</v>
      </c>
    </row>
    <row r="35" spans="1:11" ht="20.100000000000001" customHeight="1" thickBot="1" x14ac:dyDescent="0.2">
      <c r="A35" s="77" t="s">
        <v>36</v>
      </c>
      <c r="B35" s="78"/>
      <c r="C35" s="79"/>
      <c r="D35" s="48" t="str">
        <f>IF(J8&gt;100000,J8-100000,"")</f>
        <v/>
      </c>
      <c r="E35" s="11" t="s">
        <v>39</v>
      </c>
      <c r="F35" s="11" t="s">
        <v>37</v>
      </c>
      <c r="G35" s="24">
        <v>0.5</v>
      </c>
      <c r="H35" s="18"/>
      <c r="I35" s="23"/>
      <c r="J35" s="45" t="str">
        <f>IF(J8&gt;100000,(J8-100000)*G35,"")</f>
        <v/>
      </c>
      <c r="K35" s="18" t="s">
        <v>24</v>
      </c>
    </row>
    <row r="36" spans="1:11" ht="20.100000000000001" customHeight="1" thickTop="1" x14ac:dyDescent="0.15">
      <c r="A36" s="80" t="s">
        <v>23</v>
      </c>
      <c r="B36" s="81"/>
      <c r="C36" s="82"/>
      <c r="D36" s="32" t="s">
        <v>63</v>
      </c>
      <c r="E36" s="76">
        <f>J8</f>
        <v>0</v>
      </c>
      <c r="F36" s="76"/>
      <c r="G36" s="76"/>
      <c r="H36" s="25" t="s">
        <v>25</v>
      </c>
      <c r="I36" s="33" t="s">
        <v>77</v>
      </c>
      <c r="J36" s="46">
        <f>SUM(J32:J35)</f>
        <v>0</v>
      </c>
      <c r="K36" s="25" t="s">
        <v>24</v>
      </c>
    </row>
    <row r="38" spans="1:11" ht="17.100000000000001" customHeight="1" x14ac:dyDescent="0.15">
      <c r="J38" s="64">
        <f>IF(J36&lt;&gt;0,J36,E36)</f>
        <v>0</v>
      </c>
    </row>
    <row r="39" spans="1:11" ht="17.100000000000001" customHeight="1" x14ac:dyDescent="0.15">
      <c r="A39" s="1" t="s">
        <v>40</v>
      </c>
    </row>
    <row r="40" spans="1:11" ht="17.100000000000001" customHeight="1" x14ac:dyDescent="0.15">
      <c r="A40" s="2" t="s">
        <v>41</v>
      </c>
    </row>
    <row r="41" spans="1:11" ht="17.100000000000001" customHeight="1" x14ac:dyDescent="0.15">
      <c r="A41" s="2" t="s">
        <v>42</v>
      </c>
    </row>
    <row r="42" spans="1:11" ht="17.100000000000001" customHeight="1" x14ac:dyDescent="0.15">
      <c r="A42" s="2" t="s">
        <v>78</v>
      </c>
      <c r="C42" s="70" t="str">
        <f>IF(J26,ROUND(J7/300,2),"")</f>
        <v/>
      </c>
      <c r="D42" s="70"/>
      <c r="E42" s="2" t="s">
        <v>44</v>
      </c>
    </row>
    <row r="43" spans="1:11" ht="17.100000000000001" customHeight="1" x14ac:dyDescent="0.15">
      <c r="A43" s="2" t="s">
        <v>45</v>
      </c>
    </row>
    <row r="44" spans="1:11" ht="17.100000000000001" customHeight="1" x14ac:dyDescent="0.15">
      <c r="A44" s="2" t="s">
        <v>79</v>
      </c>
      <c r="E44" s="70" t="str">
        <f>IF(J26,IF(J8&gt;10000,ROUND((J36+J9+J10)/350,2),ROUND((J8+J9+J10)/350,2)),"")</f>
        <v/>
      </c>
      <c r="F44" s="70"/>
      <c r="G44" s="2" t="s">
        <v>44</v>
      </c>
    </row>
    <row r="45" spans="1:11" ht="17.100000000000001" customHeight="1" x14ac:dyDescent="0.15">
      <c r="A45" s="2" t="s">
        <v>46</v>
      </c>
    </row>
    <row r="46" spans="1:11" ht="17.100000000000001" customHeight="1" x14ac:dyDescent="0.15">
      <c r="A46" s="2" t="s">
        <v>80</v>
      </c>
      <c r="C46" s="70" t="str">
        <f>IF(J26,ROUND(J11/600,2),"")</f>
        <v/>
      </c>
      <c r="D46" s="70"/>
      <c r="E46" s="2" t="s">
        <v>44</v>
      </c>
    </row>
    <row r="47" spans="1:11" ht="17.100000000000001" customHeight="1" x14ac:dyDescent="0.15">
      <c r="A47" s="2" t="s">
        <v>81</v>
      </c>
      <c r="C47" s="70" t="str">
        <f>IF(J26,SUM(C42,E44,C46),"")</f>
        <v/>
      </c>
      <c r="D47" s="67"/>
      <c r="E47" s="2" t="s">
        <v>43</v>
      </c>
    </row>
    <row r="48" spans="1:11" ht="17.100000000000001" customHeight="1" x14ac:dyDescent="0.15">
      <c r="A48" s="2" t="s">
        <v>82</v>
      </c>
    </row>
    <row r="50" spans="1:10" ht="17.100000000000001" customHeight="1" x14ac:dyDescent="0.15">
      <c r="B50" s="26" t="s">
        <v>47</v>
      </c>
      <c r="C50" s="2" t="s">
        <v>83</v>
      </c>
    </row>
    <row r="51" spans="1:10" ht="17.100000000000001" customHeight="1" x14ac:dyDescent="0.15">
      <c r="C51" s="11" t="s">
        <v>84</v>
      </c>
      <c r="D51" s="11"/>
      <c r="E51" s="11"/>
      <c r="F51" s="11"/>
    </row>
    <row r="53" spans="1:10" ht="17.100000000000001" customHeight="1" x14ac:dyDescent="0.15">
      <c r="C53" s="34" t="s">
        <v>107</v>
      </c>
      <c r="D53" s="42" t="str">
        <f>IF(J26,IF(AND(D17&gt;0,D17&lt;6000),ROUND((1-(1500*(6000-D17))/(6000*I24-1500*D17)),5),""),"")</f>
        <v/>
      </c>
      <c r="E53" s="13"/>
      <c r="F53" s="2" t="s">
        <v>48</v>
      </c>
    </row>
    <row r="55" spans="1:10" ht="17.100000000000001" customHeight="1" x14ac:dyDescent="0.15">
      <c r="A55" s="2" t="s">
        <v>49</v>
      </c>
    </row>
    <row r="56" spans="1:10" ht="17.100000000000001" customHeight="1" x14ac:dyDescent="0.15">
      <c r="A56" s="2" t="s">
        <v>85</v>
      </c>
      <c r="D56" s="40" t="str">
        <f>IF(J26,IF(AND(D17&gt;0,D17&lt;6000),C47*D53,""),"")</f>
        <v/>
      </c>
      <c r="E56" s="2" t="s">
        <v>87</v>
      </c>
      <c r="H56" s="72" t="str">
        <f>IF(J26,IF(D56&lt;&gt;"",ROUNDUP(D56,0),""),"")</f>
        <v/>
      </c>
      <c r="I56" s="72"/>
      <c r="J56" s="2" t="s">
        <v>43</v>
      </c>
    </row>
    <row r="57" spans="1:10" ht="17.100000000000001" customHeight="1" x14ac:dyDescent="0.15">
      <c r="A57" s="2" t="s">
        <v>86</v>
      </c>
      <c r="D57" s="40" t="str">
        <f>IF(J26,IF(D17&gt;=6000,C47,""),"")</f>
        <v/>
      </c>
      <c r="E57" s="2" t="s">
        <v>88</v>
      </c>
      <c r="H57" s="72" t="str">
        <f>IF(J26,IF(D57&lt;&gt;"",ROUNDUP(D57,0),""),"")</f>
        <v/>
      </c>
      <c r="I57" s="72"/>
      <c r="J57" s="2" t="s">
        <v>43</v>
      </c>
    </row>
    <row r="58" spans="1:10" ht="17.100000000000001" customHeight="1" x14ac:dyDescent="0.15">
      <c r="I58" s="49"/>
    </row>
    <row r="59" spans="1:10" ht="17.100000000000001" customHeight="1" x14ac:dyDescent="0.15">
      <c r="A59" s="2" t="s">
        <v>50</v>
      </c>
      <c r="I59" s="51" t="str">
        <f>IF(D56&lt;&gt;"",H56,H57)</f>
        <v/>
      </c>
    </row>
    <row r="60" spans="1:10" ht="17.100000000000001" hidden="1" customHeight="1" x14ac:dyDescent="0.15">
      <c r="A60" s="2" t="s">
        <v>51</v>
      </c>
    </row>
    <row r="61" spans="1:10" ht="17.100000000000001" hidden="1" customHeight="1" x14ac:dyDescent="0.15">
      <c r="A61" s="2" t="s">
        <v>89</v>
      </c>
      <c r="D61" s="13" t="str">
        <f>IF(J26,IF(J20="あり",ROUNDUP(G21/3-2,0),""),"")</f>
        <v/>
      </c>
      <c r="E61" s="2" t="s">
        <v>52</v>
      </c>
    </row>
    <row r="62" spans="1:10" ht="17.100000000000001" hidden="1" customHeight="1" x14ac:dyDescent="0.15">
      <c r="A62" s="2" t="s">
        <v>53</v>
      </c>
    </row>
    <row r="63" spans="1:10" ht="17.100000000000001" customHeight="1" x14ac:dyDescent="0.15">
      <c r="A63" s="2" t="s">
        <v>90</v>
      </c>
      <c r="D63" s="13" t="str">
        <f>IF(J26,IF(J20="なし",ROUNDUP(G21/3,0),""),"")</f>
        <v/>
      </c>
      <c r="E63" s="2" t="s">
        <v>52</v>
      </c>
      <c r="I63" s="51" t="str">
        <f>IF(D61&lt;&gt;"",D61,D63)</f>
        <v/>
      </c>
    </row>
    <row r="64" spans="1:10" ht="17.100000000000001" customHeight="1" x14ac:dyDescent="0.15">
      <c r="A64" s="128" t="s">
        <v>153</v>
      </c>
    </row>
    <row r="65" spans="1:10" ht="17.100000000000001" customHeight="1" x14ac:dyDescent="0.15">
      <c r="A65" s="2" t="s">
        <v>54</v>
      </c>
    </row>
    <row r="66" spans="1:10" ht="17.100000000000001" customHeight="1" x14ac:dyDescent="0.15">
      <c r="A66" s="2" t="s">
        <v>91</v>
      </c>
      <c r="C66" s="67" t="str">
        <f>IF(J26,I59+I63,"")</f>
        <v/>
      </c>
      <c r="D66" s="67"/>
      <c r="E66" s="2" t="s">
        <v>43</v>
      </c>
    </row>
    <row r="69" spans="1:10" ht="17.100000000000001" customHeight="1" x14ac:dyDescent="0.15">
      <c r="A69" s="1" t="s">
        <v>55</v>
      </c>
    </row>
    <row r="70" spans="1:10" ht="17.100000000000001" customHeight="1" x14ac:dyDescent="0.15">
      <c r="A70" s="2" t="s">
        <v>56</v>
      </c>
    </row>
    <row r="71" spans="1:10" ht="17.100000000000001" customHeight="1" x14ac:dyDescent="0.15">
      <c r="A71" s="2" t="s">
        <v>92</v>
      </c>
      <c r="C71" s="67" t="str">
        <f>IF(J26,ROUNDUP(I59*0.3,0),"")</f>
        <v/>
      </c>
      <c r="D71" s="67"/>
      <c r="E71" s="2" t="s">
        <v>52</v>
      </c>
    </row>
    <row r="72" spans="1:10" ht="17.100000000000001" customHeight="1" x14ac:dyDescent="0.15">
      <c r="A72" s="2" t="s">
        <v>57</v>
      </c>
    </row>
    <row r="73" spans="1:10" ht="17.100000000000001" customHeight="1" x14ac:dyDescent="0.15">
      <c r="A73" s="2" t="s">
        <v>93</v>
      </c>
      <c r="C73" s="67" t="str">
        <f>IF(J26,I59-C71+I63,"")</f>
        <v/>
      </c>
      <c r="D73" s="67"/>
      <c r="E73" s="2" t="s">
        <v>43</v>
      </c>
    </row>
    <row r="76" spans="1:10" ht="17.100000000000001" customHeight="1" x14ac:dyDescent="0.15">
      <c r="A76" s="1" t="s">
        <v>58</v>
      </c>
    </row>
    <row r="77" spans="1:10" ht="17.100000000000001" customHeight="1" x14ac:dyDescent="0.15">
      <c r="A77" s="2" t="s">
        <v>94</v>
      </c>
      <c r="G77" s="70">
        <f>J7+J38+J9+J10</f>
        <v>0</v>
      </c>
      <c r="H77" s="67"/>
      <c r="I77" s="2" t="s">
        <v>25</v>
      </c>
      <c r="J77" s="51" t="b">
        <f>G77&gt;3000</f>
        <v>0</v>
      </c>
    </row>
    <row r="78" spans="1:10" ht="17.100000000000001" customHeight="1" x14ac:dyDescent="0.15">
      <c r="A78" s="27" t="s">
        <v>95</v>
      </c>
    </row>
    <row r="79" spans="1:10" ht="17.100000000000001" customHeight="1" x14ac:dyDescent="0.15">
      <c r="A79" s="27" t="s">
        <v>96</v>
      </c>
    </row>
    <row r="81" spans="1:6" ht="17.100000000000001" customHeight="1" x14ac:dyDescent="0.15">
      <c r="A81" s="2" t="s">
        <v>42</v>
      </c>
    </row>
    <row r="82" spans="1:6" ht="17.100000000000001" customHeight="1" x14ac:dyDescent="0.15">
      <c r="A82" s="2" t="s">
        <v>120</v>
      </c>
      <c r="D82" s="70" t="str">
        <f>IF(J77,ROUND(J7/2500,2),"")</f>
        <v/>
      </c>
      <c r="E82" s="70"/>
      <c r="F82" s="2" t="s">
        <v>44</v>
      </c>
    </row>
    <row r="83" spans="1:6" ht="17.100000000000001" customHeight="1" x14ac:dyDescent="0.15">
      <c r="A83" s="2" t="s">
        <v>59</v>
      </c>
      <c r="D83" s="41"/>
      <c r="E83" s="41"/>
    </row>
    <row r="84" spans="1:6" ht="17.100000000000001" customHeight="1" x14ac:dyDescent="0.15">
      <c r="A84" s="2" t="s">
        <v>97</v>
      </c>
      <c r="D84" s="70" t="str">
        <f>IF(J77,ROUND(J38/6000,2),"")</f>
        <v/>
      </c>
      <c r="E84" s="70"/>
      <c r="F84" s="2" t="s">
        <v>44</v>
      </c>
    </row>
    <row r="85" spans="1:6" ht="17.100000000000001" customHeight="1" x14ac:dyDescent="0.15">
      <c r="A85" s="2" t="s">
        <v>60</v>
      </c>
      <c r="D85" s="41"/>
      <c r="E85" s="41"/>
    </row>
    <row r="86" spans="1:6" ht="17.100000000000001" customHeight="1" x14ac:dyDescent="0.15">
      <c r="A86" s="2" t="s">
        <v>98</v>
      </c>
      <c r="D86" s="70" t="str">
        <f>IF(J77,ROUND(J9/2000,2),"")</f>
        <v/>
      </c>
      <c r="E86" s="70"/>
      <c r="F86" s="2" t="s">
        <v>44</v>
      </c>
    </row>
    <row r="87" spans="1:6" ht="17.100000000000001" customHeight="1" x14ac:dyDescent="0.15">
      <c r="A87" s="2" t="s">
        <v>61</v>
      </c>
      <c r="D87" s="41"/>
      <c r="E87" s="41"/>
    </row>
    <row r="88" spans="1:6" ht="17.100000000000001" customHeight="1" x14ac:dyDescent="0.15">
      <c r="A88" s="2" t="s">
        <v>99</v>
      </c>
      <c r="D88" s="70" t="str">
        <f>IF(J77,ROUND(J10/5000,2),"")</f>
        <v/>
      </c>
      <c r="E88" s="70"/>
      <c r="F88" s="2" t="s">
        <v>44</v>
      </c>
    </row>
    <row r="89" spans="1:6" ht="17.100000000000001" customHeight="1" x14ac:dyDescent="0.15">
      <c r="A89" s="2" t="s">
        <v>100</v>
      </c>
      <c r="D89" s="70" t="str">
        <f>IF(J77,SUM(D82,D84,D86,D88),"")</f>
        <v/>
      </c>
      <c r="E89" s="70"/>
      <c r="F89" s="2" t="s">
        <v>43</v>
      </c>
    </row>
    <row r="91" spans="1:6" ht="17.100000000000001" customHeight="1" x14ac:dyDescent="0.15">
      <c r="A91" s="2" t="s">
        <v>101</v>
      </c>
    </row>
    <row r="92" spans="1:6" ht="17.100000000000001" customHeight="1" x14ac:dyDescent="0.15">
      <c r="A92" s="2" t="s">
        <v>102</v>
      </c>
    </row>
    <row r="93" spans="1:6" ht="17.100000000000001" customHeight="1" x14ac:dyDescent="0.15">
      <c r="A93" s="2" t="s">
        <v>103</v>
      </c>
    </row>
    <row r="95" spans="1:6" ht="17.100000000000001" customHeight="1" x14ac:dyDescent="0.15">
      <c r="B95" s="26" t="s">
        <v>47</v>
      </c>
      <c r="C95" s="71" t="s">
        <v>104</v>
      </c>
      <c r="D95" s="71"/>
    </row>
    <row r="96" spans="1:6" ht="17.100000000000001" customHeight="1" x14ac:dyDescent="0.15">
      <c r="C96" s="66" t="s">
        <v>105</v>
      </c>
      <c r="D96" s="66"/>
      <c r="E96" s="12"/>
      <c r="F96" s="12"/>
    </row>
    <row r="98" spans="1:10" ht="17.100000000000001" customHeight="1" x14ac:dyDescent="0.15">
      <c r="B98" s="35"/>
      <c r="C98" s="34" t="s">
        <v>106</v>
      </c>
      <c r="D98" s="42" t="str">
        <f>IF(J77,IF(AND(D17&gt;0,D17&lt;6000),ROUND((1-((6000-D17)/D17)),5),""),"")</f>
        <v/>
      </c>
      <c r="E98" s="13"/>
      <c r="F98" s="2" t="s">
        <v>48</v>
      </c>
    </row>
    <row r="100" spans="1:10" ht="17.100000000000001" customHeight="1" x14ac:dyDescent="0.15">
      <c r="A100" s="2" t="s">
        <v>108</v>
      </c>
      <c r="D100" s="50" t="str">
        <f>IF(J77,IF(AND(D17&gt;0,D17&lt;6000),D89*D98,""),"")</f>
        <v/>
      </c>
      <c r="E100" s="2" t="s">
        <v>110</v>
      </c>
      <c r="H100" s="67" t="str">
        <f>IF(J77,IF(D100&lt;&gt;"",ROUNDUP(D100,0),""),"")</f>
        <v/>
      </c>
      <c r="I100" s="67"/>
      <c r="J100" s="2" t="s">
        <v>43</v>
      </c>
    </row>
    <row r="101" spans="1:10" ht="17.100000000000001" customHeight="1" x14ac:dyDescent="0.15">
      <c r="A101" s="2" t="s">
        <v>109</v>
      </c>
      <c r="D101" s="50" t="str">
        <f>IF(J77,IF(D17&gt;=6000,D89,""),"")</f>
        <v/>
      </c>
      <c r="E101" s="2" t="s">
        <v>111</v>
      </c>
      <c r="H101" s="67" t="str">
        <f>IF(J77,IF(D101&lt;&gt;"",ROUNDUP(D101,0),""),"")</f>
        <v/>
      </c>
      <c r="I101" s="67"/>
      <c r="J101" s="2" t="s">
        <v>43</v>
      </c>
    </row>
    <row r="102" spans="1:10" ht="17.100000000000001" customHeight="1" x14ac:dyDescent="0.15">
      <c r="A102" s="2" t="s">
        <v>112</v>
      </c>
      <c r="J102" s="51" t="str">
        <f>IF(H100&lt;&gt;"",H100,H101)</f>
        <v/>
      </c>
    </row>
    <row r="105" spans="1:10" ht="17.100000000000001" customHeight="1" x14ac:dyDescent="0.15">
      <c r="A105" s="1" t="s">
        <v>113</v>
      </c>
    </row>
    <row r="106" spans="1:10" ht="17.100000000000001" customHeight="1" x14ac:dyDescent="0.15">
      <c r="A106" s="2" t="s">
        <v>114</v>
      </c>
      <c r="G106" s="70">
        <f>J7+J38+J9+J10</f>
        <v>0</v>
      </c>
      <c r="H106" s="67"/>
      <c r="I106" s="2" t="s">
        <v>25</v>
      </c>
      <c r="J106" s="51" t="b">
        <f>G106&gt;1500</f>
        <v>0</v>
      </c>
    </row>
    <row r="107" spans="1:10" ht="17.100000000000001" customHeight="1" x14ac:dyDescent="0.15">
      <c r="A107" s="27" t="s">
        <v>115</v>
      </c>
    </row>
    <row r="108" spans="1:10" ht="17.100000000000001" customHeight="1" x14ac:dyDescent="0.15">
      <c r="A108" s="27" t="s">
        <v>116</v>
      </c>
    </row>
    <row r="110" spans="1:10" ht="17.100000000000001" customHeight="1" x14ac:dyDescent="0.15">
      <c r="A110" s="2" t="s">
        <v>117</v>
      </c>
    </row>
    <row r="111" spans="1:10" ht="17.100000000000001" customHeight="1" x14ac:dyDescent="0.15">
      <c r="A111" s="2" t="s">
        <v>119</v>
      </c>
      <c r="D111" s="70" t="str">
        <f>IF(J106,ROUND((J7+J38)/3000,2),"")</f>
        <v/>
      </c>
      <c r="E111" s="70"/>
      <c r="F111" s="2" t="s">
        <v>44</v>
      </c>
    </row>
    <row r="112" spans="1:10" ht="17.100000000000001" customHeight="1" x14ac:dyDescent="0.15">
      <c r="A112" s="2" t="s">
        <v>118</v>
      </c>
      <c r="D112" s="41"/>
      <c r="E112" s="41"/>
    </row>
    <row r="113" spans="1:10" ht="17.100000000000001" customHeight="1" x14ac:dyDescent="0.15">
      <c r="A113" s="2" t="s">
        <v>121</v>
      </c>
      <c r="D113" s="70" t="str">
        <f>IF(J106,ROUND((J9+J10)/8000,2),"")</f>
        <v/>
      </c>
      <c r="E113" s="70"/>
      <c r="F113" s="2" t="s">
        <v>44</v>
      </c>
    </row>
    <row r="114" spans="1:10" ht="17.100000000000001" customHeight="1" x14ac:dyDescent="0.15">
      <c r="A114" s="2" t="s">
        <v>122</v>
      </c>
      <c r="D114" s="70" t="str">
        <f>IF(J106,D111+D113,"")</f>
        <v/>
      </c>
      <c r="E114" s="70"/>
      <c r="F114" s="2" t="s">
        <v>43</v>
      </c>
    </row>
    <row r="116" spans="1:10" ht="17.100000000000001" customHeight="1" x14ac:dyDescent="0.15">
      <c r="A116" s="2" t="s">
        <v>123</v>
      </c>
    </row>
    <row r="117" spans="1:10" ht="17.100000000000001" customHeight="1" x14ac:dyDescent="0.15">
      <c r="A117" s="2" t="s">
        <v>124</v>
      </c>
    </row>
    <row r="119" spans="1:10" ht="17.100000000000001" customHeight="1" x14ac:dyDescent="0.15">
      <c r="B119" s="26" t="s">
        <v>47</v>
      </c>
      <c r="C119" s="65" t="s">
        <v>125</v>
      </c>
      <c r="D119" s="65"/>
      <c r="E119" s="65"/>
    </row>
    <row r="120" spans="1:10" ht="17.100000000000001" customHeight="1" x14ac:dyDescent="0.15">
      <c r="C120" s="66" t="s">
        <v>126</v>
      </c>
      <c r="D120" s="66"/>
      <c r="E120" s="66"/>
      <c r="F120" s="12"/>
    </row>
    <row r="122" spans="1:10" ht="17.100000000000001" customHeight="1" x14ac:dyDescent="0.15">
      <c r="B122" s="35"/>
      <c r="C122" s="34" t="s">
        <v>127</v>
      </c>
      <c r="D122" s="42" t="str">
        <f>IF(J106,IF(AND(D17&gt;0,D17&lt;6000),ROUND((1-(1500*(6000-D17))/(4500*D17)),5),""),"")</f>
        <v/>
      </c>
      <c r="E122" s="13"/>
      <c r="F122" s="2" t="s">
        <v>48</v>
      </c>
    </row>
    <row r="124" spans="1:10" ht="17.100000000000001" customHeight="1" x14ac:dyDescent="0.15">
      <c r="A124" s="2" t="s">
        <v>128</v>
      </c>
      <c r="D124" s="40" t="str">
        <f>IF(J106,IF(AND(D17&gt;0,D17&lt;6000),D114*D122,""),"")</f>
        <v/>
      </c>
      <c r="E124" s="2" t="s">
        <v>130</v>
      </c>
      <c r="H124" s="67" t="str">
        <f>IF(J106,IF(D124&lt;&gt;"",ROUNDUP(D124,0),""),"")</f>
        <v/>
      </c>
      <c r="I124" s="67"/>
      <c r="J124" s="2" t="s">
        <v>43</v>
      </c>
    </row>
    <row r="125" spans="1:10" ht="17.100000000000001" customHeight="1" x14ac:dyDescent="0.15">
      <c r="A125" s="2" t="s">
        <v>129</v>
      </c>
      <c r="D125" s="40" t="str">
        <f>IF(J106,IF(D17&gt;=6000,D114,""),"")</f>
        <v/>
      </c>
      <c r="E125" s="2" t="s">
        <v>131</v>
      </c>
      <c r="H125" s="67" t="str">
        <f>IF(J106,IF(D125&lt;&gt;"",ROUNDUP(D125,0),""),"")</f>
        <v/>
      </c>
      <c r="I125" s="67"/>
      <c r="J125" s="2" t="s">
        <v>43</v>
      </c>
    </row>
    <row r="126" spans="1:10" ht="17.100000000000001" customHeight="1" x14ac:dyDescent="0.15">
      <c r="J126" s="51" t="str">
        <f>IF(H124&lt;&gt;"",H124,H125)</f>
        <v/>
      </c>
    </row>
    <row r="128" spans="1:10" ht="17.100000000000001" customHeight="1" x14ac:dyDescent="0.15">
      <c r="A128" s="1" t="s">
        <v>132</v>
      </c>
    </row>
    <row r="129" spans="1:10" ht="30" customHeight="1" x14ac:dyDescent="0.15">
      <c r="A129" s="5"/>
      <c r="B129" s="68" t="s">
        <v>135</v>
      </c>
      <c r="C129" s="69"/>
      <c r="D129" s="37" t="s">
        <v>136</v>
      </c>
      <c r="E129" s="68" t="s">
        <v>137</v>
      </c>
      <c r="F129" s="69"/>
      <c r="G129" s="68" t="s">
        <v>138</v>
      </c>
      <c r="H129" s="69"/>
      <c r="I129" s="68" t="s">
        <v>139</v>
      </c>
      <c r="J129" s="69"/>
    </row>
    <row r="130" spans="1:10" ht="30" customHeight="1" x14ac:dyDescent="0.15">
      <c r="A130" s="36" t="s">
        <v>133</v>
      </c>
      <c r="B130" s="14" t="str">
        <f>C71</f>
        <v/>
      </c>
      <c r="C130" s="15" t="s">
        <v>43</v>
      </c>
      <c r="D130" s="43" t="str">
        <f>IF(AND(J102&lt;&gt;"",J102&gt;10),10,J102)</f>
        <v/>
      </c>
      <c r="E130" s="14" t="str">
        <f>C73</f>
        <v/>
      </c>
      <c r="F130" s="15" t="s">
        <v>43</v>
      </c>
      <c r="G130" s="14" t="str">
        <f>C66</f>
        <v/>
      </c>
      <c r="H130" s="15" t="s">
        <v>43</v>
      </c>
      <c r="I130" s="14" t="str">
        <f>J126</f>
        <v/>
      </c>
      <c r="J130" s="15" t="s">
        <v>43</v>
      </c>
    </row>
    <row r="131" spans="1:10" ht="30" customHeight="1" x14ac:dyDescent="0.15">
      <c r="A131" s="36" t="s">
        <v>134</v>
      </c>
      <c r="B131" s="53"/>
      <c r="C131" s="15" t="s">
        <v>43</v>
      </c>
      <c r="D131" s="54"/>
      <c r="E131" s="53"/>
      <c r="F131" s="15" t="s">
        <v>43</v>
      </c>
      <c r="G131" s="53"/>
      <c r="H131" s="15" t="s">
        <v>43</v>
      </c>
      <c r="I131" s="53"/>
      <c r="J131" s="15" t="s">
        <v>43</v>
      </c>
    </row>
    <row r="132" spans="1:10" ht="17.100000000000001" customHeight="1" x14ac:dyDescent="0.15">
      <c r="A132" s="2" t="s">
        <v>151</v>
      </c>
    </row>
    <row r="133" spans="1:10" ht="17.100000000000001" customHeight="1" x14ac:dyDescent="0.15">
      <c r="A133" s="2" t="s">
        <v>152</v>
      </c>
    </row>
  </sheetData>
  <sheetProtection password="8019" sheet="1" objects="1" scenarios="1"/>
  <mergeCells count="66">
    <mergeCell ref="H27:I27"/>
    <mergeCell ref="A14:B14"/>
    <mergeCell ref="A15:B15"/>
    <mergeCell ref="A16:B16"/>
    <mergeCell ref="A17:B17"/>
    <mergeCell ref="A18:B18"/>
    <mergeCell ref="I5:K5"/>
    <mergeCell ref="B5:E5"/>
    <mergeCell ref="A6:B6"/>
    <mergeCell ref="C6:E6"/>
    <mergeCell ref="I6:K6"/>
    <mergeCell ref="F5:H5"/>
    <mergeCell ref="F6:H6"/>
    <mergeCell ref="A7:A10"/>
    <mergeCell ref="A11:A13"/>
    <mergeCell ref="A31:C31"/>
    <mergeCell ref="D31:H31"/>
    <mergeCell ref="F7:G7"/>
    <mergeCell ref="F8:G8"/>
    <mergeCell ref="F9:G9"/>
    <mergeCell ref="F10:G10"/>
    <mergeCell ref="F11:G11"/>
    <mergeCell ref="F12:G12"/>
    <mergeCell ref="F13:G13"/>
    <mergeCell ref="F14:K18"/>
    <mergeCell ref="I24:J24"/>
    <mergeCell ref="C18:D18"/>
    <mergeCell ref="A19:E20"/>
    <mergeCell ref="I31:K31"/>
    <mergeCell ref="A32:C32"/>
    <mergeCell ref="A33:C33"/>
    <mergeCell ref="C71:D71"/>
    <mergeCell ref="A35:C35"/>
    <mergeCell ref="A36:C36"/>
    <mergeCell ref="H56:I56"/>
    <mergeCell ref="H57:I57"/>
    <mergeCell ref="C66:D66"/>
    <mergeCell ref="A34:C34"/>
    <mergeCell ref="H100:I100"/>
    <mergeCell ref="E36:G36"/>
    <mergeCell ref="C42:D42"/>
    <mergeCell ref="E44:F44"/>
    <mergeCell ref="C46:D46"/>
    <mergeCell ref="C47:D47"/>
    <mergeCell ref="H101:I101"/>
    <mergeCell ref="G106:H106"/>
    <mergeCell ref="C73:D73"/>
    <mergeCell ref="G77:H77"/>
    <mergeCell ref="D82:E82"/>
    <mergeCell ref="D84:E84"/>
    <mergeCell ref="D86:E86"/>
    <mergeCell ref="D88:E88"/>
    <mergeCell ref="D111:E111"/>
    <mergeCell ref="D113:E113"/>
    <mergeCell ref="D114:E114"/>
    <mergeCell ref="D89:E89"/>
    <mergeCell ref="C95:D95"/>
    <mergeCell ref="C96:D96"/>
    <mergeCell ref="C119:E119"/>
    <mergeCell ref="C120:E120"/>
    <mergeCell ref="H124:I124"/>
    <mergeCell ref="H125:I125"/>
    <mergeCell ref="B129:C129"/>
    <mergeCell ref="E129:F129"/>
    <mergeCell ref="G129:H129"/>
    <mergeCell ref="I129:J129"/>
  </mergeCells>
  <phoneticPr fontId="1"/>
  <dataValidations count="4">
    <dataValidation type="list" allowBlank="1" showInputMessage="1" showErrorMessage="1" sqref="I5:K5">
      <formula1>"駐車場整備地区,商業地域,近隣商業地域"</formula1>
    </dataValidation>
    <dataValidation type="list" allowBlank="1" showInputMessage="1" showErrorMessage="1" sqref="J20">
      <formula1>"あり,なし"</formula1>
    </dataValidation>
    <dataValidation type="decimal" operator="greaterThanOrEqual" showInputMessage="1" showErrorMessage="1" sqref="D7:D13 D15 D16">
      <formula1>0</formula1>
    </dataValidation>
    <dataValidation type="whole" operator="greaterThanOrEqual" allowBlank="1" showInputMessage="1" showErrorMessage="1" sqref="G19 G20">
      <formula1>0</formula1>
    </dataValidation>
  </dataValidations>
  <pageMargins left="0.7" right="0.7" top="0.75" bottom="0.75" header="0.3" footer="0.3"/>
  <pageSetup paperSize="9" scale="70" orientation="portrait" r:id="rId1"/>
  <rowBreaks count="2" manualBreakCount="2">
    <brk id="58" max="16383" man="1"/>
    <brk id="10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1"/>
  <sheetViews>
    <sheetView zoomScaleNormal="100" workbookViewId="0">
      <selection activeCell="C3" sqref="C3"/>
    </sheetView>
  </sheetViews>
  <sheetFormatPr defaultRowHeight="18.75" x14ac:dyDescent="0.4"/>
  <cols>
    <col min="2" max="2" width="34" customWidth="1"/>
    <col min="3" max="3" width="22.5" customWidth="1"/>
  </cols>
  <sheetData>
    <row r="1" spans="1:5" ht="21.75" x14ac:dyDescent="0.4">
      <c r="A1" s="57" t="s">
        <v>145</v>
      </c>
    </row>
    <row r="3" spans="1:5" x14ac:dyDescent="0.4">
      <c r="A3" s="2" t="s">
        <v>141</v>
      </c>
      <c r="B3" s="2"/>
      <c r="C3" s="60"/>
      <c r="D3" s="2" t="s">
        <v>143</v>
      </c>
    </row>
    <row r="4" spans="1:5" ht="9.9499999999999993" customHeight="1" x14ac:dyDescent="0.4"/>
    <row r="5" spans="1:5" x14ac:dyDescent="0.4">
      <c r="A5" s="2" t="s">
        <v>142</v>
      </c>
      <c r="C5" s="60"/>
      <c r="D5" s="2" t="s">
        <v>143</v>
      </c>
      <c r="E5" s="59">
        <f>IF(C5&lt;&gt;"",ROUNDUP(C5/3,0)+C3-C5,C3)</f>
        <v>0</v>
      </c>
    </row>
    <row r="6" spans="1:5" ht="9.9499999999999993" customHeight="1" x14ac:dyDescent="0.4">
      <c r="E6" s="59"/>
    </row>
    <row r="7" spans="1:5" x14ac:dyDescent="0.4">
      <c r="A7" s="124" t="s">
        <v>146</v>
      </c>
      <c r="B7" s="125"/>
      <c r="C7" s="61" t="s">
        <v>150</v>
      </c>
      <c r="D7" s="2"/>
      <c r="E7" s="59">
        <f>IF(C7="高齢者向け住宅等",ROUNDUP(E5*3/10,0),IF(C7="大学の学生等の寄宿舎",ROUNDUP(E5*3/5,0),E5))</f>
        <v>0</v>
      </c>
    </row>
    <row r="8" spans="1:5" ht="9.9499999999999993" customHeight="1" x14ac:dyDescent="0.4"/>
    <row r="9" spans="1:5" ht="18.75" customHeight="1" x14ac:dyDescent="0.4">
      <c r="A9" s="124" t="s">
        <v>147</v>
      </c>
      <c r="B9" s="125"/>
      <c r="C9" s="61"/>
    </row>
    <row r="10" spans="1:5" ht="20.25" customHeight="1" x14ac:dyDescent="0.4">
      <c r="A10" s="126" t="s">
        <v>149</v>
      </c>
      <c r="B10" s="126"/>
      <c r="C10" s="126"/>
    </row>
    <row r="11" spans="1:5" x14ac:dyDescent="0.4">
      <c r="A11" s="2" t="s">
        <v>144</v>
      </c>
      <c r="C11" s="58">
        <f>IF(C9="はい",ROUNDUP(E7*4/5,0),E7)</f>
        <v>0</v>
      </c>
      <c r="D11" s="2" t="s">
        <v>143</v>
      </c>
    </row>
  </sheetData>
  <sheetProtection password="8019" sheet="1" objects="1" scenarios="1" selectLockedCells="1"/>
  <mergeCells count="3">
    <mergeCell ref="A7:B7"/>
    <mergeCell ref="A9:B9"/>
    <mergeCell ref="A10:C10"/>
  </mergeCells>
  <phoneticPr fontId="1"/>
  <dataValidations count="2">
    <dataValidation type="list" allowBlank="1" showInputMessage="1" showErrorMessage="1" sqref="C7">
      <formula1>"　,高齢者向け住宅等,大学の学生等の寄宿舎"</formula1>
    </dataValidation>
    <dataValidation type="list" allowBlank="1" showInputMessage="1" showErrorMessage="1" sqref="C9">
      <formula1>"はい,いいえ"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算定調書（駐車場整備地区、商業地区、近隣商業地域）</vt:lpstr>
      <vt:lpstr>共同住宅の住戸数計算</vt:lpstr>
      <vt:lpstr>共同住宅の住戸数計算!Print_Area</vt:lpstr>
      <vt:lpstr>'算定調書（駐車場整備地区、商業地区、近隣商業地域）'!Print_Area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2019-10-10T02:06:39Z</dcterms:modified>
</cp:coreProperties>
</file>