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C1810D41-9019-4FD9-9602-73BD4B9AD4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算定調書（駐車場整備地区、商業地区、近隣商業地域）" sheetId="1" r:id="rId1"/>
    <sheet name="共同住宅等の住戸数計算" sheetId="2" r:id="rId2"/>
  </sheets>
  <definedNames>
    <definedName name="_xlnm.Print_Area" localSheetId="1">共同住宅等の住戸数計算!$A$1:$D$15</definedName>
    <definedName name="_xlnm.Print_Area" localSheetId="0">'算定調書（駐車場整備地区、商業地区、近隣商業地域）'!$A$1:$K$156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D110" i="1"/>
  <c r="G20" i="1"/>
  <c r="J103" i="1" s="1"/>
  <c r="G21" i="1"/>
  <c r="F11" i="1"/>
  <c r="J11" i="1" s="1"/>
  <c r="C7" i="2"/>
  <c r="J21" i="1" s="1"/>
  <c r="D103" i="1" l="1"/>
  <c r="D102" i="1"/>
  <c r="E9" i="2"/>
  <c r="E11" i="2" s="1"/>
  <c r="C15" i="2" s="1"/>
  <c r="J22" i="1" s="1"/>
  <c r="G23" i="1" s="1"/>
  <c r="J102" i="1"/>
  <c r="J101" i="1"/>
  <c r="E104" i="1"/>
  <c r="G81" i="1"/>
  <c r="F10" i="1"/>
  <c r="J104" i="1" l="1"/>
  <c r="D106" i="1" s="1"/>
  <c r="D153" i="1"/>
  <c r="D15" i="1"/>
  <c r="D18" i="1" s="1"/>
  <c r="F14" i="1" l="1"/>
  <c r="J14" i="1" s="1"/>
  <c r="F9" i="1"/>
  <c r="J9" i="1" s="1"/>
  <c r="F7" i="1"/>
  <c r="J7" i="1" s="1"/>
  <c r="J10" i="1"/>
  <c r="F13" i="1"/>
  <c r="J13" i="1" s="1"/>
  <c r="F8" i="1"/>
  <c r="J8" i="1" s="1"/>
  <c r="F12" i="1"/>
  <c r="J12" i="1" s="1"/>
  <c r="C19" i="1"/>
  <c r="I26" i="1" l="1"/>
  <c r="J28" i="1"/>
  <c r="D65" i="1" s="1"/>
  <c r="E38" i="1"/>
  <c r="J34" i="1"/>
  <c r="D37" i="1"/>
  <c r="D35" i="1"/>
  <c r="J37" i="1"/>
  <c r="J35" i="1"/>
  <c r="D36" i="1"/>
  <c r="J36" i="1"/>
  <c r="J38" i="1" l="1"/>
  <c r="J40" i="1" s="1"/>
  <c r="D55" i="1" l="1"/>
  <c r="E46" i="1"/>
  <c r="C44" i="1"/>
  <c r="G79" i="1"/>
  <c r="J79" i="1" s="1"/>
  <c r="G127" i="1"/>
  <c r="J127" i="1" s="1"/>
  <c r="D143" i="1" s="1"/>
  <c r="D63" i="1"/>
  <c r="I65" i="1" s="1"/>
  <c r="D95" i="1" l="1"/>
  <c r="D119" i="1"/>
  <c r="C49" i="1"/>
  <c r="D132" i="1"/>
  <c r="D134" i="1"/>
  <c r="D91" i="1"/>
  <c r="D93" i="1"/>
  <c r="D89" i="1"/>
  <c r="D145" i="1"/>
  <c r="H145" i="1" s="1"/>
  <c r="D135" i="1" l="1"/>
  <c r="D146" i="1" s="1"/>
  <c r="H146" i="1" s="1"/>
  <c r="J147" i="1" s="1"/>
  <c r="I151" i="1" s="1"/>
  <c r="D58" i="1"/>
  <c r="D59" i="1"/>
  <c r="H59" i="1" s="1"/>
  <c r="D122" i="1" l="1"/>
  <c r="H122" i="1" s="1"/>
  <c r="D121" i="1"/>
  <c r="H121" i="1" s="1"/>
  <c r="H58" i="1"/>
  <c r="I61" i="1" s="1"/>
  <c r="J123" i="1" l="1"/>
  <c r="D151" i="1" s="1"/>
  <c r="C68" i="1"/>
  <c r="G151" i="1" s="1"/>
  <c r="C73" i="1"/>
  <c r="B151" i="1" s="1"/>
  <c r="C75" i="1" l="1"/>
  <c r="E151" i="1" s="1"/>
</calcChain>
</file>

<file path=xl/sharedStrings.xml><?xml version="1.0" encoding="utf-8"?>
<sst xmlns="http://schemas.openxmlformats.org/spreadsheetml/2006/main" count="276" uniqueCount="182">
  <si>
    <t>附置義務台数算定調書（１）</t>
    <rPh sb="0" eb="2">
      <t>フチ</t>
    </rPh>
    <rPh sb="2" eb="4">
      <t>ギム</t>
    </rPh>
    <rPh sb="4" eb="6">
      <t>ダイスウ</t>
    </rPh>
    <rPh sb="6" eb="8">
      <t>サンテイ</t>
    </rPh>
    <rPh sb="8" eb="10">
      <t>チョウショ</t>
    </rPh>
    <phoneticPr fontId="1"/>
  </si>
  <si>
    <t>（駐車場整備地区、商業地域、近隣商業地域）</t>
    <rPh sb="1" eb="4">
      <t>チュウシャジョウ</t>
    </rPh>
    <rPh sb="4" eb="6">
      <t>セイビ</t>
    </rPh>
    <rPh sb="6" eb="8">
      <t>チク</t>
    </rPh>
    <rPh sb="9" eb="11">
      <t>ショウギョウ</t>
    </rPh>
    <rPh sb="11" eb="13">
      <t>チイキ</t>
    </rPh>
    <rPh sb="14" eb="16">
      <t>キンリン</t>
    </rPh>
    <rPh sb="16" eb="18">
      <t>ショウギョウ</t>
    </rPh>
    <rPh sb="18" eb="20">
      <t>チイキ</t>
    </rPh>
    <phoneticPr fontId="1"/>
  </si>
  <si>
    <t>１　建築物の概要</t>
    <rPh sb="2" eb="5">
      <t>ケンチクブツ</t>
    </rPh>
    <rPh sb="6" eb="8">
      <t>ガイヨウ</t>
    </rPh>
    <phoneticPr fontId="1"/>
  </si>
  <si>
    <t>（小数点第３位を四捨五入）</t>
    <rPh sb="1" eb="4">
      <t>ショウスウテン</t>
    </rPh>
    <rPh sb="4" eb="5">
      <t>ダイ</t>
    </rPh>
    <rPh sb="6" eb="7">
      <t>イ</t>
    </rPh>
    <rPh sb="8" eb="12">
      <t>シシャゴニュウ</t>
    </rPh>
    <phoneticPr fontId="1"/>
  </si>
  <si>
    <t>名称</t>
    <rPh sb="0" eb="2">
      <t>メイショウ</t>
    </rPh>
    <phoneticPr fontId="1"/>
  </si>
  <si>
    <t>地域地区</t>
    <rPh sb="0" eb="2">
      <t>チイキ</t>
    </rPh>
    <rPh sb="2" eb="4">
      <t>チク</t>
    </rPh>
    <phoneticPr fontId="1"/>
  </si>
  <si>
    <t>建築物の用途区分</t>
    <rPh sb="0" eb="3">
      <t>ケンチクブツ</t>
    </rPh>
    <rPh sb="4" eb="6">
      <t>ヨウト</t>
    </rPh>
    <rPh sb="6" eb="8">
      <t>クブン</t>
    </rPh>
    <phoneticPr fontId="1"/>
  </si>
  <si>
    <t>床面積</t>
    <rPh sb="0" eb="3">
      <t>ユカメンセキ</t>
    </rPh>
    <phoneticPr fontId="1"/>
  </si>
  <si>
    <t>共通用途部分の按分面積</t>
    <rPh sb="0" eb="2">
      <t>キョウツウ</t>
    </rPh>
    <rPh sb="2" eb="4">
      <t>ヨウト</t>
    </rPh>
    <rPh sb="4" eb="6">
      <t>ブブン</t>
    </rPh>
    <rPh sb="7" eb="9">
      <t>アンブン</t>
    </rPh>
    <rPh sb="9" eb="11">
      <t>メンセキ</t>
    </rPh>
    <phoneticPr fontId="1"/>
  </si>
  <si>
    <t>合計面積</t>
    <rPh sb="0" eb="2">
      <t>ゴウケイ</t>
    </rPh>
    <rPh sb="2" eb="4">
      <t>メンセキ</t>
    </rPh>
    <phoneticPr fontId="1"/>
  </si>
  <si>
    <t>特
定
用
途</t>
    <rPh sb="0" eb="1">
      <t>トク</t>
    </rPh>
    <rPh sb="2" eb="3">
      <t>ジョウ</t>
    </rPh>
    <rPh sb="4" eb="5">
      <t>ヨウ</t>
    </rPh>
    <rPh sb="6" eb="7">
      <t>ト</t>
    </rPh>
    <phoneticPr fontId="1"/>
  </si>
  <si>
    <t>非
特
定
用
途</t>
    <rPh sb="0" eb="1">
      <t>ヒ</t>
    </rPh>
    <rPh sb="2" eb="3">
      <t>トッ</t>
    </rPh>
    <rPh sb="4" eb="5">
      <t>ジョウ</t>
    </rPh>
    <rPh sb="6" eb="7">
      <t>ヨウ</t>
    </rPh>
    <rPh sb="8" eb="9">
      <t>ト</t>
    </rPh>
    <phoneticPr fontId="1"/>
  </si>
  <si>
    <t>百貨店その他の店舗</t>
    <rPh sb="0" eb="3">
      <t>ヒャッカテン</t>
    </rPh>
    <rPh sb="5" eb="6">
      <t>タ</t>
    </rPh>
    <rPh sb="7" eb="9">
      <t>テンポ</t>
    </rPh>
    <phoneticPr fontId="1"/>
  </si>
  <si>
    <t>事務所</t>
    <rPh sb="0" eb="2">
      <t>ジム</t>
    </rPh>
    <rPh sb="2" eb="3">
      <t>ショ</t>
    </rPh>
    <phoneticPr fontId="1"/>
  </si>
  <si>
    <t>倉庫</t>
    <rPh sb="0" eb="2">
      <t>ソウコ</t>
    </rPh>
    <phoneticPr fontId="1"/>
  </si>
  <si>
    <t>規則第７条の部分</t>
    <rPh sb="0" eb="2">
      <t>キソク</t>
    </rPh>
    <rPh sb="2" eb="3">
      <t>ダイ</t>
    </rPh>
    <rPh sb="4" eb="5">
      <t>ジョウ</t>
    </rPh>
    <rPh sb="6" eb="8">
      <t>ブブン</t>
    </rPh>
    <phoneticPr fontId="1"/>
  </si>
  <si>
    <t>小計</t>
    <rPh sb="0" eb="2">
      <t>ショウケイ</t>
    </rPh>
    <phoneticPr fontId="1"/>
  </si>
  <si>
    <t>共通用途部分</t>
    <rPh sb="0" eb="2">
      <t>キョウツウ</t>
    </rPh>
    <rPh sb="2" eb="4">
      <t>ヨウト</t>
    </rPh>
    <rPh sb="4" eb="6">
      <t>ブブン</t>
    </rPh>
    <phoneticPr fontId="1"/>
  </si>
  <si>
    <t>合計</t>
    <rPh sb="0" eb="2">
      <t>ゴウケイ</t>
    </rPh>
    <phoneticPr fontId="1"/>
  </si>
  <si>
    <t>㎡</t>
  </si>
  <si>
    <t>㎡</t>
    <phoneticPr fontId="1"/>
  </si>
  <si>
    <t>戸</t>
    <rPh sb="0" eb="1">
      <t>コ</t>
    </rPh>
    <phoneticPr fontId="1"/>
  </si>
  <si>
    <t>２　条例対象規模の判定</t>
    <rPh sb="2" eb="4">
      <t>ジョウレイ</t>
    </rPh>
    <rPh sb="4" eb="6">
      <t>タイショウ</t>
    </rPh>
    <rPh sb="6" eb="8">
      <t>キボ</t>
    </rPh>
    <rPh sb="9" eb="11">
      <t>ハンテイ</t>
    </rPh>
    <phoneticPr fontId="1"/>
  </si>
  <si>
    <t>３　大規模事務所の特例（小数点第３位を四捨五入）</t>
    <rPh sb="2" eb="5">
      <t>ダイキボ</t>
    </rPh>
    <rPh sb="5" eb="7">
      <t>ジム</t>
    </rPh>
    <rPh sb="7" eb="8">
      <t>ショ</t>
    </rPh>
    <rPh sb="9" eb="11">
      <t>トクレイ</t>
    </rPh>
    <rPh sb="12" eb="15">
      <t>ショウスウテン</t>
    </rPh>
    <rPh sb="15" eb="16">
      <t>ダイ</t>
    </rPh>
    <rPh sb="17" eb="18">
      <t>イ</t>
    </rPh>
    <rPh sb="19" eb="23">
      <t>シシャゴニュウ</t>
    </rPh>
    <phoneticPr fontId="1"/>
  </si>
  <si>
    <t>事務所の規模</t>
    <rPh sb="0" eb="2">
      <t>ジム</t>
    </rPh>
    <rPh sb="2" eb="3">
      <t>ショ</t>
    </rPh>
    <rPh sb="4" eb="6">
      <t>キボ</t>
    </rPh>
    <phoneticPr fontId="1"/>
  </si>
  <si>
    <t>床面積×逓減率</t>
    <rPh sb="0" eb="3">
      <t>ユカメンセキ</t>
    </rPh>
    <rPh sb="4" eb="6">
      <t>テイゲン</t>
    </rPh>
    <rPh sb="6" eb="7">
      <t>リツ</t>
    </rPh>
    <phoneticPr fontId="1"/>
  </si>
  <si>
    <t>逓減措置後の面積</t>
    <rPh sb="0" eb="2">
      <t>テイゲン</t>
    </rPh>
    <rPh sb="2" eb="4">
      <t>ソチ</t>
    </rPh>
    <rPh sb="4" eb="5">
      <t>ゴ</t>
    </rPh>
    <rPh sb="6" eb="8">
      <t>メンセキ</t>
    </rPh>
    <phoneticPr fontId="1"/>
  </si>
  <si>
    <t>10,000㎡以下の部分</t>
    <rPh sb="7" eb="9">
      <t>イカ</t>
    </rPh>
    <rPh sb="10" eb="12">
      <t>ブブン</t>
    </rPh>
    <phoneticPr fontId="1"/>
  </si>
  <si>
    <t>10,000㎡を超え50,000㎡以下の部分</t>
    <rPh sb="8" eb="9">
      <t>コ</t>
    </rPh>
    <rPh sb="17" eb="19">
      <t>イカ</t>
    </rPh>
    <rPh sb="20" eb="22">
      <t>ブブン</t>
    </rPh>
    <phoneticPr fontId="1"/>
  </si>
  <si>
    <t>50,000㎡を超え100,000㎡以下の部分</t>
    <rPh sb="8" eb="9">
      <t>コ</t>
    </rPh>
    <rPh sb="18" eb="20">
      <t>イカ</t>
    </rPh>
    <rPh sb="21" eb="23">
      <t>ブブン</t>
    </rPh>
    <phoneticPr fontId="1"/>
  </si>
  <si>
    <t>100,000㎡を超える部分</t>
    <rPh sb="9" eb="10">
      <t>コ</t>
    </rPh>
    <rPh sb="12" eb="14">
      <t>ブブン</t>
    </rPh>
    <phoneticPr fontId="1"/>
  </si>
  <si>
    <t>×</t>
    <phoneticPr fontId="1"/>
  </si>
  <si>
    <t>㎡</t>
    <phoneticPr fontId="1"/>
  </si>
  <si>
    <t>㎡</t>
    <phoneticPr fontId="1"/>
  </si>
  <si>
    <t>４　特定自動車の附置義務台数の算定</t>
    <rPh sb="2" eb="4">
      <t>トクテイ</t>
    </rPh>
    <rPh sb="4" eb="7">
      <t>ジドウシャ</t>
    </rPh>
    <rPh sb="8" eb="10">
      <t>フチ</t>
    </rPh>
    <rPh sb="10" eb="12">
      <t>ギム</t>
    </rPh>
    <rPh sb="12" eb="14">
      <t>ダイスウ</t>
    </rPh>
    <rPh sb="15" eb="17">
      <t>サンテイ</t>
    </rPh>
    <phoneticPr fontId="1"/>
  </si>
  <si>
    <t>（１）共同住宅、長屋、寄宿舎又は下宿以外の用途に供する部分</t>
    <rPh sb="3" eb="5">
      <t>キョウドウ</t>
    </rPh>
    <rPh sb="5" eb="7">
      <t>ジュウタク</t>
    </rPh>
    <rPh sb="8" eb="10">
      <t>ナガヤ</t>
    </rPh>
    <rPh sb="11" eb="14">
      <t>キシュクシャ</t>
    </rPh>
    <rPh sb="14" eb="15">
      <t>マタ</t>
    </rPh>
    <rPh sb="16" eb="18">
      <t>ゲシュク</t>
    </rPh>
    <rPh sb="18" eb="20">
      <t>イガイ</t>
    </rPh>
    <rPh sb="21" eb="23">
      <t>ヨウト</t>
    </rPh>
    <rPh sb="24" eb="25">
      <t>キョウ</t>
    </rPh>
    <rPh sb="27" eb="29">
      <t>ブブン</t>
    </rPh>
    <phoneticPr fontId="1"/>
  </si>
  <si>
    <t>　　ア　百貨店その他の店舗の用途に供する部分</t>
    <rPh sb="4" eb="7">
      <t>ヒャッカテン</t>
    </rPh>
    <rPh sb="9" eb="10">
      <t>タ</t>
    </rPh>
    <rPh sb="11" eb="13">
      <t>テンポ</t>
    </rPh>
    <rPh sb="14" eb="16">
      <t>ヨウト</t>
    </rPh>
    <rPh sb="17" eb="18">
      <t>キョウ</t>
    </rPh>
    <rPh sb="20" eb="22">
      <t>ブブン</t>
    </rPh>
    <phoneticPr fontId="1"/>
  </si>
  <si>
    <t>台</t>
    <rPh sb="0" eb="1">
      <t>ダイ</t>
    </rPh>
    <phoneticPr fontId="1"/>
  </si>
  <si>
    <t>台（小数点以下第３位を四捨五入）</t>
    <rPh sb="0" eb="1">
      <t>ダイ</t>
    </rPh>
    <rPh sb="2" eb="5">
      <t>ショウスウテン</t>
    </rPh>
    <rPh sb="5" eb="7">
      <t>イカ</t>
    </rPh>
    <rPh sb="7" eb="8">
      <t>ダイ</t>
    </rPh>
    <rPh sb="9" eb="10">
      <t>イ</t>
    </rPh>
    <rPh sb="11" eb="15">
      <t>シシャゴニュウ</t>
    </rPh>
    <phoneticPr fontId="1"/>
  </si>
  <si>
    <t>　　イ　事務所、倉庫、その他の特定用途に供する部分</t>
    <rPh sb="4" eb="6">
      <t>ジム</t>
    </rPh>
    <rPh sb="6" eb="7">
      <t>ショ</t>
    </rPh>
    <rPh sb="8" eb="10">
      <t>ソウコ</t>
    </rPh>
    <rPh sb="13" eb="14">
      <t>タ</t>
    </rPh>
    <rPh sb="15" eb="17">
      <t>トクテイ</t>
    </rPh>
    <rPh sb="17" eb="19">
      <t>ヨウト</t>
    </rPh>
    <rPh sb="20" eb="21">
      <t>キョウ</t>
    </rPh>
    <rPh sb="23" eb="25">
      <t>ブブン</t>
    </rPh>
    <phoneticPr fontId="1"/>
  </si>
  <si>
    <t>緩和率＝1-</t>
    <rPh sb="0" eb="2">
      <t>カンワ</t>
    </rPh>
    <rPh sb="2" eb="3">
      <t>リツ</t>
    </rPh>
    <phoneticPr fontId="1"/>
  </si>
  <si>
    <t>（小数点以下第６位を四捨五入）</t>
    <rPh sb="1" eb="4">
      <t>ショウスウテン</t>
    </rPh>
    <rPh sb="4" eb="6">
      <t>イカ</t>
    </rPh>
    <rPh sb="6" eb="7">
      <t>ダイ</t>
    </rPh>
    <rPh sb="8" eb="9">
      <t>イ</t>
    </rPh>
    <rPh sb="10" eb="14">
      <t>シシャゴニュウ</t>
    </rPh>
    <phoneticPr fontId="1"/>
  </si>
  <si>
    <t>　　カ　共同住宅等を除いた用途に供する部分の附置義務台数</t>
    <phoneticPr fontId="1"/>
  </si>
  <si>
    <t>（２）共同住宅、長屋、寄宿舎又は下宿の用途に供する部分</t>
    <rPh sb="3" eb="5">
      <t>キョウドウ</t>
    </rPh>
    <rPh sb="5" eb="7">
      <t>ジュウタク</t>
    </rPh>
    <rPh sb="8" eb="10">
      <t>ナガヤ</t>
    </rPh>
    <rPh sb="11" eb="14">
      <t>キシュクシャ</t>
    </rPh>
    <rPh sb="14" eb="15">
      <t>マタ</t>
    </rPh>
    <rPh sb="16" eb="18">
      <t>ゲシュク</t>
    </rPh>
    <rPh sb="19" eb="21">
      <t>ヨウト</t>
    </rPh>
    <rPh sb="22" eb="23">
      <t>キョウ</t>
    </rPh>
    <rPh sb="25" eb="27">
      <t>ブブン</t>
    </rPh>
    <phoneticPr fontId="1"/>
  </si>
  <si>
    <t>　・荷さばきの用に供することができる場所がある場合</t>
    <rPh sb="2" eb="3">
      <t>ニ</t>
    </rPh>
    <rPh sb="7" eb="8">
      <t>ヨウ</t>
    </rPh>
    <rPh sb="9" eb="10">
      <t>キョウ</t>
    </rPh>
    <rPh sb="18" eb="20">
      <t>バショ</t>
    </rPh>
    <rPh sb="23" eb="25">
      <t>バアイ</t>
    </rPh>
    <phoneticPr fontId="1"/>
  </si>
  <si>
    <t>台（小数点以下切上げ）</t>
    <rPh sb="0" eb="1">
      <t>ダイ</t>
    </rPh>
    <rPh sb="2" eb="5">
      <t>ショウスウテン</t>
    </rPh>
    <rPh sb="5" eb="7">
      <t>イカ</t>
    </rPh>
    <rPh sb="7" eb="9">
      <t>キリア</t>
    </rPh>
    <phoneticPr fontId="1"/>
  </si>
  <si>
    <t>　・荷さばきの用に供することができる場所がない場合</t>
    <rPh sb="2" eb="3">
      <t>ニ</t>
    </rPh>
    <rPh sb="7" eb="8">
      <t>ヨウ</t>
    </rPh>
    <rPh sb="9" eb="10">
      <t>キョウ</t>
    </rPh>
    <rPh sb="18" eb="20">
      <t>バショ</t>
    </rPh>
    <rPh sb="23" eb="25">
      <t>バアイ</t>
    </rPh>
    <phoneticPr fontId="1"/>
  </si>
  <si>
    <t>（３）特定自動車用駐車施設の附置義務台数合計</t>
    <rPh sb="3" eb="5">
      <t>トクテイ</t>
    </rPh>
    <rPh sb="5" eb="8">
      <t>ジドウシャ</t>
    </rPh>
    <rPh sb="8" eb="9">
      <t>ヨウ</t>
    </rPh>
    <rPh sb="9" eb="11">
      <t>チュウシャ</t>
    </rPh>
    <rPh sb="11" eb="13">
      <t>シセツ</t>
    </rPh>
    <rPh sb="14" eb="16">
      <t>フチ</t>
    </rPh>
    <rPh sb="16" eb="18">
      <t>ギム</t>
    </rPh>
    <rPh sb="18" eb="20">
      <t>ダイスウ</t>
    </rPh>
    <rPh sb="20" eb="22">
      <t>ゴウケイ</t>
    </rPh>
    <phoneticPr fontId="1"/>
  </si>
  <si>
    <t>５　特定自動車用駐車施設の規模別台数の算定</t>
    <rPh sb="2" eb="4">
      <t>トクテイ</t>
    </rPh>
    <rPh sb="4" eb="7">
      <t>ジドウシャ</t>
    </rPh>
    <rPh sb="7" eb="8">
      <t>ヨウ</t>
    </rPh>
    <rPh sb="8" eb="10">
      <t>チュウシャ</t>
    </rPh>
    <rPh sb="10" eb="12">
      <t>シセツ</t>
    </rPh>
    <rPh sb="13" eb="15">
      <t>キボ</t>
    </rPh>
    <rPh sb="15" eb="16">
      <t>ベツ</t>
    </rPh>
    <rPh sb="16" eb="18">
      <t>ダイスウ</t>
    </rPh>
    <rPh sb="19" eb="21">
      <t>サンテイ</t>
    </rPh>
    <phoneticPr fontId="1"/>
  </si>
  <si>
    <t>（１）普通乗用車用　幅2.5m×奥行き6.0m　以上</t>
    <rPh sb="3" eb="5">
      <t>フツウ</t>
    </rPh>
    <rPh sb="5" eb="9">
      <t>ジョウヨウシャヨウ</t>
    </rPh>
    <rPh sb="10" eb="11">
      <t>ハバ</t>
    </rPh>
    <rPh sb="16" eb="18">
      <t>オクユ</t>
    </rPh>
    <rPh sb="24" eb="26">
      <t>イジョウ</t>
    </rPh>
    <phoneticPr fontId="1"/>
  </si>
  <si>
    <t>（２）小型自動車用　幅2.3m×奥行き5.0m　以上</t>
    <rPh sb="3" eb="5">
      <t>コガタ</t>
    </rPh>
    <rPh sb="5" eb="8">
      <t>ジドウシャ</t>
    </rPh>
    <rPh sb="8" eb="9">
      <t>ヨウ</t>
    </rPh>
    <rPh sb="10" eb="11">
      <t>ハバ</t>
    </rPh>
    <rPh sb="16" eb="18">
      <t>オクユ</t>
    </rPh>
    <rPh sb="24" eb="26">
      <t>イジョウ</t>
    </rPh>
    <phoneticPr fontId="1"/>
  </si>
  <si>
    <t>６　荷さばき用駐車施設の附置義務の算定</t>
    <rPh sb="2" eb="3">
      <t>ニ</t>
    </rPh>
    <rPh sb="6" eb="7">
      <t>ヨウ</t>
    </rPh>
    <rPh sb="7" eb="9">
      <t>チュウシャ</t>
    </rPh>
    <rPh sb="9" eb="11">
      <t>シセツ</t>
    </rPh>
    <rPh sb="12" eb="14">
      <t>フチ</t>
    </rPh>
    <rPh sb="14" eb="16">
      <t>ギム</t>
    </rPh>
    <rPh sb="17" eb="19">
      <t>サンテイ</t>
    </rPh>
    <phoneticPr fontId="1"/>
  </si>
  <si>
    <t>　　イ　事務所の用途に供する部分</t>
    <rPh sb="4" eb="6">
      <t>ジム</t>
    </rPh>
    <rPh sb="6" eb="7">
      <t>ショ</t>
    </rPh>
    <rPh sb="8" eb="10">
      <t>ヨウト</t>
    </rPh>
    <rPh sb="11" eb="12">
      <t>キョウ</t>
    </rPh>
    <rPh sb="14" eb="16">
      <t>ブブン</t>
    </rPh>
    <phoneticPr fontId="1"/>
  </si>
  <si>
    <t>　　ウ　倉庫の用途に供する部分</t>
    <rPh sb="4" eb="6">
      <t>ソウコ</t>
    </rPh>
    <rPh sb="7" eb="9">
      <t>ヨウト</t>
    </rPh>
    <rPh sb="10" eb="11">
      <t>キョウ</t>
    </rPh>
    <rPh sb="13" eb="15">
      <t>ブブン</t>
    </rPh>
    <phoneticPr fontId="1"/>
  </si>
  <si>
    <t>　　エ　その他の特定用途に供する部分</t>
    <rPh sb="6" eb="7">
      <t>タ</t>
    </rPh>
    <rPh sb="8" eb="10">
      <t>トクテイ</t>
    </rPh>
    <rPh sb="10" eb="12">
      <t>ヨウト</t>
    </rPh>
    <rPh sb="13" eb="14">
      <t>キョウ</t>
    </rPh>
    <rPh sb="16" eb="18">
      <t>ブブン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</si>
  <si>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</si>
  <si>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</si>
  <si>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</si>
  <si>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</si>
  <si>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</si>
  <si>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</si>
  <si>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</si>
  <si>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</si>
  <si>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</si>
  <si>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r>
      <t>　</t>
    </r>
    <r>
      <rPr>
        <b/>
        <u/>
        <sz val="11"/>
        <color rgb="FFFF0000"/>
        <rFont val="ＭＳ 明朝"/>
        <family val="1"/>
        <charset val="128"/>
      </rPr>
      <t>２</t>
    </r>
    <r>
      <rPr>
        <sz val="11"/>
        <color theme="1"/>
        <rFont val="ＭＳ 明朝"/>
        <family val="1"/>
        <charset val="128"/>
      </rPr>
      <t>の面積が10,000㎡を超える場合は、床面積に次の表により逓減し、逓減後の合計面積（</t>
    </r>
    <r>
      <rPr>
        <b/>
        <u/>
        <sz val="11"/>
        <color rgb="FFFF0000"/>
        <rFont val="ＭＳ 明朝"/>
        <family val="1"/>
        <charset val="128"/>
      </rPr>
      <t>２</t>
    </r>
    <r>
      <rPr>
        <sz val="11"/>
        <color rgb="FFFF0000"/>
        <rFont val="ＭＳ 明朝"/>
        <family val="1"/>
        <charset val="128"/>
      </rPr>
      <t>’</t>
    </r>
    <r>
      <rPr>
        <sz val="11"/>
        <color theme="1"/>
        <rFont val="ＭＳ 明朝"/>
        <family val="1"/>
        <charset val="128"/>
      </rPr>
      <t>）</t>
    </r>
    <rPh sb="3" eb="5">
      <t>メンセキ</t>
    </rPh>
    <rPh sb="14" eb="15">
      <t>コ</t>
    </rPh>
    <rPh sb="17" eb="19">
      <t>バアイ</t>
    </rPh>
    <rPh sb="21" eb="24">
      <t>ユカメンセキ</t>
    </rPh>
    <rPh sb="25" eb="26">
      <t>ツギ</t>
    </rPh>
    <rPh sb="27" eb="28">
      <t>ヒョウ</t>
    </rPh>
    <rPh sb="31" eb="33">
      <t>テイゲン</t>
    </rPh>
    <rPh sb="35" eb="37">
      <t>テイゲン</t>
    </rPh>
    <rPh sb="37" eb="38">
      <t>ゴ</t>
    </rPh>
    <rPh sb="39" eb="41">
      <t>ゴウケイ</t>
    </rPh>
    <rPh sb="41" eb="43">
      <t>メンセキ</t>
    </rPh>
    <phoneticPr fontId="1"/>
  </si>
  <si>
    <r>
      <t>を</t>
    </r>
    <r>
      <rPr>
        <b/>
        <u/>
        <sz val="11"/>
        <color rgb="FFFF0000"/>
        <rFont val="ＭＳ 明朝"/>
        <family val="1"/>
        <charset val="128"/>
      </rPr>
      <t>２</t>
    </r>
    <r>
      <rPr>
        <sz val="11"/>
        <color theme="1"/>
        <rFont val="ＭＳ 明朝"/>
        <family val="1"/>
        <charset val="128"/>
      </rPr>
      <t>の面積とします。</t>
    </r>
    <rPh sb="3" eb="5">
      <t>メンセキ</t>
    </rPh>
    <phoneticPr fontId="1"/>
  </si>
  <si>
    <r>
      <rPr>
        <b/>
        <u/>
        <sz val="11"/>
        <color rgb="FFFF0000"/>
        <rFont val="ＭＳ 明朝"/>
        <family val="1"/>
        <charset val="128"/>
      </rPr>
      <t>２</t>
    </r>
    <r>
      <rPr>
        <sz val="11"/>
        <color rgb="FFFF0000"/>
        <rFont val="ＭＳ 明朝"/>
        <family val="1"/>
        <charset val="128"/>
      </rPr>
      <t>’</t>
    </r>
    <phoneticPr fontId="1"/>
  </si>
  <si>
    <r>
      <t>　　　</t>
    </r>
    <r>
      <rPr>
        <b/>
        <u/>
        <sz val="11"/>
        <color rgb="FFFF0000"/>
        <rFont val="ＭＳ 明朝"/>
        <family val="1"/>
        <charset val="128"/>
      </rPr>
      <t>９</t>
    </r>
    <r>
      <rPr>
        <sz val="11"/>
        <color theme="1"/>
        <rFont val="ＭＳ 明朝"/>
        <family val="1"/>
        <charset val="128"/>
      </rPr>
      <t>×1/3[台/戸数]-2＝</t>
    </r>
    <r>
      <rPr>
        <b/>
        <u/>
        <sz val="11"/>
        <color rgb="FFFF0000"/>
        <rFont val="ＭＳ 明朝"/>
        <family val="1"/>
        <charset val="128"/>
      </rPr>
      <t>17</t>
    </r>
    <rPh sb="9" eb="10">
      <t>ダイ</t>
    </rPh>
    <rPh sb="11" eb="13">
      <t>コスウ</t>
    </rPh>
    <phoneticPr fontId="1"/>
  </si>
  <si>
    <t>７　特定自動二輪車用駐車施設の附置義務の算定</t>
    <rPh sb="2" eb="4">
      <t>トクテイ</t>
    </rPh>
    <rPh sb="4" eb="6">
      <t>ジドウ</t>
    </rPh>
    <rPh sb="6" eb="9">
      <t>ニリンシャ</t>
    </rPh>
    <rPh sb="9" eb="10">
      <t>ヨウ</t>
    </rPh>
    <rPh sb="10" eb="12">
      <t>チュウシャ</t>
    </rPh>
    <rPh sb="12" eb="14">
      <t>シセツ</t>
    </rPh>
    <rPh sb="15" eb="17">
      <t>フチ</t>
    </rPh>
    <rPh sb="17" eb="19">
      <t>ギム</t>
    </rPh>
    <rPh sb="20" eb="22">
      <t>サンテイ</t>
    </rPh>
    <phoneticPr fontId="1"/>
  </si>
  <si>
    <t>　　ア　百貨店その他の店舗、事務所の用途に供する部分</t>
    <rPh sb="4" eb="7">
      <t>ヒャッカテン</t>
    </rPh>
    <rPh sb="9" eb="10">
      <t>タ</t>
    </rPh>
    <rPh sb="11" eb="13">
      <t>テンポ</t>
    </rPh>
    <rPh sb="14" eb="16">
      <t>ジム</t>
    </rPh>
    <rPh sb="16" eb="17">
      <t>ショ</t>
    </rPh>
    <rPh sb="18" eb="20">
      <t>ヨウト</t>
    </rPh>
    <rPh sb="21" eb="22">
      <t>キョウ</t>
    </rPh>
    <rPh sb="24" eb="26">
      <t>ブブン</t>
    </rPh>
    <phoneticPr fontId="1"/>
  </si>
  <si>
    <t>　　イ　倉庫その他の特定用途に供する部分</t>
    <rPh sb="4" eb="6">
      <t>ソウコ</t>
    </rPh>
    <rPh sb="8" eb="9">
      <t>タ</t>
    </rPh>
    <rPh sb="10" eb="12">
      <t>トクテイ</t>
    </rPh>
    <rPh sb="12" eb="14">
      <t>ヨウト</t>
    </rPh>
    <rPh sb="15" eb="16">
      <t>キョウ</t>
    </rPh>
    <rPh sb="18" eb="20">
      <t>ブブン</t>
    </rPh>
    <phoneticPr fontId="1"/>
  </si>
  <si>
    <t>（２）特定自動二輪車用駐車施設の附置義務台数（幅1m×奥行き2.3m以上）</t>
    <rPh sb="3" eb="5">
      <t>トクテイ</t>
    </rPh>
    <rPh sb="5" eb="7">
      <t>ジドウ</t>
    </rPh>
    <rPh sb="7" eb="10">
      <t>ニリンシャ</t>
    </rPh>
    <rPh sb="10" eb="11">
      <t>ヨウ</t>
    </rPh>
    <rPh sb="11" eb="13">
      <t>チュウシャ</t>
    </rPh>
    <rPh sb="13" eb="15">
      <t>シセツ</t>
    </rPh>
    <rPh sb="16" eb="18">
      <t>フチ</t>
    </rPh>
    <rPh sb="18" eb="20">
      <t>ギム</t>
    </rPh>
    <rPh sb="20" eb="22">
      <t>ダイスウ</t>
    </rPh>
    <rPh sb="23" eb="24">
      <t>ハバ</t>
    </rPh>
    <rPh sb="27" eb="29">
      <t>オクユ</t>
    </rPh>
    <rPh sb="34" eb="36">
      <t>イジョウ</t>
    </rPh>
    <phoneticPr fontId="1"/>
  </si>
  <si>
    <t>８　駐車施設の附置義務台数</t>
    <rPh sb="2" eb="4">
      <t>チュウシャ</t>
    </rPh>
    <rPh sb="4" eb="6">
      <t>シセツ</t>
    </rPh>
    <rPh sb="7" eb="9">
      <t>フチ</t>
    </rPh>
    <rPh sb="9" eb="11">
      <t>ギム</t>
    </rPh>
    <rPh sb="11" eb="13">
      <t>ダイスウ</t>
    </rPh>
    <phoneticPr fontId="1"/>
  </si>
  <si>
    <t>附置義務台数</t>
    <rPh sb="0" eb="2">
      <t>フチ</t>
    </rPh>
    <rPh sb="2" eb="4">
      <t>ギム</t>
    </rPh>
    <rPh sb="4" eb="6">
      <t>ダイスウ</t>
    </rPh>
    <phoneticPr fontId="1"/>
  </si>
  <si>
    <t>設置台数</t>
    <rPh sb="0" eb="2">
      <t>セッチ</t>
    </rPh>
    <rPh sb="2" eb="4">
      <t>ダイスウ</t>
    </rPh>
    <phoneticPr fontId="1"/>
  </si>
  <si>
    <t>36㎡未満の住戸数</t>
    <rPh sb="3" eb="5">
      <t>ミマン</t>
    </rPh>
    <rPh sb="6" eb="8">
      <t>ジュウコ</t>
    </rPh>
    <rPh sb="8" eb="9">
      <t>スウ</t>
    </rPh>
    <phoneticPr fontId="1"/>
  </si>
  <si>
    <t>戸</t>
    <rPh sb="0" eb="1">
      <t>ジュウコ</t>
    </rPh>
    <phoneticPr fontId="1"/>
  </si>
  <si>
    <t>規則第７条第１項第４号適用後戸数</t>
    <rPh sb="13" eb="14">
      <t>ゴ</t>
    </rPh>
    <rPh sb="14" eb="16">
      <t>コスウ</t>
    </rPh>
    <phoneticPr fontId="1"/>
  </si>
  <si>
    <t>高齢者向け住宅、大学の学生等の寄宿舎の場合</t>
    <rPh sb="0" eb="3">
      <t>コウレイシャ</t>
    </rPh>
    <rPh sb="3" eb="4">
      <t>ム</t>
    </rPh>
    <rPh sb="5" eb="7">
      <t>ジュウタク</t>
    </rPh>
    <rPh sb="19" eb="21">
      <t>バアイ</t>
    </rPh>
    <phoneticPr fontId="1"/>
  </si>
  <si>
    <t>カーシェアリング制度導入住宅等である</t>
    <rPh sb="8" eb="14">
      <t>セイドドウニュウジュウタク</t>
    </rPh>
    <rPh sb="14" eb="15">
      <t>トウ</t>
    </rPh>
    <phoneticPr fontId="1"/>
  </si>
  <si>
    <t>※　算定された附置台数に加え、カーシェアリング用の駐車施設も必要となります。</t>
    <rPh sb="2" eb="4">
      <t>サンテイ</t>
    </rPh>
    <rPh sb="7" eb="9">
      <t>フチ</t>
    </rPh>
    <rPh sb="9" eb="11">
      <t>ダイスウ</t>
    </rPh>
    <rPh sb="12" eb="13">
      <t>クワ</t>
    </rPh>
    <rPh sb="23" eb="24">
      <t>ヨウ</t>
    </rPh>
    <rPh sb="25" eb="27">
      <t>チュウシャ</t>
    </rPh>
    <rPh sb="27" eb="29">
      <t>シセツ</t>
    </rPh>
    <rPh sb="30" eb="32">
      <t>ヒツヨウ</t>
    </rPh>
    <phoneticPr fontId="1"/>
  </si>
  <si>
    <t>　</t>
  </si>
  <si>
    <t>※荷さばき用駐車施設の台数は、普通自動車用駐車施設の台数に含めることができます。</t>
    <phoneticPr fontId="1"/>
  </si>
  <si>
    <t>※設置台数には、実際に設置する駐車施設の台数を記入してください。</t>
    <phoneticPr fontId="1"/>
  </si>
  <si>
    <t>　　※条例第６条の２の２に規定する荷さばき場所を設置した場合、普通自動車用駐車施設を２台設置したものとみなすことができます。</t>
    <rPh sb="3" eb="5">
      <t>ジョウレイ</t>
    </rPh>
    <rPh sb="5" eb="6">
      <t>ダイ</t>
    </rPh>
    <rPh sb="7" eb="8">
      <t>ジョウ</t>
    </rPh>
    <rPh sb="13" eb="15">
      <t>キテイ</t>
    </rPh>
    <rPh sb="17" eb="18">
      <t>ニ</t>
    </rPh>
    <rPh sb="21" eb="23">
      <t>バショ</t>
    </rPh>
    <rPh sb="24" eb="26">
      <t>セッチ</t>
    </rPh>
    <rPh sb="28" eb="30">
      <t>バアイ</t>
    </rPh>
    <rPh sb="31" eb="33">
      <t>フツウ</t>
    </rPh>
    <rPh sb="33" eb="36">
      <t>ジドウシャ</t>
    </rPh>
    <rPh sb="36" eb="37">
      <t>ヨウ</t>
    </rPh>
    <rPh sb="37" eb="39">
      <t>チュウシャ</t>
    </rPh>
    <rPh sb="39" eb="41">
      <t>シセツ</t>
    </rPh>
    <rPh sb="43" eb="44">
      <t>ダイ</t>
    </rPh>
    <rPh sb="44" eb="46">
      <t>セッチ</t>
    </rPh>
    <phoneticPr fontId="1"/>
  </si>
  <si>
    <t>共同住宅等の住戸数計算</t>
    <rPh sb="0" eb="2">
      <t>キョウドウ</t>
    </rPh>
    <rPh sb="2" eb="4">
      <t>ジュウタク</t>
    </rPh>
    <rPh sb="4" eb="5">
      <t>トウ</t>
    </rPh>
    <rPh sb="6" eb="8">
      <t>ジュウコ</t>
    </rPh>
    <rPh sb="8" eb="9">
      <t>スウ</t>
    </rPh>
    <rPh sb="9" eb="11">
      <t>ケイサン</t>
    </rPh>
    <phoneticPr fontId="1"/>
  </si>
  <si>
    <t>共同住宅</t>
    <rPh sb="0" eb="4">
      <t>キョウドウジュウタク</t>
    </rPh>
    <phoneticPr fontId="1"/>
  </si>
  <si>
    <t>長屋、寄宿舎、下宿</t>
    <rPh sb="0" eb="2">
      <t>ナガヤ</t>
    </rPh>
    <rPh sb="3" eb="6">
      <t>キシュクシャ</t>
    </rPh>
    <rPh sb="7" eb="9">
      <t>ゲシュク</t>
    </rPh>
    <phoneticPr fontId="1"/>
  </si>
  <si>
    <t>その他の非特定用途</t>
    <rPh sb="2" eb="3">
      <t>タ</t>
    </rPh>
    <rPh sb="4" eb="9">
      <t>ヒトクテイヨウト</t>
    </rPh>
    <phoneticPr fontId="1"/>
  </si>
  <si>
    <t>駐車場・駐輪場部分等の床面積</t>
    <rPh sb="0" eb="3">
      <t>チュウシャジョウ</t>
    </rPh>
    <rPh sb="4" eb="7">
      <t>チュウリンジョウ</t>
    </rPh>
    <rPh sb="7" eb="9">
      <t>ブブン</t>
    </rPh>
    <rPh sb="9" eb="10">
      <t>トウ</t>
    </rPh>
    <rPh sb="11" eb="14">
      <t>ユカメンセキ</t>
    </rPh>
    <phoneticPr fontId="1"/>
  </si>
  <si>
    <t>駐車場・駐輪場部分等を除く床面積</t>
    <rPh sb="0" eb="3">
      <t>チュウシャジョウ</t>
    </rPh>
    <rPh sb="4" eb="7">
      <t>チュウリンジョウ</t>
    </rPh>
    <rPh sb="7" eb="9">
      <t>ブブン</t>
    </rPh>
    <rPh sb="9" eb="10">
      <t>トウ</t>
    </rPh>
    <rPh sb="11" eb="12">
      <t>ノゾ</t>
    </rPh>
    <rPh sb="13" eb="16">
      <t>ユカメンセキ</t>
    </rPh>
    <phoneticPr fontId="1"/>
  </si>
  <si>
    <t>共同住宅の住戸又は住室数</t>
    <rPh sb="0" eb="4">
      <t>キョウドウジュウタク</t>
    </rPh>
    <rPh sb="5" eb="8">
      <t>ジュウコマタ</t>
    </rPh>
    <rPh sb="9" eb="10">
      <t>ジュウ</t>
    </rPh>
    <rPh sb="10" eb="11">
      <t>シツ</t>
    </rPh>
    <rPh sb="11" eb="12">
      <t>カズ</t>
    </rPh>
    <phoneticPr fontId="1"/>
  </si>
  <si>
    <t>長屋、寄宿舎、下宿の住戸又は住室数</t>
    <rPh sb="0" eb="2">
      <t>ナガヤ</t>
    </rPh>
    <rPh sb="3" eb="6">
      <t>キシュクシャ</t>
    </rPh>
    <rPh sb="7" eb="9">
      <t>ゲシュク</t>
    </rPh>
    <rPh sb="10" eb="12">
      <t>ジュウコ</t>
    </rPh>
    <rPh sb="12" eb="13">
      <t>マタ</t>
    </rPh>
    <rPh sb="14" eb="15">
      <t>ジュウ</t>
    </rPh>
    <rPh sb="15" eb="16">
      <t>シツ</t>
    </rPh>
    <rPh sb="16" eb="17">
      <t>スウ</t>
    </rPh>
    <phoneticPr fontId="1"/>
  </si>
  <si>
    <t>規則第７条第１項第４号を適用する場合の共同住宅等の住戸又は住室数</t>
    <rPh sb="19" eb="24">
      <t>キョウドウジュウタクトウ</t>
    </rPh>
    <rPh sb="25" eb="27">
      <t>ジュウコ</t>
    </rPh>
    <rPh sb="27" eb="28">
      <t>マタ</t>
    </rPh>
    <rPh sb="29" eb="30">
      <t>ジュウ</t>
    </rPh>
    <rPh sb="30" eb="31">
      <t>シツ</t>
    </rPh>
    <rPh sb="31" eb="32">
      <t>カズ</t>
    </rPh>
    <phoneticPr fontId="1"/>
  </si>
  <si>
    <t>11</t>
    <phoneticPr fontId="1"/>
  </si>
  <si>
    <t>その他の特定用途
（共同住宅を除く）</t>
    <rPh sb="2" eb="3">
      <t>タ</t>
    </rPh>
    <rPh sb="4" eb="6">
      <t>トクテイ</t>
    </rPh>
    <rPh sb="6" eb="8">
      <t>ヨウト</t>
    </rPh>
    <rPh sb="10" eb="12">
      <t>キョウドウ</t>
    </rPh>
    <rPh sb="12" eb="14">
      <t>ジュウタク</t>
    </rPh>
    <rPh sb="15" eb="16">
      <t>ノゾ</t>
    </rPh>
    <phoneticPr fontId="1"/>
  </si>
  <si>
    <t>13</t>
    <phoneticPr fontId="1"/>
  </si>
  <si>
    <r>
      <t>（</t>
    </r>
    <r>
      <rPr>
        <b/>
        <u/>
        <sz val="11"/>
        <color rgb="FFFF0000"/>
        <rFont val="ＭＳ 明朝"/>
        <family val="1"/>
        <charset val="128"/>
      </rPr>
      <t>１</t>
    </r>
    <r>
      <rPr>
        <sz val="11"/>
        <color theme="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２</t>
    </r>
    <r>
      <rPr>
        <sz val="11"/>
        <color theme="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３</t>
    </r>
    <r>
      <rPr>
        <sz val="11"/>
        <color theme="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４</t>
    </r>
    <r>
      <rPr>
        <sz val="11"/>
        <color theme="1"/>
        <rFont val="ＭＳ 明朝"/>
        <family val="1"/>
        <charset val="128"/>
      </rPr>
      <t>）+〔（</t>
    </r>
    <r>
      <rPr>
        <b/>
        <u/>
        <sz val="11"/>
        <color rgb="FFFF0000"/>
        <rFont val="ＭＳ 明朝"/>
        <family val="1"/>
        <charset val="128"/>
      </rPr>
      <t>５</t>
    </r>
    <r>
      <rPr>
        <sz val="11"/>
        <color theme="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６</t>
    </r>
    <r>
      <rPr>
        <sz val="11"/>
        <color theme="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７</t>
    </r>
    <r>
      <rPr>
        <sz val="1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８</t>
    </r>
    <r>
      <rPr>
        <sz val="11"/>
        <color theme="1"/>
        <rFont val="ＭＳ 明朝"/>
        <family val="1"/>
        <charset val="128"/>
      </rPr>
      <t>）×0.75〕（小数点第３位を四捨五入）＝</t>
    </r>
    <rPh sb="27" eb="30">
      <t>ショウスウテン</t>
    </rPh>
    <rPh sb="30" eb="31">
      <t>ダイ</t>
    </rPh>
    <rPh sb="32" eb="33">
      <t>イ</t>
    </rPh>
    <rPh sb="34" eb="38">
      <t>シシャゴニュウ</t>
    </rPh>
    <phoneticPr fontId="1"/>
  </si>
  <si>
    <r>
      <t>・</t>
    </r>
    <r>
      <rPr>
        <b/>
        <u/>
        <sz val="11"/>
        <color rgb="FFFF0000"/>
        <rFont val="ＭＳ 明朝"/>
        <family val="1"/>
        <charset val="128"/>
      </rPr>
      <t>13</t>
    </r>
    <r>
      <rPr>
        <sz val="11"/>
        <color theme="1"/>
        <rFont val="ＭＳ 明朝"/>
        <family val="1"/>
        <charset val="128"/>
      </rPr>
      <t>の面積が1,500㎡以下の場合　⇒　条例の対象外</t>
    </r>
    <rPh sb="4" eb="6">
      <t>メンセキ</t>
    </rPh>
    <rPh sb="13" eb="15">
      <t>イカ</t>
    </rPh>
    <rPh sb="16" eb="18">
      <t>バアイ</t>
    </rPh>
    <rPh sb="21" eb="23">
      <t>ジョウレイ</t>
    </rPh>
    <rPh sb="24" eb="26">
      <t>タイショウ</t>
    </rPh>
    <rPh sb="26" eb="27">
      <t>ソト</t>
    </rPh>
    <phoneticPr fontId="1"/>
  </si>
  <si>
    <r>
      <t>・</t>
    </r>
    <r>
      <rPr>
        <b/>
        <u/>
        <sz val="11"/>
        <color rgb="FFFF0000"/>
        <rFont val="ＭＳ 明朝"/>
        <family val="1"/>
        <charset val="128"/>
      </rPr>
      <t>13</t>
    </r>
    <r>
      <rPr>
        <sz val="11"/>
        <color theme="1"/>
        <rFont val="ＭＳ 明朝"/>
        <family val="1"/>
        <charset val="128"/>
      </rPr>
      <t>の面積が1,500㎡を超える場合　⇒　条例の対象</t>
    </r>
    <rPh sb="4" eb="6">
      <t>メンセキ</t>
    </rPh>
    <rPh sb="14" eb="15">
      <t>コ</t>
    </rPh>
    <rPh sb="17" eb="19">
      <t>バアイ</t>
    </rPh>
    <rPh sb="22" eb="24">
      <t>ジョウレイ</t>
    </rPh>
    <rPh sb="25" eb="27">
      <t>タイショウ</t>
    </rPh>
    <phoneticPr fontId="1"/>
  </si>
  <si>
    <r>
      <t>　　　</t>
    </r>
    <r>
      <rPr>
        <b/>
        <u/>
        <sz val="11"/>
        <color rgb="FFFF0000"/>
        <rFont val="ＭＳ 明朝"/>
        <family val="1"/>
        <charset val="128"/>
      </rPr>
      <t>１</t>
    </r>
    <r>
      <rPr>
        <sz val="11"/>
        <color theme="1"/>
        <rFont val="ＭＳ 明朝"/>
        <family val="1"/>
        <charset val="128"/>
      </rPr>
      <t>÷300[㎡/台]＝</t>
    </r>
    <r>
      <rPr>
        <b/>
        <u/>
        <sz val="11"/>
        <color rgb="FFFF0000"/>
        <rFont val="ＭＳ 明朝"/>
        <family val="1"/>
        <charset val="128"/>
      </rPr>
      <t>14</t>
    </r>
    <rPh sb="11" eb="12">
      <t>ダイ</t>
    </rPh>
    <phoneticPr fontId="1"/>
  </si>
  <si>
    <r>
      <t>　　　（</t>
    </r>
    <r>
      <rPr>
        <b/>
        <u/>
        <sz val="11"/>
        <color rgb="FFFF0000"/>
        <rFont val="ＭＳ 明朝"/>
        <family val="1"/>
        <charset val="128"/>
      </rPr>
      <t>２</t>
    </r>
    <r>
      <rPr>
        <sz val="11"/>
        <color theme="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３</t>
    </r>
    <r>
      <rPr>
        <sz val="11"/>
        <color theme="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４</t>
    </r>
    <r>
      <rPr>
        <sz val="11"/>
        <color theme="1"/>
        <rFont val="ＭＳ 明朝"/>
        <family val="1"/>
        <charset val="128"/>
      </rPr>
      <t>）÷350[㎡/台]＝</t>
    </r>
    <r>
      <rPr>
        <b/>
        <u/>
        <sz val="11"/>
        <color rgb="FFFF0000"/>
        <rFont val="ＭＳ 明朝"/>
        <family val="1"/>
        <charset val="128"/>
      </rPr>
      <t>15</t>
    </r>
    <rPh sb="17" eb="18">
      <t>ダイ</t>
    </rPh>
    <phoneticPr fontId="1"/>
  </si>
  <si>
    <t>　　ウ　長屋、寄宿舎又は下宿以外の非特定用途に供する部分</t>
    <rPh sb="4" eb="6">
      <t>ナガヤ</t>
    </rPh>
    <rPh sb="7" eb="10">
      <t>キシュクシャ</t>
    </rPh>
    <rPh sb="10" eb="11">
      <t>マタ</t>
    </rPh>
    <rPh sb="12" eb="14">
      <t>ゲシュク</t>
    </rPh>
    <rPh sb="14" eb="16">
      <t>イガイ</t>
    </rPh>
    <rPh sb="17" eb="18">
      <t>ヒ</t>
    </rPh>
    <rPh sb="18" eb="20">
      <t>トクテイ</t>
    </rPh>
    <rPh sb="20" eb="22">
      <t>ヨウト</t>
    </rPh>
    <rPh sb="23" eb="24">
      <t>キョウ</t>
    </rPh>
    <rPh sb="26" eb="28">
      <t>ブブン</t>
    </rPh>
    <phoneticPr fontId="1"/>
  </si>
  <si>
    <t>又は/及び</t>
    <rPh sb="0" eb="1">
      <t>マタ</t>
    </rPh>
    <rPh sb="3" eb="4">
      <t>オヨ</t>
    </rPh>
    <phoneticPr fontId="1"/>
  </si>
  <si>
    <r>
      <t>　　エ　小計</t>
    </r>
    <r>
      <rPr>
        <b/>
        <u/>
        <sz val="11"/>
        <color rgb="FFFF0000"/>
        <rFont val="ＭＳ 明朝"/>
        <family val="1"/>
        <charset val="128"/>
      </rPr>
      <t>14</t>
    </r>
    <r>
      <rPr>
        <sz val="11"/>
        <color theme="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15</t>
    </r>
    <r>
      <rPr>
        <sz val="11"/>
        <color theme="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16</t>
    </r>
    <r>
      <rPr>
        <sz val="11"/>
        <color theme="1"/>
        <rFont val="ＭＳ 明朝"/>
        <family val="1"/>
        <charset val="128"/>
      </rPr>
      <t>＝</t>
    </r>
    <r>
      <rPr>
        <b/>
        <u/>
        <sz val="11"/>
        <color rgb="FFFF0000"/>
        <rFont val="ＭＳ 明朝"/>
        <family val="1"/>
        <charset val="128"/>
      </rPr>
      <t>17</t>
    </r>
    <rPh sb="4" eb="6">
      <t>ショウケイ</t>
    </rPh>
    <phoneticPr fontId="1"/>
  </si>
  <si>
    <r>
      <t>　　オ　</t>
    </r>
    <r>
      <rPr>
        <b/>
        <u/>
        <sz val="11"/>
        <color rgb="FFFF0000"/>
        <rFont val="ＭＳ 明朝"/>
        <family val="1"/>
        <charset val="128"/>
      </rPr>
      <t>９</t>
    </r>
    <r>
      <rPr>
        <sz val="11"/>
        <color theme="1"/>
        <rFont val="ＭＳ 明朝"/>
        <family val="1"/>
        <charset val="128"/>
      </rPr>
      <t>が6,000㎡未満の場合は、次により算定された緩和率を</t>
    </r>
    <r>
      <rPr>
        <b/>
        <u/>
        <sz val="11"/>
        <color rgb="FFFF0000"/>
        <rFont val="ＭＳ 明朝"/>
        <family val="1"/>
        <charset val="128"/>
      </rPr>
      <t>17</t>
    </r>
    <r>
      <rPr>
        <sz val="11"/>
        <color theme="1"/>
        <rFont val="ＭＳ 明朝"/>
        <family val="1"/>
        <charset val="128"/>
      </rPr>
      <t>に乗じます。</t>
    </r>
    <rPh sb="12" eb="14">
      <t>ミマン</t>
    </rPh>
    <rPh sb="15" eb="17">
      <t>バアイ</t>
    </rPh>
    <rPh sb="19" eb="20">
      <t>ツギ</t>
    </rPh>
    <rPh sb="23" eb="25">
      <t>サンテイ</t>
    </rPh>
    <rPh sb="28" eb="30">
      <t>カンワ</t>
    </rPh>
    <rPh sb="30" eb="31">
      <t>リツ</t>
    </rPh>
    <rPh sb="35" eb="36">
      <t>ジョウ</t>
    </rPh>
    <phoneticPr fontId="1"/>
  </si>
  <si>
    <r>
      <t>6,000㎡×</t>
    </r>
    <r>
      <rPr>
        <b/>
        <u/>
        <sz val="11"/>
        <color rgb="FFFF0000"/>
        <rFont val="ＭＳ 明朝"/>
        <family val="1"/>
        <charset val="128"/>
      </rPr>
      <t>13</t>
    </r>
    <r>
      <rPr>
        <sz val="11"/>
        <color theme="1"/>
        <rFont val="ＭＳ 明朝"/>
        <family val="1"/>
        <charset val="128"/>
      </rPr>
      <t>-1,500㎡×</t>
    </r>
    <r>
      <rPr>
        <b/>
        <u/>
        <sz val="11"/>
        <color rgb="FFFF0000"/>
        <rFont val="ＭＳ 明朝"/>
        <family val="1"/>
        <charset val="128"/>
      </rPr>
      <t>９</t>
    </r>
    <phoneticPr fontId="1"/>
  </si>
  <si>
    <r>
      <t>1,500㎡×(6,000㎡-</t>
    </r>
    <r>
      <rPr>
        <b/>
        <u/>
        <sz val="11"/>
        <color rgb="FFFF0000"/>
        <rFont val="ＭＳ 明朝"/>
        <family val="1"/>
        <charset val="128"/>
      </rPr>
      <t>９</t>
    </r>
    <r>
      <rPr>
        <sz val="11"/>
        <color theme="1"/>
        <rFont val="ＭＳ 明朝"/>
        <family val="1"/>
        <charset val="128"/>
      </rPr>
      <t>)</t>
    </r>
    <phoneticPr fontId="1"/>
  </si>
  <si>
    <r>
      <rPr>
        <sz val="11"/>
        <rFont val="ＭＳ 明朝"/>
        <family val="1"/>
        <charset val="128"/>
      </rPr>
      <t>＝</t>
    </r>
    <r>
      <rPr>
        <b/>
        <u/>
        <sz val="11"/>
        <color rgb="FFFF0000"/>
        <rFont val="ＭＳ 明朝"/>
        <family val="1"/>
        <charset val="128"/>
      </rPr>
      <t>18</t>
    </r>
    <phoneticPr fontId="1"/>
  </si>
  <si>
    <r>
      <t>　・緩和措置のある場合</t>
    </r>
    <r>
      <rPr>
        <b/>
        <u/>
        <sz val="11"/>
        <color rgb="FFFF0000"/>
        <rFont val="ＭＳ 明朝"/>
        <family val="1"/>
        <charset val="128"/>
      </rPr>
      <t>17</t>
    </r>
    <r>
      <rPr>
        <sz val="11"/>
        <color theme="1"/>
        <rFont val="ＭＳ 明朝"/>
        <family val="1"/>
        <charset val="128"/>
      </rPr>
      <t>×</t>
    </r>
    <r>
      <rPr>
        <b/>
        <u/>
        <sz val="11"/>
        <color rgb="FFFF0000"/>
        <rFont val="ＭＳ 明朝"/>
        <family val="1"/>
        <charset val="128"/>
      </rPr>
      <t>18</t>
    </r>
    <r>
      <rPr>
        <sz val="11"/>
        <color theme="1"/>
        <rFont val="ＭＳ 明朝"/>
        <family val="1"/>
        <charset val="128"/>
      </rPr>
      <t>＝</t>
    </r>
    <rPh sb="2" eb="4">
      <t>カンワ</t>
    </rPh>
    <rPh sb="4" eb="6">
      <t>ソチ</t>
    </rPh>
    <rPh sb="9" eb="11">
      <t>バアイ</t>
    </rPh>
    <phoneticPr fontId="1"/>
  </si>
  <si>
    <r>
      <t>　・緩和措置のない場合　　</t>
    </r>
    <r>
      <rPr>
        <b/>
        <u/>
        <sz val="11"/>
        <color rgb="FFFF0000"/>
        <rFont val="ＭＳ 明朝"/>
        <family val="1"/>
        <charset val="128"/>
      </rPr>
      <t>17</t>
    </r>
    <r>
      <rPr>
        <sz val="11"/>
        <color theme="1"/>
        <rFont val="ＭＳ 明朝"/>
        <family val="1"/>
        <charset val="128"/>
      </rPr>
      <t>＝</t>
    </r>
    <rPh sb="2" eb="4">
      <t>カンワ</t>
    </rPh>
    <rPh sb="4" eb="6">
      <t>ソチ</t>
    </rPh>
    <rPh sb="9" eb="11">
      <t>バアイ</t>
    </rPh>
    <phoneticPr fontId="1"/>
  </si>
  <si>
    <r>
      <t>小数点以下切上げ⇒</t>
    </r>
    <r>
      <rPr>
        <b/>
        <u/>
        <sz val="11"/>
        <color rgb="FFFF0000"/>
        <rFont val="ＭＳ 明朝"/>
        <family val="1"/>
        <charset val="128"/>
      </rPr>
      <t>19</t>
    </r>
    <rPh sb="0" eb="3">
      <t>ショウスウテン</t>
    </rPh>
    <rPh sb="3" eb="5">
      <t>イカ</t>
    </rPh>
    <rPh sb="5" eb="7">
      <t>キリア</t>
    </rPh>
    <phoneticPr fontId="1"/>
  </si>
  <si>
    <r>
      <t>小数点以下切上げ⇒</t>
    </r>
    <r>
      <rPr>
        <b/>
        <u/>
        <sz val="11"/>
        <color rgb="FFFF0000"/>
        <rFont val="ＭＳ 明朝"/>
        <family val="1"/>
        <charset val="128"/>
      </rPr>
      <t>19</t>
    </r>
    <phoneticPr fontId="1"/>
  </si>
  <si>
    <r>
      <t>　　　</t>
    </r>
    <r>
      <rPr>
        <b/>
        <u/>
        <sz val="11"/>
        <color rgb="FFFF0000"/>
        <rFont val="ＭＳ 明朝"/>
        <family val="1"/>
        <charset val="128"/>
      </rPr>
      <t>12</t>
    </r>
    <r>
      <rPr>
        <sz val="11"/>
        <color theme="1"/>
        <rFont val="ＭＳ 明朝"/>
        <family val="1"/>
        <charset val="128"/>
      </rPr>
      <t>×1/3[台/戸数]  ＝</t>
    </r>
    <r>
      <rPr>
        <b/>
        <u/>
        <sz val="11"/>
        <color rgb="FFFF0000"/>
        <rFont val="ＭＳ 明朝"/>
        <family val="1"/>
        <charset val="128"/>
      </rPr>
      <t>20</t>
    </r>
    <rPh sb="10" eb="11">
      <t>ダイ</t>
    </rPh>
    <rPh sb="12" eb="14">
      <t>コスウ</t>
    </rPh>
    <phoneticPr fontId="1"/>
  </si>
  <si>
    <r>
      <t>　　　</t>
    </r>
    <r>
      <rPr>
        <b/>
        <u/>
        <sz val="11"/>
        <color rgb="FFFF0000"/>
        <rFont val="ＭＳ 明朝"/>
        <family val="1"/>
        <charset val="128"/>
      </rPr>
      <t>19</t>
    </r>
    <r>
      <rPr>
        <sz val="11"/>
        <color theme="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20</t>
    </r>
    <r>
      <rPr>
        <sz val="11"/>
        <color theme="1"/>
        <rFont val="ＭＳ 明朝"/>
        <family val="1"/>
        <charset val="128"/>
      </rPr>
      <t>＝</t>
    </r>
    <r>
      <rPr>
        <b/>
        <u/>
        <sz val="11"/>
        <color rgb="FFFF0000"/>
        <rFont val="ＭＳ 明朝"/>
        <family val="1"/>
        <charset val="128"/>
      </rPr>
      <t>21</t>
    </r>
    <phoneticPr fontId="1"/>
  </si>
  <si>
    <r>
      <t>　</t>
    </r>
    <r>
      <rPr>
        <b/>
        <u/>
        <sz val="11"/>
        <color rgb="FFFF0000"/>
        <rFont val="ＭＳ 明朝"/>
        <family val="1"/>
        <charset val="128"/>
      </rPr>
      <t>５</t>
    </r>
    <r>
      <rPr>
        <sz val="11"/>
        <color theme="1"/>
        <rFont val="ＭＳ 明朝"/>
        <family val="1"/>
        <charset val="128"/>
      </rPr>
      <t>の面積が2,000㎡を超えかつ</t>
    </r>
    <r>
      <rPr>
        <b/>
        <u/>
        <sz val="11"/>
        <color rgb="FFFF0000"/>
        <rFont val="ＭＳ 明朝"/>
        <family val="1"/>
        <charset val="128"/>
      </rPr>
      <t>10</t>
    </r>
    <r>
      <rPr>
        <sz val="11"/>
        <color theme="1"/>
        <rFont val="ＭＳ 明朝"/>
        <family val="1"/>
        <charset val="128"/>
      </rPr>
      <t>が</t>
    </r>
    <r>
      <rPr>
        <sz val="11"/>
        <rFont val="ＭＳ 明朝"/>
        <family val="1"/>
        <charset val="128"/>
      </rPr>
      <t>50</t>
    </r>
    <r>
      <rPr>
        <sz val="11"/>
        <color theme="1"/>
        <rFont val="ＭＳ 明朝"/>
        <family val="1"/>
        <charset val="128"/>
      </rPr>
      <t>以上</t>
    </r>
    <phoneticPr fontId="1"/>
  </si>
  <si>
    <r>
      <t>　　　</t>
    </r>
    <r>
      <rPr>
        <b/>
        <u/>
        <sz val="11"/>
        <color rgb="FFFF0000"/>
        <rFont val="ＭＳ 明朝"/>
        <family val="1"/>
        <charset val="128"/>
      </rPr>
      <t>19</t>
    </r>
    <r>
      <rPr>
        <sz val="11"/>
        <color theme="1"/>
        <rFont val="ＭＳ 明朝"/>
        <family val="1"/>
        <charset val="128"/>
      </rPr>
      <t>×0.3＝</t>
    </r>
    <r>
      <rPr>
        <b/>
        <u/>
        <sz val="11"/>
        <color rgb="FFFF0000"/>
        <rFont val="ＭＳ 明朝"/>
        <family val="1"/>
        <charset val="128"/>
      </rPr>
      <t>22</t>
    </r>
    <phoneticPr fontId="1"/>
  </si>
  <si>
    <r>
      <t>該当する場合『〇』⇒</t>
    </r>
    <r>
      <rPr>
        <b/>
        <u/>
        <sz val="11"/>
        <color rgb="FFFF0000"/>
        <rFont val="ＭＳ 明朝"/>
        <family val="1"/>
        <charset val="128"/>
      </rPr>
      <t>25</t>
    </r>
    <phoneticPr fontId="1"/>
  </si>
  <si>
    <r>
      <t>　　　</t>
    </r>
    <r>
      <rPr>
        <b/>
        <u/>
        <sz val="11"/>
        <color rgb="FFFF0000"/>
        <rFont val="ＭＳ 明朝"/>
        <family val="1"/>
        <charset val="128"/>
      </rPr>
      <t>１</t>
    </r>
    <r>
      <rPr>
        <sz val="11"/>
        <color theme="1"/>
        <rFont val="ＭＳ 明朝"/>
        <family val="1"/>
        <charset val="128"/>
      </rPr>
      <t>÷2,500㎡[㎡/台]＝</t>
    </r>
    <r>
      <rPr>
        <b/>
        <u/>
        <sz val="11"/>
        <color rgb="FFFF0000"/>
        <rFont val="ＭＳ 明朝"/>
        <family val="1"/>
        <charset val="128"/>
      </rPr>
      <t>26</t>
    </r>
    <rPh sb="14" eb="15">
      <t>ダイ</t>
    </rPh>
    <phoneticPr fontId="1"/>
  </si>
  <si>
    <r>
      <t>　　　</t>
    </r>
    <r>
      <rPr>
        <b/>
        <u/>
        <sz val="11"/>
        <color rgb="FFFF0000"/>
        <rFont val="ＭＳ 明朝"/>
        <family val="1"/>
        <charset val="128"/>
      </rPr>
      <t>２</t>
    </r>
    <r>
      <rPr>
        <sz val="11"/>
        <color theme="1"/>
        <rFont val="ＭＳ 明朝"/>
        <family val="1"/>
        <charset val="128"/>
      </rPr>
      <t>÷6,000㎡[㎡/台]＝</t>
    </r>
    <r>
      <rPr>
        <b/>
        <u/>
        <sz val="11"/>
        <color rgb="FFFF0000"/>
        <rFont val="ＭＳ 明朝"/>
        <family val="1"/>
        <charset val="128"/>
      </rPr>
      <t>27</t>
    </r>
    <rPh sb="14" eb="15">
      <t>ダイ</t>
    </rPh>
    <phoneticPr fontId="1"/>
  </si>
  <si>
    <r>
      <t>　　　</t>
    </r>
    <r>
      <rPr>
        <b/>
        <u/>
        <sz val="11"/>
        <color rgb="FFFF0000"/>
        <rFont val="ＭＳ 明朝"/>
        <family val="1"/>
        <charset val="128"/>
      </rPr>
      <t>３</t>
    </r>
    <r>
      <rPr>
        <sz val="11"/>
        <color theme="1"/>
        <rFont val="ＭＳ 明朝"/>
        <family val="1"/>
        <charset val="128"/>
      </rPr>
      <t>÷2,000㎡[㎡/台]＝</t>
    </r>
    <r>
      <rPr>
        <b/>
        <u/>
        <sz val="11"/>
        <color rgb="FFFF0000"/>
        <rFont val="ＭＳ 明朝"/>
        <family val="1"/>
        <charset val="128"/>
      </rPr>
      <t>28</t>
    </r>
    <rPh sb="14" eb="15">
      <t>ダイ</t>
    </rPh>
    <phoneticPr fontId="1"/>
  </si>
  <si>
    <r>
      <t>　　　</t>
    </r>
    <r>
      <rPr>
        <b/>
        <u/>
        <sz val="11"/>
        <color rgb="FFFF0000"/>
        <rFont val="ＭＳ 明朝"/>
        <family val="1"/>
        <charset val="128"/>
      </rPr>
      <t>４</t>
    </r>
    <r>
      <rPr>
        <sz val="11"/>
        <color theme="1"/>
        <rFont val="ＭＳ 明朝"/>
        <family val="1"/>
        <charset val="128"/>
      </rPr>
      <t>÷5,000㎡[㎡/台]＝</t>
    </r>
    <r>
      <rPr>
        <b/>
        <u/>
        <sz val="11"/>
        <color rgb="FFFF0000"/>
        <rFont val="ＭＳ 明朝"/>
        <family val="1"/>
        <charset val="128"/>
      </rPr>
      <t>29</t>
    </r>
    <rPh sb="14" eb="15">
      <t>ダイ</t>
    </rPh>
    <phoneticPr fontId="1"/>
  </si>
  <si>
    <r>
      <t>　　オ　共同住宅の住戸数(</t>
    </r>
    <r>
      <rPr>
        <b/>
        <u/>
        <sz val="11"/>
        <color rgb="FFFF0000"/>
        <rFont val="ＭＳ 明朝"/>
        <family val="1"/>
        <charset val="128"/>
      </rPr>
      <t>25</t>
    </r>
    <r>
      <rPr>
        <sz val="11"/>
        <color theme="1"/>
        <rFont val="ＭＳ 明朝"/>
        <family val="1"/>
        <charset val="128"/>
      </rPr>
      <t>に該当する場合)</t>
    </r>
    <rPh sb="4" eb="8">
      <t>キョウドウジュウタク</t>
    </rPh>
    <rPh sb="9" eb="12">
      <t>ジュウコスウ</t>
    </rPh>
    <rPh sb="16" eb="18">
      <t>ガイトウ</t>
    </rPh>
    <rPh sb="20" eb="22">
      <t>バアイ</t>
    </rPh>
    <phoneticPr fontId="1"/>
  </si>
  <si>
    <r>
      <t>　　　</t>
    </r>
    <r>
      <rPr>
        <b/>
        <u/>
        <sz val="11"/>
        <color rgb="FFFF0000"/>
        <rFont val="ＭＳ 明朝"/>
        <family val="1"/>
        <charset val="128"/>
      </rPr>
      <t>10</t>
    </r>
    <r>
      <rPr>
        <sz val="11"/>
        <color theme="1"/>
        <rFont val="ＭＳ 明朝"/>
        <family val="1"/>
        <charset val="128"/>
      </rPr>
      <t>÷100㎡[/台]＝</t>
    </r>
    <r>
      <rPr>
        <b/>
        <u/>
        <sz val="11"/>
        <color rgb="FFFF0000"/>
        <rFont val="ＭＳ 明朝"/>
        <family val="1"/>
        <charset val="128"/>
      </rPr>
      <t>30</t>
    </r>
    <phoneticPr fontId="1"/>
  </si>
  <si>
    <t>台（小数点以下第３位を四捨五入）</t>
    <phoneticPr fontId="1"/>
  </si>
  <si>
    <t>（２）荷さばき用駐車施設の附置義務台数（幅3m以上×奥行き7.7m以上×3.2m以上又は</t>
    <rPh sb="3" eb="4">
      <t>ニ</t>
    </rPh>
    <rPh sb="7" eb="8">
      <t>ヨウ</t>
    </rPh>
    <rPh sb="8" eb="10">
      <t>チュウシャ</t>
    </rPh>
    <rPh sb="10" eb="12">
      <t>シセツ</t>
    </rPh>
    <rPh sb="13" eb="15">
      <t>フチ</t>
    </rPh>
    <rPh sb="15" eb="17">
      <t>ギム</t>
    </rPh>
    <rPh sb="17" eb="19">
      <t>ダイスウ</t>
    </rPh>
    <rPh sb="20" eb="21">
      <t>ハバ</t>
    </rPh>
    <rPh sb="23" eb="25">
      <t>イジョウ</t>
    </rPh>
    <rPh sb="26" eb="28">
      <t>オクユ</t>
    </rPh>
    <rPh sb="33" eb="35">
      <t>イジョウ</t>
    </rPh>
    <rPh sb="40" eb="42">
      <t>イジョウ</t>
    </rPh>
    <rPh sb="42" eb="43">
      <t>マタ</t>
    </rPh>
    <phoneticPr fontId="1"/>
  </si>
  <si>
    <t>　　　幅4m以上×奥行き6m以上×高さ3.2m以上）</t>
    <rPh sb="3" eb="4">
      <t>ハバ</t>
    </rPh>
    <rPh sb="6" eb="8">
      <t>イジョウ</t>
    </rPh>
    <rPh sb="9" eb="11">
      <t>オクユ</t>
    </rPh>
    <rPh sb="14" eb="16">
      <t>イジョウ</t>
    </rPh>
    <rPh sb="17" eb="18">
      <t>タカ</t>
    </rPh>
    <rPh sb="23" eb="25">
      <t>イジョウ</t>
    </rPh>
    <phoneticPr fontId="1"/>
  </si>
  <si>
    <t>・大規模共同住宅に対する逓減</t>
    <rPh sb="1" eb="4">
      <t>ダイキボ</t>
    </rPh>
    <rPh sb="4" eb="8">
      <t>キョウドウジュウタク</t>
    </rPh>
    <rPh sb="9" eb="10">
      <t>タイ</t>
    </rPh>
    <rPh sb="12" eb="14">
      <t>テイゲン</t>
    </rPh>
    <phoneticPr fontId="1"/>
  </si>
  <si>
    <t>共同住宅の住戸又は住室の数</t>
    <rPh sb="0" eb="4">
      <t>キョウドウジュウタク</t>
    </rPh>
    <rPh sb="5" eb="8">
      <t>ジュウコマタ</t>
    </rPh>
    <rPh sb="9" eb="10">
      <t>ジュウ</t>
    </rPh>
    <rPh sb="10" eb="11">
      <t>シツ</t>
    </rPh>
    <rPh sb="12" eb="13">
      <t>カズ</t>
    </rPh>
    <phoneticPr fontId="1"/>
  </si>
  <si>
    <t>戸数×逓減率</t>
    <rPh sb="0" eb="2">
      <t>コスウ</t>
    </rPh>
    <rPh sb="3" eb="5">
      <t>テイゲン</t>
    </rPh>
    <rPh sb="5" eb="6">
      <t>リツ</t>
    </rPh>
    <phoneticPr fontId="1"/>
  </si>
  <si>
    <t>逓減措置後の戸数</t>
    <rPh sb="0" eb="2">
      <t>テイゲン</t>
    </rPh>
    <rPh sb="2" eb="4">
      <t>ソチ</t>
    </rPh>
    <rPh sb="4" eb="5">
      <t>ゴ</t>
    </rPh>
    <rPh sb="6" eb="8">
      <t>コスウ</t>
    </rPh>
    <phoneticPr fontId="1"/>
  </si>
  <si>
    <t>400以下の部分</t>
    <rPh sb="3" eb="5">
      <t>イカ</t>
    </rPh>
    <rPh sb="6" eb="8">
      <t>ブブン</t>
    </rPh>
    <phoneticPr fontId="1"/>
  </si>
  <si>
    <t>×</t>
  </si>
  <si>
    <t>400を超え800以下の部分</t>
    <rPh sb="4" eb="5">
      <t>コ</t>
    </rPh>
    <rPh sb="9" eb="11">
      <t>イカ</t>
    </rPh>
    <rPh sb="12" eb="14">
      <t>ブブン</t>
    </rPh>
    <phoneticPr fontId="1"/>
  </si>
  <si>
    <t>800を超える部分</t>
    <rPh sb="4" eb="5">
      <t>コ</t>
    </rPh>
    <rPh sb="7" eb="9">
      <t>ブブン</t>
    </rPh>
    <phoneticPr fontId="1"/>
  </si>
  <si>
    <t>10'</t>
    <phoneticPr fontId="1"/>
  </si>
  <si>
    <t>を10の面積とします。</t>
    <phoneticPr fontId="1"/>
  </si>
  <si>
    <r>
      <t>　10の戸数が400を超える場合は、戸数に次の表により逓減し、逓減後の合計戸数（10</t>
    </r>
    <r>
      <rPr>
        <b/>
        <u/>
        <sz val="11"/>
        <color rgb="FFFF0000"/>
        <rFont val="ＭＳ 明朝"/>
        <family val="1"/>
        <charset val="128"/>
      </rPr>
      <t>'</t>
    </r>
    <r>
      <rPr>
        <sz val="11"/>
        <color theme="1"/>
        <rFont val="ＭＳ 明朝"/>
        <family val="1"/>
        <charset val="128"/>
      </rPr>
      <t>）</t>
    </r>
    <rPh sb="4" eb="6">
      <t>コスウ</t>
    </rPh>
    <rPh sb="18" eb="20">
      <t>コスウ</t>
    </rPh>
    <rPh sb="35" eb="37">
      <t>ゴウケイ</t>
    </rPh>
    <rPh sb="37" eb="39">
      <t>コスウ</t>
    </rPh>
    <phoneticPr fontId="1"/>
  </si>
  <si>
    <r>
      <t>（１）特定用途(共同住宅を除く)に供する部分の床面積（</t>
    </r>
    <r>
      <rPr>
        <b/>
        <u/>
        <sz val="11"/>
        <color rgb="FFFF0000"/>
        <rFont val="ＭＳ 明朝"/>
        <family val="1"/>
        <charset val="128"/>
      </rPr>
      <t>１</t>
    </r>
    <r>
      <rPr>
        <sz val="11"/>
        <color theme="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２</t>
    </r>
    <r>
      <rPr>
        <sz val="11"/>
        <color theme="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３</t>
    </r>
    <r>
      <rPr>
        <sz val="11"/>
        <color theme="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４</t>
    </r>
    <r>
      <rPr>
        <sz val="11"/>
        <color theme="1"/>
        <rFont val="ＭＳ 明朝"/>
        <family val="1"/>
        <charset val="128"/>
      </rPr>
      <t>）＝</t>
    </r>
    <r>
      <rPr>
        <b/>
        <u/>
        <sz val="11"/>
        <color rgb="FFFF0000"/>
        <rFont val="ＭＳ 明朝"/>
        <family val="1"/>
        <charset val="128"/>
      </rPr>
      <t>24</t>
    </r>
    <rPh sb="3" eb="5">
      <t>トクテイ</t>
    </rPh>
    <rPh sb="5" eb="7">
      <t>ヨウト</t>
    </rPh>
    <rPh sb="17" eb="18">
      <t>キョウ</t>
    </rPh>
    <rPh sb="20" eb="22">
      <t>ブブン</t>
    </rPh>
    <rPh sb="23" eb="26">
      <t>ユカメンセキ</t>
    </rPh>
    <phoneticPr fontId="1"/>
  </si>
  <si>
    <r>
      <rPr>
        <b/>
        <u/>
        <sz val="11"/>
        <color rgb="FFFF0000"/>
        <rFont val="ＭＳ 明朝"/>
        <family val="1"/>
        <charset val="128"/>
      </rPr>
      <t>９</t>
    </r>
    <phoneticPr fontId="1"/>
  </si>
  <si>
    <r>
      <t>6,000㎡-</t>
    </r>
    <r>
      <rPr>
        <b/>
        <u/>
        <sz val="11"/>
        <color rgb="FFFF0000"/>
        <rFont val="ＭＳ 明朝"/>
        <family val="1"/>
        <charset val="128"/>
      </rPr>
      <t>９</t>
    </r>
    <phoneticPr fontId="1"/>
  </si>
  <si>
    <r>
      <rPr>
        <sz val="11"/>
        <rFont val="ＭＳ 明朝"/>
        <family val="1"/>
        <charset val="128"/>
      </rPr>
      <t>＝</t>
    </r>
    <r>
      <rPr>
        <b/>
        <u/>
        <sz val="11"/>
        <color rgb="FFFF0000"/>
        <rFont val="ＭＳ 明朝"/>
        <family val="1"/>
        <charset val="128"/>
      </rPr>
      <t>32</t>
    </r>
    <phoneticPr fontId="1"/>
  </si>
  <si>
    <r>
      <t>　・緩和措置のある場合</t>
    </r>
    <r>
      <rPr>
        <b/>
        <u/>
        <sz val="11"/>
        <color rgb="FFFF0000"/>
        <rFont val="ＭＳ 明朝"/>
        <family val="1"/>
        <charset val="128"/>
      </rPr>
      <t>31</t>
    </r>
    <r>
      <rPr>
        <sz val="11"/>
        <color theme="1"/>
        <rFont val="ＭＳ 明朝"/>
        <family val="1"/>
        <charset val="128"/>
      </rPr>
      <t>×</t>
    </r>
    <r>
      <rPr>
        <b/>
        <u/>
        <sz val="11"/>
        <color rgb="FFFF0000"/>
        <rFont val="ＭＳ 明朝"/>
        <family val="1"/>
        <charset val="128"/>
      </rPr>
      <t>32</t>
    </r>
    <r>
      <rPr>
        <sz val="11"/>
        <color theme="1"/>
        <rFont val="ＭＳ 明朝"/>
        <family val="1"/>
        <charset val="128"/>
      </rPr>
      <t>＝</t>
    </r>
    <rPh sb="2" eb="4">
      <t>カンワ</t>
    </rPh>
    <rPh sb="4" eb="6">
      <t>ソチ</t>
    </rPh>
    <rPh sb="9" eb="11">
      <t>バアイ</t>
    </rPh>
    <phoneticPr fontId="1"/>
  </si>
  <si>
    <r>
      <t>　・緩和措置のない場合　　</t>
    </r>
    <r>
      <rPr>
        <b/>
        <u/>
        <sz val="11"/>
        <color rgb="FFFF0000"/>
        <rFont val="ＭＳ 明朝"/>
        <family val="1"/>
        <charset val="128"/>
      </rPr>
      <t>31</t>
    </r>
    <r>
      <rPr>
        <sz val="11"/>
        <color theme="1"/>
        <rFont val="ＭＳ 明朝"/>
        <family val="1"/>
        <charset val="128"/>
      </rPr>
      <t>＝</t>
    </r>
    <rPh sb="2" eb="4">
      <t>カンワ</t>
    </rPh>
    <rPh sb="4" eb="6">
      <t>ソチ</t>
    </rPh>
    <rPh sb="9" eb="11">
      <t>バアイ</t>
    </rPh>
    <phoneticPr fontId="1"/>
  </si>
  <si>
    <r>
      <t>小数点以下切上げ⇒</t>
    </r>
    <r>
      <rPr>
        <b/>
        <u/>
        <sz val="11"/>
        <color rgb="FFFF0000"/>
        <rFont val="ＭＳ 明朝"/>
        <family val="1"/>
        <charset val="128"/>
      </rPr>
      <t>33</t>
    </r>
    <phoneticPr fontId="1"/>
  </si>
  <si>
    <r>
      <t>小数点以下切上げ⇒</t>
    </r>
    <r>
      <rPr>
        <b/>
        <u/>
        <sz val="11"/>
        <color rgb="FFFF0000"/>
        <rFont val="ＭＳ 明朝"/>
        <family val="1"/>
        <charset val="128"/>
      </rPr>
      <t>33</t>
    </r>
    <rPh sb="0" eb="3">
      <t>ショウスウテン</t>
    </rPh>
    <rPh sb="3" eb="5">
      <t>イカ</t>
    </rPh>
    <rPh sb="5" eb="7">
      <t>キリア</t>
    </rPh>
    <phoneticPr fontId="1"/>
  </si>
  <si>
    <r>
      <t>　※</t>
    </r>
    <r>
      <rPr>
        <b/>
        <u/>
        <sz val="11"/>
        <color rgb="FFFF0000"/>
        <rFont val="ＭＳ 明朝"/>
        <family val="1"/>
        <charset val="128"/>
      </rPr>
      <t>33</t>
    </r>
    <r>
      <rPr>
        <sz val="11"/>
        <color theme="1"/>
        <rFont val="ＭＳ 明朝"/>
        <family val="1"/>
        <charset val="128"/>
      </rPr>
      <t>が10台を超える場合は、10台とします。</t>
    </r>
    <rPh sb="7" eb="8">
      <t>ダイ</t>
    </rPh>
    <rPh sb="9" eb="10">
      <t>コ</t>
    </rPh>
    <rPh sb="12" eb="14">
      <t>バアイ</t>
    </rPh>
    <rPh sb="18" eb="19">
      <t>ダイ</t>
    </rPh>
    <phoneticPr fontId="1"/>
  </si>
  <si>
    <r>
      <t>（１）特定用途(共同住宅を除く)に供する部分の床面積（</t>
    </r>
    <r>
      <rPr>
        <b/>
        <u/>
        <sz val="11"/>
        <color rgb="FFFF0000"/>
        <rFont val="ＭＳ 明朝"/>
        <family val="1"/>
        <charset val="128"/>
      </rPr>
      <t>１</t>
    </r>
    <r>
      <rPr>
        <sz val="11"/>
        <color theme="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２</t>
    </r>
    <r>
      <rPr>
        <sz val="11"/>
        <color theme="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３</t>
    </r>
    <r>
      <rPr>
        <sz val="11"/>
        <color theme="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４</t>
    </r>
    <r>
      <rPr>
        <sz val="11"/>
        <color theme="1"/>
        <rFont val="ＭＳ 明朝"/>
        <family val="1"/>
        <charset val="128"/>
      </rPr>
      <t>）＝</t>
    </r>
    <r>
      <rPr>
        <b/>
        <u/>
        <sz val="11"/>
        <color rgb="FFFF0000"/>
        <rFont val="ＭＳ 明朝"/>
        <family val="1"/>
        <charset val="128"/>
      </rPr>
      <t>34</t>
    </r>
    <rPh sb="3" eb="5">
      <t>トクテイ</t>
    </rPh>
    <rPh sb="5" eb="7">
      <t>ヨウト</t>
    </rPh>
    <rPh sb="8" eb="12">
      <t>キョウドウジュウタク</t>
    </rPh>
    <rPh sb="13" eb="14">
      <t>ノゾ</t>
    </rPh>
    <rPh sb="17" eb="18">
      <t>キョウ</t>
    </rPh>
    <rPh sb="20" eb="22">
      <t>ブブン</t>
    </rPh>
    <rPh sb="23" eb="26">
      <t>ユカメンセキ</t>
    </rPh>
    <phoneticPr fontId="1"/>
  </si>
  <si>
    <r>
      <t>　・</t>
    </r>
    <r>
      <rPr>
        <b/>
        <u/>
        <sz val="11"/>
        <color rgb="FFFF0000"/>
        <rFont val="ＭＳ 明朝"/>
        <family val="1"/>
        <charset val="128"/>
      </rPr>
      <t>34</t>
    </r>
    <r>
      <rPr>
        <sz val="11"/>
        <color theme="1"/>
        <rFont val="ＭＳ 明朝"/>
        <family val="1"/>
        <charset val="128"/>
      </rPr>
      <t>の面積が1,500㎡を超える場合⇒条例の対象</t>
    </r>
    <rPh sb="5" eb="7">
      <t>メンセキ</t>
    </rPh>
    <rPh sb="15" eb="16">
      <t>コ</t>
    </rPh>
    <rPh sb="18" eb="20">
      <t>バアイ</t>
    </rPh>
    <rPh sb="21" eb="23">
      <t>ジョウレイ</t>
    </rPh>
    <rPh sb="24" eb="26">
      <t>タイショウ</t>
    </rPh>
    <phoneticPr fontId="1"/>
  </si>
  <si>
    <r>
      <t>　・</t>
    </r>
    <r>
      <rPr>
        <b/>
        <u/>
        <sz val="11"/>
        <color rgb="FFFF0000"/>
        <rFont val="ＭＳ 明朝"/>
        <family val="1"/>
        <charset val="128"/>
      </rPr>
      <t>34</t>
    </r>
    <r>
      <rPr>
        <sz val="11"/>
        <color theme="1"/>
        <rFont val="ＭＳ 明朝"/>
        <family val="1"/>
        <charset val="128"/>
      </rPr>
      <t>の面積が1,500㎡以下の場合⇒条例の対象外</t>
    </r>
    <rPh sb="5" eb="7">
      <t>メンセキ</t>
    </rPh>
    <rPh sb="14" eb="16">
      <t>イカ</t>
    </rPh>
    <rPh sb="17" eb="19">
      <t>バアイ</t>
    </rPh>
    <rPh sb="20" eb="22">
      <t>ジョウレイ</t>
    </rPh>
    <rPh sb="23" eb="25">
      <t>タイショウ</t>
    </rPh>
    <rPh sb="25" eb="26">
      <t>ガイ</t>
    </rPh>
    <phoneticPr fontId="1"/>
  </si>
  <si>
    <r>
      <t>　　　(</t>
    </r>
    <r>
      <rPr>
        <b/>
        <u/>
        <sz val="11"/>
        <color rgb="FFFF0000"/>
        <rFont val="ＭＳ 明朝"/>
        <family val="1"/>
        <charset val="128"/>
      </rPr>
      <t>１</t>
    </r>
    <r>
      <rPr>
        <sz val="1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２</t>
    </r>
    <r>
      <rPr>
        <sz val="11"/>
        <rFont val="ＭＳ 明朝"/>
        <family val="1"/>
        <charset val="128"/>
      </rPr>
      <t>)</t>
    </r>
    <r>
      <rPr>
        <sz val="11"/>
        <color theme="1"/>
        <rFont val="ＭＳ 明朝"/>
        <family val="1"/>
        <charset val="128"/>
      </rPr>
      <t>÷3,000㎡[㎡/台]＝</t>
    </r>
    <r>
      <rPr>
        <b/>
        <u/>
        <sz val="11"/>
        <color rgb="FFFF0000"/>
        <rFont val="ＭＳ 明朝"/>
        <family val="1"/>
        <charset val="128"/>
      </rPr>
      <t>35</t>
    </r>
    <rPh sb="18" eb="19">
      <t>ダイ</t>
    </rPh>
    <phoneticPr fontId="1"/>
  </si>
  <si>
    <r>
      <t>　　　(</t>
    </r>
    <r>
      <rPr>
        <b/>
        <u/>
        <sz val="11"/>
        <color rgb="FFFF0000"/>
        <rFont val="ＭＳ 明朝"/>
        <family val="1"/>
        <charset val="128"/>
      </rPr>
      <t>３</t>
    </r>
    <r>
      <rPr>
        <sz val="11"/>
        <color theme="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４</t>
    </r>
    <r>
      <rPr>
        <sz val="11"/>
        <color theme="1"/>
        <rFont val="ＭＳ 明朝"/>
        <family val="1"/>
        <charset val="128"/>
      </rPr>
      <t>)÷8,000㎡[㎡/台]＝</t>
    </r>
    <r>
      <rPr>
        <b/>
        <u/>
        <sz val="11"/>
        <color rgb="FFFF0000"/>
        <rFont val="ＭＳ 明朝"/>
        <family val="1"/>
        <charset val="128"/>
      </rPr>
      <t>36</t>
    </r>
    <rPh sb="18" eb="19">
      <t>ダイ</t>
    </rPh>
    <phoneticPr fontId="1"/>
  </si>
  <si>
    <r>
      <t>　　ウ　小計　</t>
    </r>
    <r>
      <rPr>
        <b/>
        <u/>
        <sz val="11"/>
        <color rgb="FFFF0000"/>
        <rFont val="ＭＳ 明朝"/>
        <family val="1"/>
        <charset val="128"/>
      </rPr>
      <t>35</t>
    </r>
    <r>
      <rPr>
        <sz val="1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36</t>
    </r>
    <r>
      <rPr>
        <sz val="11"/>
        <rFont val="ＭＳ 明朝"/>
        <family val="1"/>
        <charset val="128"/>
      </rPr>
      <t>＝</t>
    </r>
    <r>
      <rPr>
        <b/>
        <u/>
        <sz val="11"/>
        <color rgb="FFFF0000"/>
        <rFont val="ＭＳ 明朝"/>
        <family val="1"/>
        <charset val="128"/>
      </rPr>
      <t>37</t>
    </r>
    <rPh sb="4" eb="6">
      <t>ショウケイ</t>
    </rPh>
    <phoneticPr fontId="1"/>
  </si>
  <si>
    <r>
      <t>　　　</t>
    </r>
    <r>
      <rPr>
        <b/>
        <u/>
        <sz val="11"/>
        <color rgb="FFFF0000"/>
        <rFont val="ＭＳ 明朝"/>
        <family val="1"/>
        <charset val="128"/>
      </rPr>
      <t>９</t>
    </r>
    <r>
      <rPr>
        <sz val="11"/>
        <color theme="1"/>
        <rFont val="ＭＳ 明朝"/>
        <family val="1"/>
        <charset val="128"/>
      </rPr>
      <t>が6,000㎡未満の場合は、次により算定された緩和率を</t>
    </r>
    <r>
      <rPr>
        <b/>
        <u/>
        <sz val="11"/>
        <color rgb="FFFF0000"/>
        <rFont val="ＭＳ 明朝"/>
        <family val="1"/>
        <charset val="128"/>
      </rPr>
      <t>37</t>
    </r>
    <r>
      <rPr>
        <sz val="11"/>
        <color theme="1"/>
        <rFont val="ＭＳ 明朝"/>
        <family val="1"/>
        <charset val="128"/>
      </rPr>
      <t>に乗じます。</t>
    </r>
    <rPh sb="11" eb="13">
      <t>ミマン</t>
    </rPh>
    <rPh sb="14" eb="16">
      <t>バアイ</t>
    </rPh>
    <rPh sb="18" eb="19">
      <t>ツギ</t>
    </rPh>
    <rPh sb="22" eb="24">
      <t>サンテイ</t>
    </rPh>
    <rPh sb="27" eb="29">
      <t>カンワ</t>
    </rPh>
    <rPh sb="29" eb="30">
      <t>リツ</t>
    </rPh>
    <rPh sb="34" eb="35">
      <t>ジョウ</t>
    </rPh>
    <phoneticPr fontId="1"/>
  </si>
  <si>
    <r>
      <t>1,500㎡×(6,000㎡-</t>
    </r>
    <r>
      <rPr>
        <b/>
        <u/>
        <sz val="11"/>
        <color rgb="FFFF0000"/>
        <rFont val="ＭＳ 明朝"/>
        <family val="1"/>
        <charset val="128"/>
      </rPr>
      <t>９</t>
    </r>
    <r>
      <rPr>
        <sz val="11"/>
        <rFont val="ＭＳ 明朝"/>
        <family val="1"/>
        <charset val="128"/>
      </rPr>
      <t>)</t>
    </r>
    <phoneticPr fontId="1"/>
  </si>
  <si>
    <r>
      <t>4,500㎡×</t>
    </r>
    <r>
      <rPr>
        <b/>
        <u/>
        <sz val="11"/>
        <color rgb="FFFF0000"/>
        <rFont val="ＭＳ 明朝"/>
        <family val="1"/>
        <charset val="128"/>
      </rPr>
      <t>９</t>
    </r>
    <phoneticPr fontId="1"/>
  </si>
  <si>
    <r>
      <rPr>
        <sz val="11"/>
        <rFont val="ＭＳ 明朝"/>
        <family val="1"/>
        <charset val="128"/>
      </rPr>
      <t>＝</t>
    </r>
    <r>
      <rPr>
        <b/>
        <u/>
        <sz val="11"/>
        <color rgb="FFFF0000"/>
        <rFont val="ＭＳ 明朝"/>
        <family val="1"/>
        <charset val="128"/>
      </rPr>
      <t>38</t>
    </r>
    <phoneticPr fontId="1"/>
  </si>
  <si>
    <r>
      <t>　・緩和措置のある場合</t>
    </r>
    <r>
      <rPr>
        <b/>
        <u/>
        <sz val="11"/>
        <color rgb="FFFF0000"/>
        <rFont val="ＭＳ 明朝"/>
        <family val="1"/>
        <charset val="128"/>
      </rPr>
      <t>37</t>
    </r>
    <r>
      <rPr>
        <sz val="11"/>
        <color theme="1"/>
        <rFont val="ＭＳ 明朝"/>
        <family val="1"/>
        <charset val="128"/>
      </rPr>
      <t>×</t>
    </r>
    <r>
      <rPr>
        <b/>
        <u/>
        <sz val="11"/>
        <color rgb="FFFF0000"/>
        <rFont val="ＭＳ 明朝"/>
        <family val="1"/>
        <charset val="128"/>
      </rPr>
      <t>38</t>
    </r>
    <r>
      <rPr>
        <sz val="11"/>
        <color theme="1"/>
        <rFont val="ＭＳ 明朝"/>
        <family val="1"/>
        <charset val="128"/>
      </rPr>
      <t>＝</t>
    </r>
    <rPh sb="2" eb="4">
      <t>カンワ</t>
    </rPh>
    <rPh sb="4" eb="6">
      <t>ソチ</t>
    </rPh>
    <rPh sb="9" eb="11">
      <t>バアイ</t>
    </rPh>
    <phoneticPr fontId="1"/>
  </si>
  <si>
    <r>
      <t>　・緩和措置のない場合　　</t>
    </r>
    <r>
      <rPr>
        <b/>
        <u/>
        <sz val="11"/>
        <color rgb="FFFF0000"/>
        <rFont val="ＭＳ 明朝"/>
        <family val="1"/>
        <charset val="128"/>
      </rPr>
      <t>37</t>
    </r>
    <r>
      <rPr>
        <sz val="11"/>
        <color theme="1"/>
        <rFont val="ＭＳ 明朝"/>
        <family val="1"/>
        <charset val="128"/>
      </rPr>
      <t>＝</t>
    </r>
    <rPh sb="2" eb="4">
      <t>カンワ</t>
    </rPh>
    <rPh sb="4" eb="6">
      <t>ソチ</t>
    </rPh>
    <rPh sb="9" eb="11">
      <t>バアイ</t>
    </rPh>
    <phoneticPr fontId="1"/>
  </si>
  <si>
    <r>
      <t>小数点以下切上げ⇒</t>
    </r>
    <r>
      <rPr>
        <b/>
        <u/>
        <sz val="11"/>
        <color rgb="FFFF0000"/>
        <rFont val="ＭＳ 明朝"/>
        <family val="1"/>
        <charset val="128"/>
      </rPr>
      <t>39</t>
    </r>
    <rPh sb="0" eb="3">
      <t>ショウスウテン</t>
    </rPh>
    <rPh sb="3" eb="5">
      <t>イカ</t>
    </rPh>
    <rPh sb="5" eb="7">
      <t>キリア</t>
    </rPh>
    <phoneticPr fontId="1"/>
  </si>
  <si>
    <r>
      <t>小数点以下切上げ⇒</t>
    </r>
    <r>
      <rPr>
        <b/>
        <u/>
        <sz val="11"/>
        <color rgb="FFFF0000"/>
        <rFont val="ＭＳ 明朝"/>
        <family val="1"/>
        <charset val="128"/>
      </rPr>
      <t>39</t>
    </r>
    <phoneticPr fontId="1"/>
  </si>
  <si>
    <t>※条例第６条の３第１項第２号又は第３号に該当する場合、荷さばき用駐車施設の台数は、
　普通自動車用駐車施設の台数に含めたうえで＋１台設置したことにすることができます。</t>
    <phoneticPr fontId="1"/>
  </si>
  <si>
    <t>条例第６条の３第１項第２号又は第３号の該当
(共同住宅の荷さばきの該当）</t>
    <phoneticPr fontId="1"/>
  </si>
  <si>
    <r>
      <t>　　　</t>
    </r>
    <r>
      <rPr>
        <b/>
        <u/>
        <sz val="11"/>
        <color rgb="FFFF0000"/>
        <rFont val="ＭＳ 明朝"/>
        <family val="1"/>
        <charset val="128"/>
      </rPr>
      <t>８</t>
    </r>
    <r>
      <rPr>
        <sz val="11"/>
        <color theme="1"/>
        <rFont val="ＭＳ 明朝"/>
        <family val="1"/>
        <charset val="128"/>
      </rPr>
      <t>÷600[㎡/台]＝</t>
    </r>
    <r>
      <rPr>
        <b/>
        <u/>
        <sz val="11"/>
        <color rgb="FFFF0000"/>
        <rFont val="ＭＳ 明朝"/>
        <family val="1"/>
        <charset val="128"/>
      </rPr>
      <t>16</t>
    </r>
    <rPh sb="11" eb="12">
      <t>ダイ</t>
    </rPh>
    <phoneticPr fontId="1"/>
  </si>
  <si>
    <r>
      <rPr>
        <b/>
        <u/>
        <sz val="11"/>
        <color rgb="FFFF0000"/>
        <rFont val="ＭＳ 明朝"/>
        <family val="1"/>
        <charset val="128"/>
      </rPr>
      <t>10</t>
    </r>
    <phoneticPr fontId="1"/>
  </si>
  <si>
    <t>①共同住宅の住戸数</t>
    <rPh sb="1" eb="3">
      <t>キョウドウ</t>
    </rPh>
    <rPh sb="3" eb="5">
      <t>ジュウタク</t>
    </rPh>
    <rPh sb="6" eb="8">
      <t>ジュウコ</t>
    </rPh>
    <rPh sb="8" eb="9">
      <t>スウ</t>
    </rPh>
    <phoneticPr fontId="1"/>
  </si>
  <si>
    <t>②長屋、寄宿舎、下宿の住戸数</t>
    <rPh sb="1" eb="3">
      <t>ナガヤ</t>
    </rPh>
    <rPh sb="4" eb="7">
      <t>キシュクシャ</t>
    </rPh>
    <rPh sb="8" eb="10">
      <t>ゲシュク</t>
    </rPh>
    <rPh sb="11" eb="14">
      <t>ジュウコスウ</t>
    </rPh>
    <phoneticPr fontId="1"/>
  </si>
  <si>
    <t>共同住宅等の住戸数（①＋②）</t>
    <rPh sb="0" eb="5">
      <t>キョウドウジュウタクトウ</t>
    </rPh>
    <rPh sb="6" eb="9">
      <t>ジュウコスウ</t>
    </rPh>
    <phoneticPr fontId="1"/>
  </si>
  <si>
    <r>
      <rPr>
        <b/>
        <u/>
        <sz val="11"/>
        <color rgb="FFFF0000"/>
        <rFont val="ＭＳ 明朝"/>
        <family val="1"/>
        <charset val="128"/>
      </rPr>
      <t>10</t>
    </r>
    <r>
      <rPr>
        <sz val="11"/>
        <color theme="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11</t>
    </r>
    <r>
      <rPr>
        <sz val="11"/>
        <color theme="1"/>
        <rFont val="ＭＳ 明朝"/>
        <family val="1"/>
        <charset val="128"/>
      </rPr>
      <t>=</t>
    </r>
    <phoneticPr fontId="1"/>
  </si>
  <si>
    <r>
      <t xml:space="preserve">住戸数
合計 </t>
    </r>
    <r>
      <rPr>
        <b/>
        <u/>
        <sz val="11"/>
        <color rgb="FFFF0000"/>
        <rFont val="ＭＳ 明朝"/>
        <family val="1"/>
        <charset val="128"/>
      </rPr>
      <t>12</t>
    </r>
    <rPh sb="0" eb="2">
      <t>ジュウコ</t>
    </rPh>
    <rPh sb="2" eb="3">
      <t>スウ</t>
    </rPh>
    <rPh sb="4" eb="6">
      <t>ゴウケイ</t>
    </rPh>
    <phoneticPr fontId="1"/>
  </si>
  <si>
    <r>
      <t>小型自動車用
（</t>
    </r>
    <r>
      <rPr>
        <b/>
        <u/>
        <sz val="11"/>
        <color rgb="FFFF0000"/>
        <rFont val="ＭＳ 明朝"/>
        <family val="1"/>
        <charset val="128"/>
      </rPr>
      <t>23</t>
    </r>
    <r>
      <rPr>
        <sz val="11"/>
        <color theme="1"/>
        <rFont val="ＭＳ 明朝"/>
        <family val="1"/>
        <charset val="128"/>
      </rPr>
      <t>）</t>
    </r>
    <rPh sb="0" eb="2">
      <t>コガタ</t>
    </rPh>
    <rPh sb="2" eb="5">
      <t>ジドウシャ</t>
    </rPh>
    <rPh sb="5" eb="6">
      <t>ヨウ</t>
    </rPh>
    <phoneticPr fontId="1"/>
  </si>
  <si>
    <r>
      <t>特定自動二輪
車用（</t>
    </r>
    <r>
      <rPr>
        <b/>
        <u/>
        <sz val="11"/>
        <color rgb="FFFF0000"/>
        <rFont val="ＭＳ 明朝"/>
        <family val="1"/>
        <charset val="128"/>
      </rPr>
      <t>39</t>
    </r>
    <r>
      <rPr>
        <sz val="11"/>
        <color theme="1"/>
        <rFont val="ＭＳ 明朝"/>
        <family val="1"/>
        <charset val="128"/>
      </rPr>
      <t>）</t>
    </r>
    <rPh sb="0" eb="2">
      <t>トクテイ</t>
    </rPh>
    <rPh sb="2" eb="4">
      <t>ジドウ</t>
    </rPh>
    <rPh sb="4" eb="6">
      <t>ニリン</t>
    </rPh>
    <rPh sb="7" eb="9">
      <t>シャヨウ</t>
    </rPh>
    <phoneticPr fontId="1"/>
  </si>
  <si>
    <r>
      <t>特定自動車用
合計（</t>
    </r>
    <r>
      <rPr>
        <b/>
        <u/>
        <sz val="11"/>
        <color rgb="FFFF0000"/>
        <rFont val="ＭＳ 明朝"/>
        <family val="1"/>
        <charset val="128"/>
      </rPr>
      <t>21</t>
    </r>
    <r>
      <rPr>
        <sz val="11"/>
        <color theme="1"/>
        <rFont val="ＭＳ 明朝"/>
        <family val="1"/>
        <charset val="128"/>
      </rPr>
      <t>）</t>
    </r>
    <rPh sb="0" eb="2">
      <t>トクテイ</t>
    </rPh>
    <rPh sb="2" eb="5">
      <t>ジドウシャ</t>
    </rPh>
    <rPh sb="5" eb="6">
      <t>ヨウ</t>
    </rPh>
    <rPh sb="7" eb="9">
      <t>ゴウケイ</t>
    </rPh>
    <phoneticPr fontId="1"/>
  </si>
  <si>
    <r>
      <t>荷さばき用
（</t>
    </r>
    <r>
      <rPr>
        <b/>
        <u/>
        <sz val="11"/>
        <color rgb="FFFF0000"/>
        <rFont val="ＭＳ 明朝"/>
        <family val="1"/>
        <charset val="128"/>
      </rPr>
      <t>31</t>
    </r>
    <r>
      <rPr>
        <sz val="11"/>
        <color theme="1"/>
        <rFont val="ＭＳ 明朝"/>
        <family val="1"/>
        <charset val="128"/>
      </rPr>
      <t>）</t>
    </r>
    <rPh sb="0" eb="1">
      <t>ニ</t>
    </rPh>
    <rPh sb="4" eb="5">
      <t>ヨウ</t>
    </rPh>
    <phoneticPr fontId="1"/>
  </si>
  <si>
    <r>
      <t>普通自動車用
（</t>
    </r>
    <r>
      <rPr>
        <b/>
        <u/>
        <sz val="11"/>
        <color rgb="FFFF0000"/>
        <rFont val="ＭＳ 明朝"/>
        <family val="1"/>
        <charset val="128"/>
      </rPr>
      <t>22</t>
    </r>
    <r>
      <rPr>
        <sz val="11"/>
        <color theme="1"/>
        <rFont val="ＭＳ 明朝"/>
        <family val="1"/>
        <charset val="128"/>
      </rPr>
      <t>）</t>
    </r>
    <rPh sb="0" eb="2">
      <t>フツウ</t>
    </rPh>
    <rPh sb="2" eb="6">
      <t>ジドウシャヨウ</t>
    </rPh>
    <phoneticPr fontId="1"/>
  </si>
  <si>
    <r>
      <t>　　　</t>
    </r>
    <r>
      <rPr>
        <b/>
        <u/>
        <sz val="11"/>
        <color rgb="FFFF0000"/>
        <rFont val="ＭＳ 明朝"/>
        <family val="1"/>
        <charset val="128"/>
      </rPr>
      <t>９</t>
    </r>
    <r>
      <rPr>
        <sz val="11"/>
        <color theme="1"/>
        <rFont val="ＭＳ 明朝"/>
        <family val="1"/>
        <charset val="128"/>
      </rPr>
      <t>が3,000㎡をより大きく6,000㎡未満の場合は、次により算定された緩和率を</t>
    </r>
    <r>
      <rPr>
        <b/>
        <u/>
        <sz val="11"/>
        <color rgb="FFFF0000"/>
        <rFont val="ＭＳ 明朝"/>
        <family val="1"/>
        <charset val="128"/>
      </rPr>
      <t>31</t>
    </r>
    <r>
      <rPr>
        <sz val="11"/>
        <color theme="1"/>
        <rFont val="ＭＳ 明朝"/>
        <family val="1"/>
        <charset val="128"/>
      </rPr>
      <t>に乗じます。</t>
    </r>
    <rPh sb="14" eb="15">
      <t>オオ</t>
    </rPh>
    <rPh sb="23" eb="25">
      <t>ミマン</t>
    </rPh>
    <rPh sb="26" eb="28">
      <t>バアイ</t>
    </rPh>
    <rPh sb="30" eb="31">
      <t>ツギ</t>
    </rPh>
    <rPh sb="34" eb="36">
      <t>サンテイ</t>
    </rPh>
    <rPh sb="39" eb="41">
      <t>カンワ</t>
    </rPh>
    <rPh sb="41" eb="42">
      <t>リツ</t>
    </rPh>
    <rPh sb="46" eb="47">
      <t>ジョウ</t>
    </rPh>
    <phoneticPr fontId="1"/>
  </si>
  <si>
    <r>
      <t>　・</t>
    </r>
    <r>
      <rPr>
        <b/>
        <u/>
        <sz val="11"/>
        <color rgb="FFFF0000"/>
        <rFont val="ＭＳ 明朝"/>
        <family val="1"/>
        <charset val="128"/>
      </rPr>
      <t>21</t>
    </r>
    <r>
      <rPr>
        <sz val="11"/>
        <color theme="1"/>
        <rFont val="ＭＳ 明朝"/>
        <family val="1"/>
        <charset val="128"/>
      </rPr>
      <t>の面積が3,000㎡以下の場合かつ</t>
    </r>
    <r>
      <rPr>
        <b/>
        <u/>
        <sz val="11"/>
        <color rgb="FFFF0000"/>
        <rFont val="ＭＳ 明朝"/>
        <family val="1"/>
        <charset val="128"/>
      </rPr>
      <t>９</t>
    </r>
    <r>
      <rPr>
        <sz val="11"/>
        <color theme="1"/>
        <rFont val="ＭＳ 明朝"/>
        <family val="1"/>
        <charset val="128"/>
      </rPr>
      <t>の該当無し⇒条例の対象外</t>
    </r>
    <rPh sb="5" eb="7">
      <t>メンセキ</t>
    </rPh>
    <rPh sb="14" eb="16">
      <t>イカ</t>
    </rPh>
    <rPh sb="17" eb="19">
      <t>バアイ</t>
    </rPh>
    <rPh sb="23" eb="26">
      <t>ガイトウナ</t>
    </rPh>
    <rPh sb="28" eb="30">
      <t>ジョウレイ</t>
    </rPh>
    <rPh sb="31" eb="33">
      <t>タイショウ</t>
    </rPh>
    <rPh sb="33" eb="34">
      <t>ガイ</t>
    </rPh>
    <phoneticPr fontId="1"/>
  </si>
  <si>
    <r>
      <t>　・</t>
    </r>
    <r>
      <rPr>
        <b/>
        <u/>
        <sz val="11"/>
        <color rgb="FFFF0000"/>
        <rFont val="ＭＳ 明朝"/>
        <family val="1"/>
        <charset val="128"/>
      </rPr>
      <t>21</t>
    </r>
    <r>
      <rPr>
        <sz val="11"/>
        <color theme="1"/>
        <rFont val="ＭＳ 明朝"/>
        <family val="1"/>
        <charset val="128"/>
      </rPr>
      <t>の面積が3,000㎡を超える場合または</t>
    </r>
    <r>
      <rPr>
        <b/>
        <u/>
        <sz val="11"/>
        <color rgb="FFFF0000"/>
        <rFont val="ＭＳ 明朝"/>
        <family val="1"/>
        <charset val="128"/>
      </rPr>
      <t>９</t>
    </r>
    <r>
      <rPr>
        <sz val="11"/>
        <color theme="1"/>
        <rFont val="ＭＳ 明朝"/>
        <family val="1"/>
        <charset val="128"/>
      </rPr>
      <t>に該当⇒条例の対象</t>
    </r>
    <rPh sb="5" eb="7">
      <t>メンセキ</t>
    </rPh>
    <rPh sb="15" eb="16">
      <t>コ</t>
    </rPh>
    <rPh sb="18" eb="20">
      <t>バアイ</t>
    </rPh>
    <rPh sb="25" eb="27">
      <t>ガイトウ</t>
    </rPh>
    <rPh sb="28" eb="30">
      <t>ジョウレイ</t>
    </rPh>
    <rPh sb="31" eb="33">
      <t>タイショウ</t>
    </rPh>
    <phoneticPr fontId="1"/>
  </si>
  <si>
    <r>
      <t>　　　（</t>
    </r>
    <r>
      <rPr>
        <b/>
        <u/>
        <sz val="11"/>
        <color rgb="FFFF0000"/>
        <rFont val="ＭＳ 明朝"/>
        <family val="1"/>
        <charset val="128"/>
      </rPr>
      <t>19</t>
    </r>
    <r>
      <rPr>
        <sz val="11"/>
        <color theme="1"/>
        <rFont val="ＭＳ 明朝"/>
        <family val="1"/>
        <charset val="128"/>
      </rPr>
      <t>-</t>
    </r>
    <r>
      <rPr>
        <b/>
        <u/>
        <sz val="11"/>
        <color rgb="FFFF0000"/>
        <rFont val="ＭＳ 明朝"/>
        <family val="1"/>
        <charset val="128"/>
      </rPr>
      <t>22</t>
    </r>
    <r>
      <rPr>
        <sz val="11"/>
        <color theme="1"/>
        <rFont val="ＭＳ 明朝"/>
        <family val="1"/>
        <charset val="128"/>
      </rPr>
      <t>）+</t>
    </r>
    <r>
      <rPr>
        <b/>
        <u/>
        <sz val="11"/>
        <color rgb="FFFF0000"/>
        <rFont val="ＭＳ 明朝"/>
        <family val="1"/>
        <charset val="128"/>
      </rPr>
      <t>20</t>
    </r>
    <r>
      <rPr>
        <sz val="11"/>
        <color theme="1"/>
        <rFont val="ＭＳ 明朝"/>
        <family val="1"/>
        <charset val="128"/>
      </rPr>
      <t>＝</t>
    </r>
    <r>
      <rPr>
        <b/>
        <u/>
        <sz val="11"/>
        <color rgb="FFFF0000"/>
        <rFont val="ＭＳ 明朝"/>
        <family val="1"/>
        <charset val="128"/>
      </rPr>
      <t>23</t>
    </r>
    <phoneticPr fontId="1"/>
  </si>
  <si>
    <r>
      <rPr>
        <b/>
        <sz val="11"/>
        <color theme="1"/>
        <rFont val="ＭＳ 明朝"/>
        <family val="1"/>
        <charset val="128"/>
      </rPr>
      <t>※</t>
    </r>
    <r>
      <rPr>
        <b/>
        <u/>
        <sz val="11"/>
        <color rgb="FFFF0000"/>
        <rFont val="ＭＳ 明朝"/>
        <family val="1"/>
        <charset val="128"/>
      </rPr>
      <t>30</t>
    </r>
    <r>
      <rPr>
        <b/>
        <sz val="11"/>
        <color theme="1"/>
        <rFont val="ＭＳ 明朝"/>
        <family val="1"/>
        <charset val="128"/>
      </rPr>
      <t>はR080701の改正後の規定のため略</t>
    </r>
    <phoneticPr fontId="1"/>
  </si>
  <si>
    <r>
      <t>※</t>
    </r>
    <r>
      <rPr>
        <b/>
        <u/>
        <sz val="11"/>
        <color rgb="FFFF0000"/>
        <rFont val="ＭＳ 明朝"/>
        <family val="1"/>
        <charset val="128"/>
      </rPr>
      <t>25</t>
    </r>
    <r>
      <rPr>
        <b/>
        <sz val="11"/>
        <color theme="1"/>
        <rFont val="ＭＳ 明朝"/>
        <family val="1"/>
        <charset val="128"/>
      </rPr>
      <t>はR080701の改正後の規定のため略</t>
    </r>
    <rPh sb="12" eb="15">
      <t>カイセイゴ</t>
    </rPh>
    <rPh sb="16" eb="18">
      <t>キテイ</t>
    </rPh>
    <rPh sb="21" eb="22">
      <t>リャク</t>
    </rPh>
    <phoneticPr fontId="1"/>
  </si>
  <si>
    <r>
      <t>　　カ　小計　</t>
    </r>
    <r>
      <rPr>
        <b/>
        <u/>
        <sz val="11"/>
        <color rgb="FFFF0000"/>
        <rFont val="ＭＳ 明朝"/>
        <family val="1"/>
        <charset val="128"/>
      </rPr>
      <t>26</t>
    </r>
    <r>
      <rPr>
        <sz val="1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27</t>
    </r>
    <r>
      <rPr>
        <sz val="1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28</t>
    </r>
    <r>
      <rPr>
        <sz val="11"/>
        <rFont val="ＭＳ 明朝"/>
        <family val="1"/>
        <charset val="128"/>
      </rPr>
      <t>+</t>
    </r>
    <r>
      <rPr>
        <b/>
        <u/>
        <sz val="11"/>
        <color rgb="FFFF0000"/>
        <rFont val="ＭＳ 明朝"/>
        <family val="1"/>
        <charset val="128"/>
      </rPr>
      <t>29</t>
    </r>
    <r>
      <rPr>
        <sz val="11"/>
        <rFont val="ＭＳ 明朝"/>
        <family val="1"/>
        <charset val="128"/>
      </rPr>
      <t>＝</t>
    </r>
    <r>
      <rPr>
        <b/>
        <u/>
        <sz val="11"/>
        <color rgb="FFFF0000"/>
        <rFont val="ＭＳ 明朝"/>
        <family val="1"/>
        <charset val="128"/>
      </rPr>
      <t>31</t>
    </r>
    <rPh sb="4" eb="6">
      <t>ショウケイ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</si>
</sst>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_ "/>
    <numFmt numFmtId="177" formatCode="0.00_ "/>
    <numFmt numFmtId="178" formatCode="0_);[Red]\(0\)"/>
    <numFmt numFmtId="179" formatCode="0.00000_ "/>
    <numFmt numFmtId="180" formatCode="&quot;(&quot;General&quot;)&quot;"/>
    <numFmt numFmtId="181" formatCode="#,##0.00_ "/>
    <numFmt numFmtId="182" formatCode="0.00_);[Red]\(0.00\)"/>
    <numFmt numFmtId="183" formatCode="0.000000_ "/>
    <numFmt numFmtId="184" formatCode="0_ "/>
  </numFmts>
  <fonts count="2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u/>
      <sz val="11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0"/>
      <name val="游ゴシック"/>
      <family val="2"/>
      <scheme val="minor"/>
    </font>
    <font>
      <sz val="9"/>
      <color rgb="FFFF0000"/>
      <name val="ＭＳ 明朝"/>
      <family val="1"/>
      <charset val="128"/>
    </font>
    <font>
      <sz val="18"/>
      <color theme="1"/>
      <name val="游ゴシック"/>
      <family val="2"/>
      <scheme val="minor"/>
    </font>
    <font>
      <u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/>
    <xf numFmtId="0" fontId="3" fillId="0" borderId="9" xfId="0" applyFont="1" applyBorder="1"/>
    <xf numFmtId="0" fontId="3" fillId="0" borderId="12" xfId="0" applyFont="1" applyBorder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3" xfId="0" applyFont="1" applyBorder="1"/>
    <xf numFmtId="0" fontId="3" fillId="0" borderId="10" xfId="0" applyFont="1" applyBorder="1"/>
    <xf numFmtId="176" fontId="3" fillId="0" borderId="4" xfId="0" applyNumberFormat="1" applyFont="1" applyBorder="1"/>
    <xf numFmtId="0" fontId="3" fillId="0" borderId="8" xfId="0" applyFont="1" applyBorder="1"/>
    <xf numFmtId="176" fontId="3" fillId="0" borderId="9" xfId="0" applyNumberFormat="1" applyFont="1" applyBorder="1"/>
    <xf numFmtId="0" fontId="3" fillId="0" borderId="22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9" fontId="9" fillId="0" borderId="2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right"/>
    </xf>
    <xf numFmtId="49" fontId="9" fillId="0" borderId="20" xfId="0" applyNumberFormat="1" applyFont="1" applyBorder="1"/>
    <xf numFmtId="49" fontId="10" fillId="0" borderId="20" xfId="0" applyNumberFormat="1" applyFont="1" applyBorder="1"/>
    <xf numFmtId="0" fontId="10" fillId="0" borderId="0" xfId="0" quotePrefix="1" applyFont="1" applyAlignment="1">
      <alignment horizontal="right"/>
    </xf>
    <xf numFmtId="0" fontId="8" fillId="0" borderId="0" xfId="0" applyFont="1"/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3" fillId="0" borderId="4" xfId="0" applyNumberFormat="1" applyFont="1" applyBorder="1"/>
    <xf numFmtId="177" fontId="3" fillId="0" borderId="12" xfId="0" applyNumberFormat="1" applyFont="1" applyBorder="1"/>
    <xf numFmtId="177" fontId="3" fillId="0" borderId="0" xfId="0" applyNumberFormat="1" applyFont="1"/>
    <xf numFmtId="179" fontId="3" fillId="0" borderId="12" xfId="0" applyNumberFormat="1" applyFont="1" applyBorder="1"/>
    <xf numFmtId="180" fontId="3" fillId="0" borderId="1" xfId="0" applyNumberFormat="1" applyFont="1" applyBorder="1" applyAlignment="1">
      <alignment vertical="center"/>
    </xf>
    <xf numFmtId="181" fontId="3" fillId="0" borderId="4" xfId="0" applyNumberFormat="1" applyFont="1" applyBorder="1"/>
    <xf numFmtId="181" fontId="3" fillId="0" borderId="9" xfId="0" applyNumberFormat="1" applyFont="1" applyBorder="1"/>
    <xf numFmtId="181" fontId="3" fillId="0" borderId="21" xfId="0" applyNumberFormat="1" applyFont="1" applyBorder="1"/>
    <xf numFmtId="182" fontId="3" fillId="0" borderId="2" xfId="0" applyNumberFormat="1" applyFont="1" applyBorder="1"/>
    <xf numFmtId="182" fontId="3" fillId="0" borderId="8" xfId="0" applyNumberFormat="1" applyFont="1" applyBorder="1"/>
    <xf numFmtId="178" fontId="3" fillId="0" borderId="0" xfId="0" applyNumberFormat="1" applyFont="1"/>
    <xf numFmtId="182" fontId="3" fillId="0" borderId="12" xfId="0" applyNumberFormat="1" applyFont="1" applyBorder="1"/>
    <xf numFmtId="0" fontId="12" fillId="0" borderId="0" xfId="0" applyFont="1"/>
    <xf numFmtId="177" fontId="3" fillId="2" borderId="4" xfId="0" applyNumberFormat="1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3" fillId="3" borderId="1" xfId="0" applyFont="1" applyFill="1" applyBorder="1"/>
    <xf numFmtId="0" fontId="16" fillId="0" borderId="0" xfId="0" applyFont="1"/>
    <xf numFmtId="0" fontId="3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top"/>
    </xf>
    <xf numFmtId="183" fontId="3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18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3" borderId="1" xfId="0" applyFont="1" applyFill="1" applyBorder="1" applyAlignment="1">
      <alignment vertical="center"/>
    </xf>
    <xf numFmtId="0" fontId="3" fillId="0" borderId="12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10" fillId="0" borderId="0" xfId="0" applyFont="1"/>
    <xf numFmtId="49" fontId="9" fillId="0" borderId="4" xfId="0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77" fontId="3" fillId="0" borderId="0" xfId="0" applyNumberFormat="1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177" fontId="3" fillId="0" borderId="0" xfId="0" applyNumberFormat="1" applyFont="1" applyAlignment="1" applyProtection="1">
      <alignment vertical="center"/>
      <protection locked="0"/>
    </xf>
    <xf numFmtId="0" fontId="3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/>
    <xf numFmtId="0" fontId="3" fillId="3" borderId="9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quotePrefix="1" applyFont="1" applyBorder="1" applyAlignment="1">
      <alignment horizontal="center" vertical="center"/>
    </xf>
    <xf numFmtId="0" fontId="3" fillId="2" borderId="0" xfId="0" applyFont="1" applyFill="1"/>
    <xf numFmtId="177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2" fillId="2" borderId="0" xfId="0" applyFont="1" applyFill="1"/>
    <xf numFmtId="177" fontId="3" fillId="2" borderId="1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right"/>
    </xf>
    <xf numFmtId="184" fontId="3" fillId="2" borderId="2" xfId="0" applyNumberFormat="1" applyFont="1" applyFill="1" applyBorder="1" applyAlignment="1">
      <alignment horizontal="right"/>
    </xf>
    <xf numFmtId="177" fontId="3" fillId="2" borderId="4" xfId="0" applyNumberFormat="1" applyFont="1" applyFill="1" applyBorder="1" applyAlignment="1">
      <alignment horizontal="right"/>
    </xf>
    <xf numFmtId="0" fontId="3" fillId="2" borderId="4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184" fontId="11" fillId="2" borderId="2" xfId="0" applyNumberFormat="1" applyFont="1" applyFill="1" applyBorder="1" applyAlignment="1">
      <alignment horizontal="right"/>
    </xf>
    <xf numFmtId="184" fontId="9" fillId="2" borderId="2" xfId="0" applyNumberFormat="1" applyFont="1" applyFill="1" applyBorder="1" applyAlignment="1">
      <alignment horizontal="left"/>
    </xf>
    <xf numFmtId="0" fontId="9" fillId="2" borderId="2" xfId="0" applyFont="1" applyFill="1" applyBorder="1"/>
    <xf numFmtId="177" fontId="19" fillId="2" borderId="0" xfId="0" applyNumberFormat="1" applyFont="1" applyFill="1" applyAlignment="1">
      <alignment horizontal="center"/>
    </xf>
    <xf numFmtId="0" fontId="21" fillId="0" borderId="0" xfId="0" applyFont="1"/>
    <xf numFmtId="0" fontId="3" fillId="2" borderId="1" xfId="0" applyFont="1" applyFill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177" fontId="3" fillId="0" borderId="2" xfId="0" applyNumberFormat="1" applyFont="1" applyBorder="1" applyAlignment="1">
      <alignment horizontal="center"/>
    </xf>
    <xf numFmtId="177" fontId="3" fillId="0" borderId="4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77" fontId="3" fillId="0" borderId="12" xfId="0" applyNumberFormat="1" applyFont="1" applyBorder="1" applyAlignment="1">
      <alignment horizontal="right"/>
    </xf>
    <xf numFmtId="177" fontId="3" fillId="0" borderId="8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3" fontId="3" fillId="0" borderId="20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178" fontId="3" fillId="0" borderId="12" xfId="0" applyNumberFormat="1" applyFont="1" applyBorder="1" applyAlignment="1">
      <alignment horizontal="right"/>
    </xf>
    <xf numFmtId="181" fontId="3" fillId="0" borderId="21" xfId="0" applyNumberFormat="1" applyFont="1" applyBorder="1" applyAlignment="1">
      <alignment horizontal="right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84" fontId="3" fillId="2" borderId="4" xfId="0" applyNumberFormat="1" applyFont="1" applyFill="1" applyBorder="1" applyAlignment="1">
      <alignment horizontal="right"/>
    </xf>
    <xf numFmtId="0" fontId="3" fillId="0" borderId="9" xfId="0" quotePrefix="1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77" fontId="3" fillId="2" borderId="8" xfId="0" applyNumberFormat="1" applyFont="1" applyFill="1" applyBorder="1" applyAlignment="1">
      <alignment horizontal="center"/>
    </xf>
    <xf numFmtId="177" fontId="3" fillId="2" borderId="9" xfId="0" applyNumberFormat="1" applyFont="1" applyFill="1" applyBorder="1" applyAlignment="1">
      <alignment horizontal="center"/>
    </xf>
    <xf numFmtId="177" fontId="3" fillId="2" borderId="10" xfId="0" applyNumberFormat="1" applyFont="1" applyFill="1" applyBorder="1" applyAlignment="1">
      <alignment horizontal="center"/>
    </xf>
    <xf numFmtId="177" fontId="3" fillId="2" borderId="12" xfId="0" applyNumberFormat="1" applyFont="1" applyFill="1" applyBorder="1" applyAlignment="1">
      <alignment horizontal="right"/>
    </xf>
    <xf numFmtId="0" fontId="3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71724</xdr:colOff>
      <xdr:row>1</xdr:row>
      <xdr:rowOff>49305</xdr:rowOff>
    </xdr:from>
    <xdr:to>
      <xdr:col>9</xdr:col>
      <xdr:colOff>430312</xdr:colOff>
      <xdr:row>2</xdr:row>
      <xdr:rowOff>49305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769665" y="217393"/>
          <a:ext cx="3440206" cy="224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の部分を御入力ください。</a:t>
          </a:r>
        </a:p>
      </xdr:txBody>
    </xdr:sp>
    <xdr:clientData fPrintsWithSheet="0"/>
  </xdr:twoCellAnchor>
  <xdr:twoCellAnchor>
    <xdr:from>
      <xdr:col>3</xdr:col>
      <xdr:colOff>179300</xdr:colOff>
      <xdr:row>1</xdr:row>
      <xdr:rowOff>33617</xdr:rowOff>
    </xdr:from>
    <xdr:to>
      <xdr:col>4</xdr:col>
      <xdr:colOff>105342</xdr:colOff>
      <xdr:row>2</xdr:row>
      <xdr:rowOff>60511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958359" y="201705"/>
          <a:ext cx="844924" cy="251012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 fPrintsWithSheet="0"/>
  </xdr:twoCellAnchor>
  <xdr:twoCellAnchor>
    <xdr:from>
      <xdr:col>5</xdr:col>
      <xdr:colOff>25594</xdr:colOff>
      <xdr:row>3</xdr:row>
      <xdr:rowOff>8028</xdr:rowOff>
    </xdr:from>
    <xdr:to>
      <xdr:col>11</xdr:col>
      <xdr:colOff>212911</xdr:colOff>
      <xdr:row>4</xdr:row>
      <xdr:rowOff>64057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61418" y="601940"/>
          <a:ext cx="3963699" cy="2801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複数の用途地域にわたる場合は「最も大きい」地域を選択してください。</a:t>
          </a:r>
        </a:p>
      </xdr:txBody>
    </xdr:sp>
    <xdr:clientData fPrintsWithSheet="0"/>
  </xdr:twoCellAnchor>
  <xdr:twoCellAnchor>
    <xdr:from>
      <xdr:col>0</xdr:col>
      <xdr:colOff>22411</xdr:colOff>
      <xdr:row>22</xdr:row>
      <xdr:rowOff>33618</xdr:rowOff>
    </xdr:from>
    <xdr:to>
      <xdr:col>5</xdr:col>
      <xdr:colOff>537881</xdr:colOff>
      <xdr:row>23</xdr:row>
      <xdr:rowOff>33617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411" y="4896971"/>
          <a:ext cx="4751294" cy="212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00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共同住宅等の住戸数計算は「共同住宅等の住戸数計算」シートで計算ください。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6"/>
  <sheetViews>
    <sheetView tabSelected="1" view="pageBreakPreview" zoomScale="60" zoomScaleNormal="69" workbookViewId="0">
      <selection activeCell="B5" sqref="B5:E5"/>
    </sheetView>
  </sheetViews>
  <sheetFormatPr defaultColWidth="9" defaultRowHeight="17.149999999999999" customHeight="1" x14ac:dyDescent="0.2"/>
  <cols>
    <col min="1" max="1" width="10.5" style="2" customWidth="1"/>
    <col min="2" max="2" width="20.5" style="2" bestFit="1" customWidth="1"/>
    <col min="3" max="3" width="5.58203125" style="2" customWidth="1"/>
    <col min="4" max="4" width="12.08203125" style="2" customWidth="1"/>
    <col min="5" max="5" width="10.4140625" style="2" customWidth="1"/>
    <col min="6" max="6" width="8.08203125" style="2" customWidth="1"/>
    <col min="7" max="7" width="12.08203125" style="2" customWidth="1"/>
    <col min="8" max="8" width="4.33203125" style="2" customWidth="1"/>
    <col min="9" max="9" width="8.75" style="2" customWidth="1"/>
    <col min="10" max="10" width="12.08203125" style="2" customWidth="1"/>
    <col min="11" max="11" width="4.08203125" style="2" customWidth="1"/>
    <col min="12" max="16384" width="9" style="2"/>
  </cols>
  <sheetData>
    <row r="1" spans="1:11" ht="13" x14ac:dyDescent="0.2"/>
    <row r="2" spans="1:11" ht="16.5" x14ac:dyDescent="0.25">
      <c r="A2" s="3" t="s">
        <v>0</v>
      </c>
    </row>
    <row r="3" spans="1:11" ht="17.149999999999999" customHeight="1" x14ac:dyDescent="0.2">
      <c r="A3" s="4" t="s">
        <v>1</v>
      </c>
    </row>
    <row r="4" spans="1:11" ht="17.149999999999999" customHeight="1" x14ac:dyDescent="0.2">
      <c r="A4" s="1" t="s">
        <v>2</v>
      </c>
      <c r="C4" s="2" t="s">
        <v>3</v>
      </c>
    </row>
    <row r="5" spans="1:11" ht="20.149999999999999" customHeight="1" x14ac:dyDescent="0.2">
      <c r="A5" s="8" t="s">
        <v>4</v>
      </c>
      <c r="B5" s="112"/>
      <c r="C5" s="113"/>
      <c r="D5" s="113"/>
      <c r="E5" s="114"/>
      <c r="F5" s="97" t="s">
        <v>5</v>
      </c>
      <c r="G5" s="115"/>
      <c r="H5" s="98"/>
      <c r="I5" s="109"/>
      <c r="J5" s="110"/>
      <c r="K5" s="111"/>
    </row>
    <row r="6" spans="1:11" ht="20.149999999999999" customHeight="1" x14ac:dyDescent="0.2">
      <c r="A6" s="97" t="s">
        <v>6</v>
      </c>
      <c r="B6" s="98"/>
      <c r="C6" s="97" t="s">
        <v>7</v>
      </c>
      <c r="D6" s="115"/>
      <c r="E6" s="98"/>
      <c r="F6" s="116" t="s">
        <v>8</v>
      </c>
      <c r="G6" s="117"/>
      <c r="H6" s="118"/>
      <c r="I6" s="97" t="s">
        <v>9</v>
      </c>
      <c r="J6" s="115"/>
      <c r="K6" s="98"/>
    </row>
    <row r="7" spans="1:11" ht="20.149999999999999" customHeight="1" x14ac:dyDescent="0.2">
      <c r="A7" s="119" t="s">
        <v>10</v>
      </c>
      <c r="B7" s="5" t="s">
        <v>12</v>
      </c>
      <c r="C7" s="6"/>
      <c r="D7" s="43"/>
      <c r="E7" s="7" t="s">
        <v>20</v>
      </c>
      <c r="F7" s="105" t="str">
        <f>IF(D$16&lt;&gt;0,ROUND(D$16/D$15*D7,2),"")</f>
        <v/>
      </c>
      <c r="G7" s="106"/>
      <c r="H7" s="7" t="s">
        <v>20</v>
      </c>
      <c r="I7" s="22" t="s">
        <v>55</v>
      </c>
      <c r="J7" s="30">
        <f>SUM(D7,F7)</f>
        <v>0</v>
      </c>
      <c r="K7" s="7" t="s">
        <v>20</v>
      </c>
    </row>
    <row r="8" spans="1:11" ht="20.149999999999999" customHeight="1" x14ac:dyDescent="0.2">
      <c r="A8" s="120"/>
      <c r="B8" s="5" t="s">
        <v>13</v>
      </c>
      <c r="C8" s="6"/>
      <c r="D8" s="43"/>
      <c r="E8" s="7" t="s">
        <v>20</v>
      </c>
      <c r="F8" s="105" t="str">
        <f>IF(D$16&lt;&gt;0,ROUND(D$16/D$15*D8,2),"")</f>
        <v/>
      </c>
      <c r="G8" s="106"/>
      <c r="H8" s="7" t="s">
        <v>20</v>
      </c>
      <c r="I8" s="22" t="s">
        <v>56</v>
      </c>
      <c r="J8" s="30">
        <f t="shared" ref="J8:J14" si="0">SUM(D8,F8)</f>
        <v>0</v>
      </c>
      <c r="K8" s="7" t="s">
        <v>20</v>
      </c>
    </row>
    <row r="9" spans="1:11" ht="20.149999999999999" customHeight="1" x14ac:dyDescent="0.2">
      <c r="A9" s="120"/>
      <c r="B9" s="5" t="s">
        <v>14</v>
      </c>
      <c r="C9" s="6"/>
      <c r="D9" s="43"/>
      <c r="E9" s="7" t="s">
        <v>20</v>
      </c>
      <c r="F9" s="105" t="str">
        <f t="shared" ref="F9:F14" si="1">IF(D$16&lt;&gt;0,ROUND(D$16/D$15*D9,2),"")</f>
        <v/>
      </c>
      <c r="G9" s="106"/>
      <c r="H9" s="7" t="s">
        <v>20</v>
      </c>
      <c r="I9" s="22" t="s">
        <v>57</v>
      </c>
      <c r="J9" s="30">
        <f t="shared" si="0"/>
        <v>0</v>
      </c>
      <c r="K9" s="7" t="s">
        <v>20</v>
      </c>
    </row>
    <row r="10" spans="1:11" ht="28.5" customHeight="1" x14ac:dyDescent="0.2">
      <c r="A10" s="121"/>
      <c r="B10" s="63" t="s">
        <v>95</v>
      </c>
      <c r="C10" s="6"/>
      <c r="D10" s="43"/>
      <c r="E10" s="7" t="s">
        <v>20</v>
      </c>
      <c r="F10" s="105" t="str">
        <f>IF(D$16&lt;&gt;0,ROUND(D$16/D$15*D10,2),"")</f>
        <v/>
      </c>
      <c r="G10" s="106"/>
      <c r="H10" s="7" t="s">
        <v>20</v>
      </c>
      <c r="I10" s="22" t="s">
        <v>58</v>
      </c>
      <c r="J10" s="30">
        <f t="shared" si="0"/>
        <v>0</v>
      </c>
      <c r="K10" s="7" t="s">
        <v>20</v>
      </c>
    </row>
    <row r="11" spans="1:11" ht="20.149999999999999" customHeight="1" x14ac:dyDescent="0.2">
      <c r="A11" s="97" t="s">
        <v>86</v>
      </c>
      <c r="B11" s="98"/>
      <c r="C11" s="6"/>
      <c r="D11" s="43"/>
      <c r="E11" s="7" t="s">
        <v>20</v>
      </c>
      <c r="F11" s="105" t="str">
        <f>IF(D$16&lt;&gt;0,ROUND(D$16/D$15*D11,2),"")</f>
        <v/>
      </c>
      <c r="G11" s="106"/>
      <c r="H11" s="7" t="s">
        <v>20</v>
      </c>
      <c r="I11" s="22" t="s">
        <v>59</v>
      </c>
      <c r="J11" s="30">
        <f>SUM(D11,F11)</f>
        <v>0</v>
      </c>
      <c r="K11" s="7" t="s">
        <v>20</v>
      </c>
    </row>
    <row r="12" spans="1:11" ht="20.149999999999999" customHeight="1" x14ac:dyDescent="0.2">
      <c r="A12" s="122" t="s">
        <v>11</v>
      </c>
      <c r="B12" s="5" t="s">
        <v>15</v>
      </c>
      <c r="C12" s="6"/>
      <c r="D12" s="43"/>
      <c r="E12" s="7" t="s">
        <v>20</v>
      </c>
      <c r="F12" s="105" t="str">
        <f t="shared" si="1"/>
        <v/>
      </c>
      <c r="G12" s="106"/>
      <c r="H12" s="7" t="s">
        <v>20</v>
      </c>
      <c r="I12" s="22" t="s">
        <v>60</v>
      </c>
      <c r="J12" s="30">
        <f t="shared" si="0"/>
        <v>0</v>
      </c>
      <c r="K12" s="7" t="s">
        <v>20</v>
      </c>
    </row>
    <row r="13" spans="1:11" ht="20.149999999999999" customHeight="1" x14ac:dyDescent="0.2">
      <c r="A13" s="123"/>
      <c r="B13" s="5" t="s">
        <v>87</v>
      </c>
      <c r="C13" s="6"/>
      <c r="D13" s="43"/>
      <c r="E13" s="7" t="s">
        <v>20</v>
      </c>
      <c r="F13" s="105" t="str">
        <f t="shared" si="1"/>
        <v/>
      </c>
      <c r="G13" s="106"/>
      <c r="H13" s="7" t="s">
        <v>20</v>
      </c>
      <c r="I13" s="22" t="s">
        <v>61</v>
      </c>
      <c r="J13" s="30">
        <f t="shared" si="0"/>
        <v>0</v>
      </c>
      <c r="K13" s="7" t="s">
        <v>20</v>
      </c>
    </row>
    <row r="14" spans="1:11" ht="20.149999999999999" customHeight="1" x14ac:dyDescent="0.2">
      <c r="A14" s="124"/>
      <c r="B14" s="5" t="s">
        <v>88</v>
      </c>
      <c r="C14" s="6"/>
      <c r="D14" s="43"/>
      <c r="E14" s="7" t="s">
        <v>20</v>
      </c>
      <c r="F14" s="105" t="str">
        <f t="shared" si="1"/>
        <v/>
      </c>
      <c r="G14" s="106"/>
      <c r="H14" s="7" t="s">
        <v>20</v>
      </c>
      <c r="I14" s="22" t="s">
        <v>62</v>
      </c>
      <c r="J14" s="30">
        <f t="shared" si="0"/>
        <v>0</v>
      </c>
      <c r="K14" s="7" t="s">
        <v>20</v>
      </c>
    </row>
    <row r="15" spans="1:11" ht="20.149999999999999" customHeight="1" x14ac:dyDescent="0.2">
      <c r="A15" s="99" t="s">
        <v>16</v>
      </c>
      <c r="B15" s="101"/>
      <c r="C15" s="6"/>
      <c r="D15" s="30">
        <f>SUM(D7:D14)</f>
        <v>0</v>
      </c>
      <c r="E15" s="7" t="s">
        <v>20</v>
      </c>
      <c r="F15" s="128"/>
      <c r="G15" s="129"/>
      <c r="H15" s="129"/>
      <c r="I15" s="129"/>
      <c r="J15" s="129"/>
      <c r="K15" s="130"/>
    </row>
    <row r="16" spans="1:11" ht="20.149999999999999" customHeight="1" x14ac:dyDescent="0.2">
      <c r="A16" s="99" t="s">
        <v>17</v>
      </c>
      <c r="B16" s="101"/>
      <c r="C16" s="6"/>
      <c r="D16" s="43"/>
      <c r="E16" s="7" t="s">
        <v>20</v>
      </c>
      <c r="F16" s="131"/>
      <c r="G16" s="132"/>
      <c r="H16" s="132"/>
      <c r="I16" s="132"/>
      <c r="J16" s="132"/>
      <c r="K16" s="133"/>
    </row>
    <row r="17" spans="1:13" ht="20.149999999999999" customHeight="1" x14ac:dyDescent="0.2">
      <c r="A17" s="99" t="s">
        <v>89</v>
      </c>
      <c r="B17" s="101"/>
      <c r="C17" s="6"/>
      <c r="D17" s="43"/>
      <c r="E17" s="7" t="s">
        <v>20</v>
      </c>
      <c r="F17" s="131"/>
      <c r="G17" s="132"/>
      <c r="H17" s="132"/>
      <c r="I17" s="132"/>
      <c r="J17" s="132"/>
      <c r="K17" s="133"/>
    </row>
    <row r="18" spans="1:13" ht="20.149999999999999" customHeight="1" x14ac:dyDescent="0.2">
      <c r="A18" s="99" t="s">
        <v>90</v>
      </c>
      <c r="B18" s="101"/>
      <c r="C18" s="22" t="s">
        <v>63</v>
      </c>
      <c r="D18" s="30">
        <f>SUM(D15:D16)</f>
        <v>0</v>
      </c>
      <c r="E18" s="7" t="s">
        <v>20</v>
      </c>
      <c r="F18" s="131"/>
      <c r="G18" s="132"/>
      <c r="H18" s="132"/>
      <c r="I18" s="132"/>
      <c r="J18" s="132"/>
      <c r="K18" s="133"/>
    </row>
    <row r="19" spans="1:13" ht="20.149999999999999" customHeight="1" x14ac:dyDescent="0.2">
      <c r="A19" s="107" t="s">
        <v>18</v>
      </c>
      <c r="B19" s="108"/>
      <c r="C19" s="135">
        <f>SUM(D17:D18)</f>
        <v>0</v>
      </c>
      <c r="D19" s="136"/>
      <c r="E19" s="15" t="s">
        <v>20</v>
      </c>
      <c r="F19" s="131"/>
      <c r="G19" s="132"/>
      <c r="H19" s="132"/>
      <c r="I19" s="132"/>
      <c r="J19" s="132"/>
      <c r="K19" s="133"/>
    </row>
    <row r="20" spans="1:13" ht="20.149999999999999" customHeight="1" x14ac:dyDescent="0.2">
      <c r="A20" s="99" t="s">
        <v>91</v>
      </c>
      <c r="B20" s="100"/>
      <c r="C20" s="100"/>
      <c r="D20" s="100"/>
      <c r="E20" s="101"/>
      <c r="F20" s="79" t="s">
        <v>164</v>
      </c>
      <c r="G20" s="66">
        <f>共同住宅等の住戸数計算!C3</f>
        <v>0</v>
      </c>
      <c r="H20" s="55" t="s">
        <v>21</v>
      </c>
      <c r="I20" s="119" t="s">
        <v>169</v>
      </c>
      <c r="J20" s="71" t="s">
        <v>168</v>
      </c>
      <c r="K20" s="57"/>
    </row>
    <row r="21" spans="1:13" ht="20.149999999999999" customHeight="1" x14ac:dyDescent="0.2">
      <c r="A21" s="102" t="s">
        <v>92</v>
      </c>
      <c r="B21" s="103"/>
      <c r="C21" s="103"/>
      <c r="D21" s="103"/>
      <c r="E21" s="104"/>
      <c r="F21" s="73" t="s">
        <v>94</v>
      </c>
      <c r="G21" s="76">
        <f>共同住宅等の住戸数計算!C5</f>
        <v>0</v>
      </c>
      <c r="H21" s="74" t="s">
        <v>21</v>
      </c>
      <c r="I21" s="121"/>
      <c r="J21" s="67">
        <f>共同住宅等の住戸数計算!C7</f>
        <v>0</v>
      </c>
      <c r="K21" s="14" t="s">
        <v>21</v>
      </c>
    </row>
    <row r="22" spans="1:13" ht="20.25" customHeight="1" x14ac:dyDescent="0.2">
      <c r="A22" s="75" t="s">
        <v>93</v>
      </c>
      <c r="B22" s="62"/>
      <c r="C22" s="62"/>
      <c r="D22" s="62"/>
      <c r="E22" s="62"/>
      <c r="F22" s="65"/>
      <c r="G22" s="55"/>
      <c r="H22" s="56"/>
      <c r="I22" s="72">
        <v>12</v>
      </c>
      <c r="J22" s="77">
        <f>共同住宅等の住戸数計算!C15</f>
        <v>0</v>
      </c>
      <c r="K22" s="7" t="s">
        <v>21</v>
      </c>
    </row>
    <row r="23" spans="1:13" ht="17.149999999999999" customHeight="1" x14ac:dyDescent="0.2">
      <c r="A23" s="47"/>
      <c r="G23" s="42">
        <f>IF(OR(J22="", J22=0), J21, J22)</f>
        <v>0</v>
      </c>
    </row>
    <row r="24" spans="1:13" ht="17.149999999999999" customHeight="1" x14ac:dyDescent="0.2">
      <c r="A24" s="46"/>
      <c r="G24" s="42"/>
    </row>
    <row r="25" spans="1:13" ht="13" x14ac:dyDescent="0.2">
      <c r="A25" s="1" t="s">
        <v>22</v>
      </c>
    </row>
    <row r="26" spans="1:13" ht="17.149999999999999" customHeight="1" x14ac:dyDescent="0.2">
      <c r="A26" s="2" t="s">
        <v>97</v>
      </c>
      <c r="H26" s="23" t="s">
        <v>96</v>
      </c>
      <c r="I26" s="134">
        <f>ROUND(J7+J8+J9+J10+(J11+J12+J13+J14)*0.75,2)</f>
        <v>0</v>
      </c>
      <c r="J26" s="134"/>
      <c r="K26" s="11" t="s">
        <v>20</v>
      </c>
    </row>
    <row r="27" spans="1:13" ht="17.149999999999999" customHeight="1" x14ac:dyDescent="0.2">
      <c r="A27" s="2" t="s">
        <v>99</v>
      </c>
    </row>
    <row r="28" spans="1:13" ht="17" customHeight="1" x14ac:dyDescent="0.2">
      <c r="A28" s="2" t="s">
        <v>98</v>
      </c>
      <c r="J28" s="42" t="b">
        <f>I26&gt;1500</f>
        <v>0</v>
      </c>
      <c r="M28" s="64"/>
    </row>
    <row r="29" spans="1:13" ht="17.149999999999999" customHeight="1" x14ac:dyDescent="0.2">
      <c r="H29" s="54"/>
      <c r="I29" s="54"/>
    </row>
    <row r="30" spans="1:13" ht="17.149999999999999" customHeight="1" x14ac:dyDescent="0.2">
      <c r="A30" s="1" t="s">
        <v>23</v>
      </c>
    </row>
    <row r="31" spans="1:13" ht="17.149999999999999" customHeight="1" x14ac:dyDescent="0.2">
      <c r="A31" s="2" t="s">
        <v>64</v>
      </c>
    </row>
    <row r="32" spans="1:13" ht="17.149999999999999" customHeight="1" x14ac:dyDescent="0.2">
      <c r="A32" s="2" t="s">
        <v>65</v>
      </c>
    </row>
    <row r="33" spans="1:11" ht="20.149999999999999" customHeight="1" x14ac:dyDescent="0.2">
      <c r="A33" s="125" t="s">
        <v>24</v>
      </c>
      <c r="B33" s="126"/>
      <c r="C33" s="127"/>
      <c r="D33" s="125" t="s">
        <v>25</v>
      </c>
      <c r="E33" s="126"/>
      <c r="F33" s="126"/>
      <c r="G33" s="126"/>
      <c r="H33" s="127"/>
      <c r="I33" s="125" t="s">
        <v>26</v>
      </c>
      <c r="J33" s="126"/>
      <c r="K33" s="127"/>
    </row>
    <row r="34" spans="1:11" ht="20.149999999999999" customHeight="1" x14ac:dyDescent="0.2">
      <c r="A34" s="137" t="s">
        <v>27</v>
      </c>
      <c r="B34" s="138"/>
      <c r="C34" s="139"/>
      <c r="D34" s="38">
        <v>10000</v>
      </c>
      <c r="E34" s="9" t="s">
        <v>32</v>
      </c>
      <c r="F34" s="9" t="s">
        <v>31</v>
      </c>
      <c r="G34" s="16">
        <v>1</v>
      </c>
      <c r="H34" s="7"/>
      <c r="I34" s="6"/>
      <c r="J34" s="35" t="str">
        <f>IF(J8&gt;10000,D34*G34,"")</f>
        <v/>
      </c>
      <c r="K34" s="7" t="s">
        <v>20</v>
      </c>
    </row>
    <row r="35" spans="1:11" ht="20.149999999999999" customHeight="1" x14ac:dyDescent="0.2">
      <c r="A35" s="137" t="s">
        <v>28</v>
      </c>
      <c r="B35" s="138"/>
      <c r="C35" s="139"/>
      <c r="D35" s="38" t="str">
        <f>IF(J8&gt;50000,40000,IF(AND(J8&gt;10000,J8&lt;=50000),J8-10000,""))</f>
        <v/>
      </c>
      <c r="E35" s="9" t="s">
        <v>32</v>
      </c>
      <c r="F35" s="9" t="s">
        <v>31</v>
      </c>
      <c r="G35" s="16">
        <v>0.7</v>
      </c>
      <c r="H35" s="7"/>
      <c r="I35" s="6"/>
      <c r="J35" s="35" t="str">
        <f>IF(J8&gt;50000,40000*G35,IF(AND(J8&gt;10000,J8&lt;=50000),(J8-10000)*G35,""))</f>
        <v/>
      </c>
      <c r="K35" s="7" t="s">
        <v>19</v>
      </c>
    </row>
    <row r="36" spans="1:11" ht="20.149999999999999" customHeight="1" x14ac:dyDescent="0.2">
      <c r="A36" s="137" t="s">
        <v>29</v>
      </c>
      <c r="B36" s="138"/>
      <c r="C36" s="139"/>
      <c r="D36" s="38" t="str">
        <f>IF(J8&gt;100000,50000,IF(AND(J8&gt;50000,J8&lt;=100000),J8-50000,""))</f>
        <v/>
      </c>
      <c r="E36" s="9" t="s">
        <v>32</v>
      </c>
      <c r="F36" s="9" t="s">
        <v>31</v>
      </c>
      <c r="G36" s="16">
        <v>0.6</v>
      </c>
      <c r="H36" s="7"/>
      <c r="I36" s="6"/>
      <c r="J36" s="35" t="str">
        <f>IF(J8&gt;100000,50000*G36,IF(AND(J8&gt;50000,J8&lt;=100000),(J8-50000)*G36,""))</f>
        <v/>
      </c>
      <c r="K36" s="7" t="s">
        <v>19</v>
      </c>
    </row>
    <row r="37" spans="1:11" ht="20.149999999999999" customHeight="1" thickBot="1" x14ac:dyDescent="0.25">
      <c r="A37" s="141" t="s">
        <v>30</v>
      </c>
      <c r="B37" s="142"/>
      <c r="C37" s="143"/>
      <c r="D37" s="39" t="str">
        <f>IF(J8&gt;100000,J8-100000,"")</f>
        <v/>
      </c>
      <c r="E37" s="10" t="s">
        <v>33</v>
      </c>
      <c r="F37" s="10" t="s">
        <v>31</v>
      </c>
      <c r="G37" s="18">
        <v>0.5</v>
      </c>
      <c r="H37" s="15"/>
      <c r="I37" s="17"/>
      <c r="J37" s="36" t="str">
        <f>IF(J8&gt;100000,(J8-100000)*G37,"")</f>
        <v/>
      </c>
      <c r="K37" s="15" t="s">
        <v>19</v>
      </c>
    </row>
    <row r="38" spans="1:11" ht="20.149999999999999" customHeight="1" thickTop="1" x14ac:dyDescent="0.2">
      <c r="A38" s="144" t="s">
        <v>18</v>
      </c>
      <c r="B38" s="145"/>
      <c r="C38" s="146"/>
      <c r="D38" s="24" t="s">
        <v>56</v>
      </c>
      <c r="E38" s="148">
        <f>J8</f>
        <v>0</v>
      </c>
      <c r="F38" s="148"/>
      <c r="G38" s="148"/>
      <c r="H38" s="19" t="s">
        <v>20</v>
      </c>
      <c r="I38" s="25" t="s">
        <v>66</v>
      </c>
      <c r="J38" s="37">
        <f>SUM(J34:J37)</f>
        <v>0</v>
      </c>
      <c r="K38" s="19" t="s">
        <v>19</v>
      </c>
    </row>
    <row r="40" spans="1:11" ht="17.149999999999999" customHeight="1" x14ac:dyDescent="0.2">
      <c r="J40" s="42">
        <f>IF(J38&lt;&gt;0,J38,E38)</f>
        <v>0</v>
      </c>
    </row>
    <row r="41" spans="1:11" ht="17.149999999999999" customHeight="1" x14ac:dyDescent="0.2">
      <c r="A41" s="1" t="s">
        <v>34</v>
      </c>
    </row>
    <row r="42" spans="1:11" ht="17.149999999999999" customHeight="1" x14ac:dyDescent="0.2">
      <c r="A42" s="2" t="s">
        <v>35</v>
      </c>
    </row>
    <row r="43" spans="1:11" ht="17.149999999999999" customHeight="1" x14ac:dyDescent="0.2">
      <c r="A43" s="2" t="s">
        <v>36</v>
      </c>
    </row>
    <row r="44" spans="1:11" ht="17.149999999999999" customHeight="1" x14ac:dyDescent="0.2">
      <c r="A44" s="2" t="s">
        <v>100</v>
      </c>
      <c r="C44" s="134" t="str">
        <f>IF(J28,ROUND(J7/300,2),"")</f>
        <v/>
      </c>
      <c r="D44" s="134"/>
      <c r="E44" s="2" t="s">
        <v>38</v>
      </c>
    </row>
    <row r="45" spans="1:11" ht="17.149999999999999" customHeight="1" x14ac:dyDescent="0.2">
      <c r="A45" s="2" t="s">
        <v>39</v>
      </c>
    </row>
    <row r="46" spans="1:11" ht="17.149999999999999" customHeight="1" x14ac:dyDescent="0.2">
      <c r="A46" s="2" t="s">
        <v>101</v>
      </c>
      <c r="E46" s="134" t="str">
        <f>IF(J28,IF(J8&gt;10000,ROUND((J38+J9+J10)/350,2),ROUND((J8+J9+J10)/350,2)),"")</f>
        <v/>
      </c>
      <c r="F46" s="134"/>
      <c r="G46" s="2" t="s">
        <v>38</v>
      </c>
    </row>
    <row r="47" spans="1:11" ht="17.149999999999999" customHeight="1" x14ac:dyDescent="0.2">
      <c r="A47" s="2" t="s">
        <v>102</v>
      </c>
    </row>
    <row r="48" spans="1:11" ht="17.149999999999999" customHeight="1" x14ac:dyDescent="0.2">
      <c r="A48" s="2" t="s">
        <v>163</v>
      </c>
      <c r="C48" s="134" t="str">
        <f>IF(J28,ROUND(J14/600,2),"")</f>
        <v/>
      </c>
      <c r="D48" s="134"/>
      <c r="E48" s="2" t="s">
        <v>38</v>
      </c>
    </row>
    <row r="49" spans="1:10" ht="17.149999999999999" customHeight="1" x14ac:dyDescent="0.2">
      <c r="A49" s="2" t="s">
        <v>104</v>
      </c>
      <c r="C49" s="134" t="str">
        <f>IF(J28,SUM(C44,E46,C48),"")</f>
        <v/>
      </c>
      <c r="D49" s="140"/>
      <c r="E49" s="2" t="s">
        <v>37</v>
      </c>
    </row>
    <row r="50" spans="1:10" ht="17.149999999999999" customHeight="1" x14ac:dyDescent="0.2">
      <c r="A50" s="2" t="s">
        <v>105</v>
      </c>
    </row>
    <row r="52" spans="1:10" ht="17.149999999999999" customHeight="1" x14ac:dyDescent="0.2">
      <c r="B52" s="20" t="s">
        <v>40</v>
      </c>
      <c r="C52" s="2" t="s">
        <v>107</v>
      </c>
    </row>
    <row r="53" spans="1:10" ht="17.149999999999999" customHeight="1" x14ac:dyDescent="0.2">
      <c r="C53" s="10" t="s">
        <v>106</v>
      </c>
      <c r="D53" s="10"/>
      <c r="E53" s="10"/>
      <c r="F53" s="10"/>
    </row>
    <row r="55" spans="1:10" ht="17.149999999999999" customHeight="1" x14ac:dyDescent="0.2">
      <c r="C55" s="26" t="s">
        <v>108</v>
      </c>
      <c r="D55" s="33" t="str">
        <f>IF(J28,IF(AND(D18&gt;0,D18&lt;6000),ROUND((1-(1500*(6000-D18))/(6000*I26-1500*D18)),5),""),"")</f>
        <v/>
      </c>
      <c r="E55" s="11"/>
      <c r="F55" s="2" t="s">
        <v>41</v>
      </c>
    </row>
    <row r="57" spans="1:10" ht="17.149999999999999" customHeight="1" x14ac:dyDescent="0.2">
      <c r="A57" s="2" t="s">
        <v>42</v>
      </c>
    </row>
    <row r="58" spans="1:10" ht="17.149999999999999" customHeight="1" x14ac:dyDescent="0.2">
      <c r="A58" s="2" t="s">
        <v>109</v>
      </c>
      <c r="D58" s="31" t="str">
        <f>IF(J28,IF(AND(D18&gt;0,D18&lt;6000),C49*D55,""),"")</f>
        <v/>
      </c>
      <c r="E58" s="2" t="s">
        <v>111</v>
      </c>
      <c r="H58" s="147" t="str">
        <f>IF(J28,IF(D58&lt;&gt;"",ROUNDUP(D58,0),""),"")</f>
        <v/>
      </c>
      <c r="I58" s="147"/>
      <c r="J58" s="2" t="s">
        <v>37</v>
      </c>
    </row>
    <row r="59" spans="1:10" ht="17.149999999999999" customHeight="1" x14ac:dyDescent="0.2">
      <c r="A59" s="2" t="s">
        <v>110</v>
      </c>
      <c r="D59" s="31" t="str">
        <f>IF(J28,IF(D18&gt;=6000,C49,""),"")</f>
        <v/>
      </c>
      <c r="E59" s="2" t="s">
        <v>112</v>
      </c>
      <c r="H59" s="147" t="str">
        <f>IF(J28,IF(D59&lt;&gt;"",ROUNDUP(D59,0),""),"")</f>
        <v/>
      </c>
      <c r="I59" s="147"/>
      <c r="J59" s="2" t="s">
        <v>37</v>
      </c>
    </row>
    <row r="60" spans="1:10" ht="17.149999999999999" customHeight="1" x14ac:dyDescent="0.2">
      <c r="I60" s="40"/>
    </row>
    <row r="61" spans="1:10" ht="17.149999999999999" customHeight="1" x14ac:dyDescent="0.2">
      <c r="A61" s="2" t="s">
        <v>43</v>
      </c>
      <c r="I61" s="42" t="str">
        <f>IF(D58&lt;&gt;"",H58,H59)</f>
        <v/>
      </c>
    </row>
    <row r="62" spans="1:10" ht="17.149999999999999" hidden="1" customHeight="1" x14ac:dyDescent="0.2">
      <c r="A62" s="2" t="s">
        <v>44</v>
      </c>
    </row>
    <row r="63" spans="1:10" ht="17.149999999999999" hidden="1" customHeight="1" x14ac:dyDescent="0.2">
      <c r="A63" s="2" t="s">
        <v>67</v>
      </c>
      <c r="D63" s="11" t="str">
        <f>IF(J28,IF(J22="あり",ROUNDUP(G23/3-2,0),""),"")</f>
        <v/>
      </c>
      <c r="E63" s="2" t="s">
        <v>45</v>
      </c>
    </row>
    <row r="64" spans="1:10" ht="17" hidden="1" customHeight="1" x14ac:dyDescent="0.2">
      <c r="A64" s="2" t="s">
        <v>46</v>
      </c>
    </row>
    <row r="65" spans="1:10" ht="17.149999999999999" customHeight="1" x14ac:dyDescent="0.2">
      <c r="A65" s="2" t="s">
        <v>113</v>
      </c>
      <c r="D65" s="11" t="str">
        <f>IF(J28,ROUNDUP(G23/3,0),"")</f>
        <v/>
      </c>
      <c r="E65" s="2" t="s">
        <v>45</v>
      </c>
      <c r="I65" s="42" t="str">
        <f>IF(D63&lt;&gt;"",D63,D65)</f>
        <v/>
      </c>
    </row>
    <row r="66" spans="1:10" ht="17.149999999999999" customHeight="1" x14ac:dyDescent="0.2">
      <c r="A66" s="53" t="s">
        <v>84</v>
      </c>
    </row>
    <row r="67" spans="1:10" ht="17.149999999999999" customHeight="1" x14ac:dyDescent="0.2">
      <c r="A67" s="2" t="s">
        <v>47</v>
      </c>
    </row>
    <row r="68" spans="1:10" ht="17.149999999999999" customHeight="1" x14ac:dyDescent="0.2">
      <c r="A68" s="2" t="s">
        <v>114</v>
      </c>
      <c r="C68" s="140" t="str">
        <f>IF(J28,I61+D65,"")</f>
        <v/>
      </c>
      <c r="D68" s="140"/>
      <c r="E68" s="2" t="s">
        <v>37</v>
      </c>
    </row>
    <row r="71" spans="1:10" ht="17.149999999999999" customHeight="1" x14ac:dyDescent="0.2">
      <c r="A71" s="1" t="s">
        <v>48</v>
      </c>
    </row>
    <row r="72" spans="1:10" ht="17.149999999999999" customHeight="1" x14ac:dyDescent="0.2">
      <c r="A72" s="2" t="s">
        <v>49</v>
      </c>
    </row>
    <row r="73" spans="1:10" ht="17.149999999999999" customHeight="1" x14ac:dyDescent="0.2">
      <c r="A73" s="2" t="s">
        <v>116</v>
      </c>
      <c r="C73" s="140" t="str">
        <f>IF(J28,ROUNDUP(I61*0.3,0),"")</f>
        <v/>
      </c>
      <c r="D73" s="140"/>
      <c r="E73" s="2" t="s">
        <v>45</v>
      </c>
    </row>
    <row r="74" spans="1:10" ht="17.149999999999999" customHeight="1" x14ac:dyDescent="0.2">
      <c r="A74" s="2" t="s">
        <v>50</v>
      </c>
    </row>
    <row r="75" spans="1:10" ht="17.149999999999999" customHeight="1" x14ac:dyDescent="0.2">
      <c r="A75" s="2" t="s">
        <v>178</v>
      </c>
      <c r="C75" s="140" t="str">
        <f>IF(J28,I61-C73+D65,"")</f>
        <v/>
      </c>
      <c r="D75" s="140"/>
      <c r="E75" s="2" t="s">
        <v>37</v>
      </c>
    </row>
    <row r="78" spans="1:10" ht="17.149999999999999" customHeight="1" x14ac:dyDescent="0.2">
      <c r="A78" s="1" t="s">
        <v>51</v>
      </c>
    </row>
    <row r="79" spans="1:10" ht="17.149999999999999" customHeight="1" x14ac:dyDescent="0.2">
      <c r="A79" s="2" t="s">
        <v>138</v>
      </c>
      <c r="G79" s="134">
        <f>J7+J40+J9+J10</f>
        <v>0</v>
      </c>
      <c r="H79" s="140"/>
      <c r="I79" s="2" t="s">
        <v>20</v>
      </c>
      <c r="J79" s="42" t="b">
        <f>G79&gt;3000</f>
        <v>0</v>
      </c>
    </row>
    <row r="80" spans="1:10" s="80" customFormat="1" ht="17" hidden="1" customHeight="1" x14ac:dyDescent="0.2">
      <c r="B80" s="80" t="s">
        <v>103</v>
      </c>
      <c r="G80" s="81"/>
      <c r="H80" s="82"/>
      <c r="J80" s="83"/>
    </row>
    <row r="81" spans="1:10" s="80" customFormat="1" ht="17.149999999999999" hidden="1" customHeight="1" x14ac:dyDescent="0.2">
      <c r="A81" s="80" t="s">
        <v>115</v>
      </c>
      <c r="D81" s="80" t="s">
        <v>117</v>
      </c>
      <c r="G81" s="84" t="str">
        <f>IF(AND(J11&gt;2000, G20&gt;=50), "〇", "")</f>
        <v/>
      </c>
      <c r="H81" s="85"/>
      <c r="J81" s="83"/>
    </row>
    <row r="82" spans="1:10" ht="17.149999999999999" customHeight="1" x14ac:dyDescent="0.2">
      <c r="G82" s="68"/>
      <c r="H82" s="20"/>
      <c r="J82" s="42"/>
    </row>
    <row r="83" spans="1:10" ht="17.149999999999999" customHeight="1" x14ac:dyDescent="0.2">
      <c r="B83" s="95" t="s">
        <v>180</v>
      </c>
      <c r="G83" s="68"/>
      <c r="H83" s="20"/>
      <c r="J83" s="42"/>
    </row>
    <row r="84" spans="1:10" ht="17.149999999999999" customHeight="1" x14ac:dyDescent="0.2">
      <c r="G84" s="68"/>
      <c r="H84" s="20"/>
      <c r="J84" s="42"/>
    </row>
    <row r="85" spans="1:10" ht="17.149999999999999" customHeight="1" x14ac:dyDescent="0.2">
      <c r="A85" s="21" t="s">
        <v>177</v>
      </c>
    </row>
    <row r="86" spans="1:10" ht="17.149999999999999" customHeight="1" x14ac:dyDescent="0.2">
      <c r="A86" s="21" t="s">
        <v>176</v>
      </c>
    </row>
    <row r="88" spans="1:10" ht="17.149999999999999" customHeight="1" x14ac:dyDescent="0.2">
      <c r="A88" s="2" t="s">
        <v>36</v>
      </c>
    </row>
    <row r="89" spans="1:10" ht="17.149999999999999" customHeight="1" x14ac:dyDescent="0.2">
      <c r="A89" s="2" t="s">
        <v>118</v>
      </c>
      <c r="D89" s="134" t="str">
        <f>IF(J79,ROUND(J7/2500,2),"")</f>
        <v/>
      </c>
      <c r="E89" s="134"/>
      <c r="F89" s="2" t="s">
        <v>38</v>
      </c>
    </row>
    <row r="90" spans="1:10" ht="17.149999999999999" customHeight="1" x14ac:dyDescent="0.2">
      <c r="A90" s="2" t="s">
        <v>52</v>
      </c>
      <c r="D90" s="32"/>
      <c r="E90" s="32"/>
    </row>
    <row r="91" spans="1:10" ht="17.149999999999999" customHeight="1" x14ac:dyDescent="0.2">
      <c r="A91" s="2" t="s">
        <v>119</v>
      </c>
      <c r="D91" s="134" t="str">
        <f>IF(J79,ROUND(J40/6000,2),"")</f>
        <v/>
      </c>
      <c r="E91" s="134"/>
      <c r="F91" s="2" t="s">
        <v>38</v>
      </c>
    </row>
    <row r="92" spans="1:10" ht="17.149999999999999" customHeight="1" x14ac:dyDescent="0.2">
      <c r="A92" s="2" t="s">
        <v>53</v>
      </c>
      <c r="D92" s="32"/>
      <c r="E92" s="32"/>
    </row>
    <row r="93" spans="1:10" ht="17.149999999999999" customHeight="1" x14ac:dyDescent="0.2">
      <c r="A93" s="2" t="s">
        <v>120</v>
      </c>
      <c r="D93" s="134" t="str">
        <f>IF(J79,ROUND(J9/2000,2),"")</f>
        <v/>
      </c>
      <c r="E93" s="134"/>
      <c r="F93" s="2" t="s">
        <v>38</v>
      </c>
    </row>
    <row r="94" spans="1:10" ht="17.149999999999999" customHeight="1" x14ac:dyDescent="0.2">
      <c r="A94" s="2" t="s">
        <v>54</v>
      </c>
      <c r="D94" s="32"/>
      <c r="E94" s="32"/>
    </row>
    <row r="95" spans="1:10" ht="17.149999999999999" customHeight="1" x14ac:dyDescent="0.2">
      <c r="A95" s="2" t="s">
        <v>121</v>
      </c>
      <c r="D95" s="134" t="str">
        <f>IF(J79,ROUND(J10/5000,2),"")</f>
        <v/>
      </c>
      <c r="E95" s="134"/>
      <c r="F95" s="2" t="s">
        <v>38</v>
      </c>
    </row>
    <row r="96" spans="1:10" s="80" customFormat="1" ht="17.149999999999999" hidden="1" customHeight="1" x14ac:dyDescent="0.2">
      <c r="A96" s="80" t="s">
        <v>122</v>
      </c>
      <c r="D96" s="81"/>
      <c r="E96" s="81"/>
    </row>
    <row r="97" spans="1:11" s="80" customFormat="1" ht="17.149999999999999" hidden="1" customHeight="1" x14ac:dyDescent="0.2">
      <c r="A97" s="80" t="s">
        <v>127</v>
      </c>
      <c r="D97" s="81"/>
      <c r="E97" s="81"/>
    </row>
    <row r="98" spans="1:11" s="80" customFormat="1" ht="17.149999999999999" hidden="1" customHeight="1" x14ac:dyDescent="0.2">
      <c r="A98" s="80" t="s">
        <v>137</v>
      </c>
      <c r="D98" s="81"/>
      <c r="E98" s="81"/>
    </row>
    <row r="99" spans="1:11" s="80" customFormat="1" ht="17.149999999999999" hidden="1" customHeight="1" x14ac:dyDescent="0.2">
      <c r="A99" s="80" t="s">
        <v>136</v>
      </c>
      <c r="D99" s="81"/>
      <c r="E99" s="81"/>
    </row>
    <row r="100" spans="1:11" s="80" customFormat="1" ht="17.149999999999999" hidden="1" customHeight="1" x14ac:dyDescent="0.2">
      <c r="A100" s="149" t="s">
        <v>128</v>
      </c>
      <c r="B100" s="150"/>
      <c r="C100" s="153"/>
      <c r="D100" s="154" t="s">
        <v>129</v>
      </c>
      <c r="E100" s="155"/>
      <c r="F100" s="155"/>
      <c r="G100" s="155"/>
      <c r="H100" s="156"/>
      <c r="I100" s="149" t="s">
        <v>130</v>
      </c>
      <c r="J100" s="150"/>
      <c r="K100" s="153"/>
    </row>
    <row r="101" spans="1:11" s="80" customFormat="1" ht="17.149999999999999" hidden="1" customHeight="1" x14ac:dyDescent="0.2">
      <c r="A101" s="149" t="s">
        <v>131</v>
      </c>
      <c r="B101" s="150"/>
      <c r="C101" s="150"/>
      <c r="D101" s="86">
        <v>400</v>
      </c>
      <c r="E101" s="87" t="s">
        <v>21</v>
      </c>
      <c r="F101" s="88" t="s">
        <v>132</v>
      </c>
      <c r="G101" s="88">
        <v>1</v>
      </c>
      <c r="H101" s="88"/>
      <c r="I101" s="89"/>
      <c r="J101" s="88" t="str">
        <f>IF(G20&gt;400,D101*G101,"")</f>
        <v/>
      </c>
      <c r="K101" s="90" t="s">
        <v>21</v>
      </c>
    </row>
    <row r="102" spans="1:11" s="80" customFormat="1" ht="17.149999999999999" hidden="1" customHeight="1" x14ac:dyDescent="0.2">
      <c r="A102" s="149" t="s">
        <v>133</v>
      </c>
      <c r="B102" s="150"/>
      <c r="C102" s="150"/>
      <c r="D102" s="91" t="str">
        <f>IF(G20&gt;800,400,IF(AND(G20&gt;400,G20&lt;=800),G20-400,""))</f>
        <v/>
      </c>
      <c r="E102" s="87" t="s">
        <v>21</v>
      </c>
      <c r="F102" s="88" t="s">
        <v>132</v>
      </c>
      <c r="G102" s="88">
        <v>0.5</v>
      </c>
      <c r="H102" s="88"/>
      <c r="I102" s="89"/>
      <c r="J102" s="88" t="str">
        <f>IF(G20&gt;800,400*G102,IF(AND(G20&gt;400,G20&lt;=800),(G20-400)*G102,""))</f>
        <v/>
      </c>
      <c r="K102" s="90" t="s">
        <v>21</v>
      </c>
    </row>
    <row r="103" spans="1:11" s="80" customFormat="1" ht="17.149999999999999" hidden="1" customHeight="1" x14ac:dyDescent="0.2">
      <c r="A103" s="149" t="s">
        <v>134</v>
      </c>
      <c r="B103" s="150"/>
      <c r="C103" s="150"/>
      <c r="D103" s="86" t="str">
        <f>IF(G20&gt;800,G20-800,"")</f>
        <v/>
      </c>
      <c r="E103" s="87" t="s">
        <v>21</v>
      </c>
      <c r="F103" s="88" t="s">
        <v>132</v>
      </c>
      <c r="G103" s="88">
        <v>0.25</v>
      </c>
      <c r="H103" s="88"/>
      <c r="I103" s="89"/>
      <c r="J103" s="88" t="str">
        <f>IF((G20&gt;800),(G20-800)*G103,"")</f>
        <v/>
      </c>
      <c r="K103" s="90" t="s">
        <v>21</v>
      </c>
    </row>
    <row r="104" spans="1:11" s="80" customFormat="1" ht="17.149999999999999" hidden="1" customHeight="1" x14ac:dyDescent="0.2">
      <c r="A104" s="149" t="s">
        <v>18</v>
      </c>
      <c r="B104" s="150"/>
      <c r="C104" s="150"/>
      <c r="D104" s="92">
        <v>10</v>
      </c>
      <c r="E104" s="151">
        <f>G20</f>
        <v>0</v>
      </c>
      <c r="F104" s="151"/>
      <c r="G104" s="151"/>
      <c r="H104" s="88" t="s">
        <v>21</v>
      </c>
      <c r="I104" s="93" t="s">
        <v>135</v>
      </c>
      <c r="J104" s="88">
        <f>SUM(J101:J103)</f>
        <v>0</v>
      </c>
      <c r="K104" s="90" t="s">
        <v>21</v>
      </c>
    </row>
    <row r="105" spans="1:11" s="80" customFormat="1" ht="17.149999999999999" hidden="1" customHeight="1" x14ac:dyDescent="0.2">
      <c r="D105" s="94"/>
      <c r="E105" s="94"/>
    </row>
    <row r="106" spans="1:11" s="80" customFormat="1" ht="17.149999999999999" hidden="1" customHeight="1" x14ac:dyDescent="0.2">
      <c r="A106" s="80" t="s">
        <v>123</v>
      </c>
      <c r="D106" s="157" t="str">
        <f>IF(G81="〇",IF(G20&gt;400,ROUND(J104/100,2),ROUND(G20/100,2)),"")</f>
        <v/>
      </c>
      <c r="E106" s="157"/>
      <c r="F106" s="80" t="s">
        <v>124</v>
      </c>
    </row>
    <row r="107" spans="1:11" ht="17.149999999999999" customHeight="1" x14ac:dyDescent="0.2">
      <c r="D107" s="68"/>
      <c r="E107" s="68"/>
    </row>
    <row r="108" spans="1:11" ht="17.149999999999999" customHeight="1" x14ac:dyDescent="0.2">
      <c r="B108" s="95" t="s">
        <v>179</v>
      </c>
      <c r="D108" s="68"/>
      <c r="E108" s="68"/>
    </row>
    <row r="109" spans="1:11" ht="17.149999999999999" customHeight="1" x14ac:dyDescent="0.2">
      <c r="D109" s="68"/>
      <c r="E109" s="68"/>
    </row>
    <row r="110" spans="1:11" ht="17.149999999999999" customHeight="1" x14ac:dyDescent="0.2">
      <c r="A110" s="2" t="s">
        <v>181</v>
      </c>
      <c r="D110" s="134" t="str">
        <f>IF(J79, _xlfn.CEILING.MATH(SUM(D89,D91,D93,D95),1), "")</f>
        <v/>
      </c>
      <c r="E110" s="134"/>
      <c r="F110" s="2" t="s">
        <v>37</v>
      </c>
    </row>
    <row r="112" spans="1:11" ht="17.149999999999999" customHeight="1" x14ac:dyDescent="0.2">
      <c r="A112" s="2" t="s">
        <v>125</v>
      </c>
    </row>
    <row r="113" spans="1:10" ht="17.149999999999999" customHeight="1" x14ac:dyDescent="0.2">
      <c r="A113" s="2" t="s">
        <v>126</v>
      </c>
    </row>
    <row r="114" spans="1:10" ht="17.149999999999999" customHeight="1" x14ac:dyDescent="0.2">
      <c r="A114" s="2" t="s">
        <v>175</v>
      </c>
    </row>
    <row r="116" spans="1:10" ht="17.149999999999999" customHeight="1" x14ac:dyDescent="0.2">
      <c r="B116" s="20" t="s">
        <v>40</v>
      </c>
      <c r="C116" s="164" t="s">
        <v>140</v>
      </c>
      <c r="D116" s="164"/>
    </row>
    <row r="117" spans="1:10" ht="17.149999999999999" customHeight="1" x14ac:dyDescent="0.2">
      <c r="C117" s="152" t="s">
        <v>139</v>
      </c>
      <c r="D117" s="152"/>
    </row>
    <row r="119" spans="1:10" ht="17.149999999999999" customHeight="1" x14ac:dyDescent="0.2">
      <c r="B119" s="27"/>
      <c r="C119" s="26" t="s">
        <v>141</v>
      </c>
      <c r="D119" s="33" t="str">
        <f>IF(OR(J79, D106&lt;&gt;""),IF(AND(D18&gt;3000,D18&lt;6000),ROUND((1-((6000-D18)/D18)),5),""),"")</f>
        <v/>
      </c>
      <c r="E119" s="11"/>
      <c r="F119" s="2" t="s">
        <v>41</v>
      </c>
    </row>
    <row r="121" spans="1:10" ht="17.149999999999999" customHeight="1" x14ac:dyDescent="0.2">
      <c r="A121" s="2" t="s">
        <v>142</v>
      </c>
      <c r="D121" s="41" t="str">
        <f>IF(OR(J79, D106&lt;&gt;""),IF(AND(D18&gt;3000,D18&lt;6000),D110*D119,""),"")</f>
        <v/>
      </c>
      <c r="E121" s="2" t="s">
        <v>145</v>
      </c>
      <c r="H121" s="140" t="str">
        <f>IF(OR(J79, D106&lt;&gt;""),IF(D121&lt;&gt;"",ROUNDUP(D121,0),""),"")</f>
        <v/>
      </c>
      <c r="I121" s="140"/>
      <c r="J121" s="2" t="s">
        <v>37</v>
      </c>
    </row>
    <row r="122" spans="1:10" ht="17.149999999999999" customHeight="1" x14ac:dyDescent="0.2">
      <c r="A122" s="2" t="s">
        <v>143</v>
      </c>
      <c r="D122" s="41" t="str">
        <f>IF(OR(J79, D106&lt;&gt;""),IF(D18&gt;=6000,D110,""),"")</f>
        <v/>
      </c>
      <c r="E122" s="2" t="s">
        <v>144</v>
      </c>
      <c r="H122" s="140" t="str">
        <f>IF(OR(J79, D106&lt;&gt;""),IF(D122&lt;&gt;"",ROUNDUP(D122,0),""),"")</f>
        <v/>
      </c>
      <c r="I122" s="140"/>
      <c r="J122" s="2" t="s">
        <v>37</v>
      </c>
    </row>
    <row r="123" spans="1:10" ht="17.149999999999999" customHeight="1" x14ac:dyDescent="0.2">
      <c r="A123" s="2" t="s">
        <v>146</v>
      </c>
      <c r="J123" s="42" t="str">
        <f>IF(H121&lt;&gt;"",H121,H122)</f>
        <v/>
      </c>
    </row>
    <row r="126" spans="1:10" ht="17.149999999999999" customHeight="1" x14ac:dyDescent="0.2">
      <c r="A126" s="1" t="s">
        <v>68</v>
      </c>
    </row>
    <row r="127" spans="1:10" ht="17.149999999999999" customHeight="1" x14ac:dyDescent="0.2">
      <c r="A127" s="2" t="s">
        <v>147</v>
      </c>
      <c r="G127" s="134">
        <f>J7+J40+J9+J10</f>
        <v>0</v>
      </c>
      <c r="H127" s="140"/>
      <c r="I127" s="2" t="s">
        <v>20</v>
      </c>
      <c r="J127" s="42" t="b">
        <f>G127&gt;1500</f>
        <v>0</v>
      </c>
    </row>
    <row r="128" spans="1:10" ht="17.149999999999999" customHeight="1" x14ac:dyDescent="0.2">
      <c r="A128" s="21" t="s">
        <v>148</v>
      </c>
    </row>
    <row r="129" spans="1:6" ht="17.149999999999999" customHeight="1" x14ac:dyDescent="0.2">
      <c r="A129" s="21" t="s">
        <v>149</v>
      </c>
    </row>
    <row r="131" spans="1:6" ht="17.149999999999999" customHeight="1" x14ac:dyDescent="0.2">
      <c r="A131" s="2" t="s">
        <v>69</v>
      </c>
    </row>
    <row r="132" spans="1:6" ht="17.149999999999999" customHeight="1" x14ac:dyDescent="0.2">
      <c r="A132" s="2" t="s">
        <v>150</v>
      </c>
      <c r="D132" s="134" t="str">
        <f>IF(J127,ROUND((J7+J40)/3000,2),"")</f>
        <v/>
      </c>
      <c r="E132" s="134"/>
      <c r="F132" s="2" t="s">
        <v>38</v>
      </c>
    </row>
    <row r="133" spans="1:6" ht="17.149999999999999" customHeight="1" x14ac:dyDescent="0.2">
      <c r="A133" s="2" t="s">
        <v>70</v>
      </c>
      <c r="D133" s="32"/>
      <c r="E133" s="32"/>
    </row>
    <row r="134" spans="1:6" ht="17.149999999999999" customHeight="1" x14ac:dyDescent="0.2">
      <c r="A134" s="2" t="s">
        <v>151</v>
      </c>
      <c r="D134" s="134" t="str">
        <f>IF(J127,ROUND((J9+J10)/8000,2),"")</f>
        <v/>
      </c>
      <c r="E134" s="134"/>
      <c r="F134" s="2" t="s">
        <v>38</v>
      </c>
    </row>
    <row r="135" spans="1:6" ht="17.149999999999999" customHeight="1" x14ac:dyDescent="0.2">
      <c r="A135" s="2" t="s">
        <v>152</v>
      </c>
      <c r="D135" s="134" t="str">
        <f>IF(J127,D132+D134,"")</f>
        <v/>
      </c>
      <c r="E135" s="134"/>
      <c r="F135" s="2" t="s">
        <v>37</v>
      </c>
    </row>
    <row r="137" spans="1:6" ht="17.149999999999999" customHeight="1" x14ac:dyDescent="0.2">
      <c r="A137" s="2" t="s">
        <v>71</v>
      </c>
    </row>
    <row r="138" spans="1:6" ht="17.149999999999999" customHeight="1" x14ac:dyDescent="0.2">
      <c r="A138" s="2" t="s">
        <v>153</v>
      </c>
    </row>
    <row r="140" spans="1:6" ht="17.149999999999999" customHeight="1" x14ac:dyDescent="0.2">
      <c r="B140" s="20" t="s">
        <v>40</v>
      </c>
      <c r="C140" s="161" t="s">
        <v>154</v>
      </c>
      <c r="D140" s="161"/>
      <c r="E140" s="161"/>
    </row>
    <row r="141" spans="1:6" ht="17.149999999999999" customHeight="1" x14ac:dyDescent="0.2">
      <c r="C141" s="152" t="s">
        <v>155</v>
      </c>
      <c r="D141" s="152"/>
      <c r="E141" s="152"/>
    </row>
    <row r="142" spans="1:6" ht="17.25" customHeight="1" x14ac:dyDescent="0.2"/>
    <row r="143" spans="1:6" ht="17.25" customHeight="1" x14ac:dyDescent="0.2">
      <c r="B143" s="27"/>
      <c r="C143" s="26" t="s">
        <v>156</v>
      </c>
      <c r="D143" s="33" t="str">
        <f>IF(J127,IF(AND(D18&gt;0,D18&lt;6000),ROUND((1-(1500*(6000-D18))/(4500*D18)),5),""),"")</f>
        <v/>
      </c>
      <c r="E143" s="11"/>
      <c r="F143" s="2" t="s">
        <v>41</v>
      </c>
    </row>
    <row r="144" spans="1:6" ht="17.25" customHeight="1" x14ac:dyDescent="0.2"/>
    <row r="145" spans="1:10" ht="17.149999999999999" customHeight="1" x14ac:dyDescent="0.2">
      <c r="A145" s="2" t="s">
        <v>157</v>
      </c>
      <c r="D145" s="31" t="str">
        <f>IF(J127,IF(AND(D18&gt;0,D18&lt;6000),D135*D143,""),"")</f>
        <v/>
      </c>
      <c r="E145" s="2" t="s">
        <v>159</v>
      </c>
      <c r="H145" s="140" t="str">
        <f>IF(J127,IF(D145&lt;&gt;"",ROUNDUP(D145,0),""),"")</f>
        <v/>
      </c>
      <c r="I145" s="140"/>
      <c r="J145" s="2" t="s">
        <v>37</v>
      </c>
    </row>
    <row r="146" spans="1:10" ht="17.149999999999999" customHeight="1" x14ac:dyDescent="0.2">
      <c r="A146" s="2" t="s">
        <v>158</v>
      </c>
      <c r="D146" s="31" t="str">
        <f>IF(J127,IF(D18&gt;=6000,D135,""),"")</f>
        <v/>
      </c>
      <c r="E146" s="2" t="s">
        <v>160</v>
      </c>
      <c r="H146" s="140" t="str">
        <f>IF(J127,IF(D146&lt;&gt;"",ROUNDUP(D146,0),""),"")</f>
        <v/>
      </c>
      <c r="I146" s="140"/>
      <c r="J146" s="2" t="s">
        <v>37</v>
      </c>
    </row>
    <row r="147" spans="1:10" ht="17.149999999999999" customHeight="1" x14ac:dyDescent="0.2">
      <c r="J147" s="42" t="str">
        <f>IF(H145&lt;&gt;"",H145,H146)</f>
        <v/>
      </c>
    </row>
    <row r="149" spans="1:10" ht="17.149999999999999" customHeight="1" x14ac:dyDescent="0.2">
      <c r="A149" s="1" t="s">
        <v>72</v>
      </c>
    </row>
    <row r="150" spans="1:10" ht="30" customHeight="1" x14ac:dyDescent="0.2">
      <c r="A150" s="5"/>
      <c r="B150" s="162" t="s">
        <v>174</v>
      </c>
      <c r="C150" s="98"/>
      <c r="D150" s="29" t="s">
        <v>173</v>
      </c>
      <c r="E150" s="162" t="s">
        <v>170</v>
      </c>
      <c r="F150" s="98"/>
      <c r="G150" s="162" t="s">
        <v>172</v>
      </c>
      <c r="H150" s="98"/>
      <c r="I150" s="162" t="s">
        <v>171</v>
      </c>
      <c r="J150" s="163"/>
    </row>
    <row r="151" spans="1:10" ht="30" customHeight="1" x14ac:dyDescent="0.2">
      <c r="A151" s="28" t="s">
        <v>73</v>
      </c>
      <c r="B151" s="12" t="str">
        <f>C73</f>
        <v/>
      </c>
      <c r="C151" s="13" t="s">
        <v>37</v>
      </c>
      <c r="D151" s="34" t="str">
        <f>IF(AND(J123&lt;&gt;"",J123&gt;10),10,J123)</f>
        <v/>
      </c>
      <c r="E151" s="12" t="str">
        <f>C75</f>
        <v/>
      </c>
      <c r="F151" s="13" t="s">
        <v>37</v>
      </c>
      <c r="G151" s="12" t="str">
        <f>C68</f>
        <v/>
      </c>
      <c r="H151" s="13" t="s">
        <v>37</v>
      </c>
      <c r="I151" s="12" t="str">
        <f>J147</f>
        <v/>
      </c>
      <c r="J151" s="13" t="s">
        <v>37</v>
      </c>
    </row>
    <row r="152" spans="1:10" ht="30" customHeight="1" x14ac:dyDescent="0.2">
      <c r="A152" s="28" t="s">
        <v>74</v>
      </c>
      <c r="B152" s="44"/>
      <c r="C152" s="13" t="s">
        <v>37</v>
      </c>
      <c r="D152" s="45"/>
      <c r="E152" s="44"/>
      <c r="F152" s="13" t="s">
        <v>37</v>
      </c>
      <c r="G152" s="44"/>
      <c r="H152" s="13" t="s">
        <v>37</v>
      </c>
      <c r="I152" s="44"/>
      <c r="J152" s="13" t="s">
        <v>37</v>
      </c>
    </row>
    <row r="153" spans="1:10" ht="30" hidden="1" customHeight="1" x14ac:dyDescent="0.2">
      <c r="A153" s="159" t="s">
        <v>162</v>
      </c>
      <c r="B153" s="160"/>
      <c r="C153" s="160"/>
      <c r="D153" s="78" t="str">
        <f>G81</f>
        <v/>
      </c>
      <c r="E153" s="70"/>
      <c r="F153" s="60"/>
      <c r="G153" s="69"/>
      <c r="H153" s="60"/>
      <c r="I153" s="69"/>
      <c r="J153" s="60"/>
    </row>
    <row r="154" spans="1:10" ht="17.149999999999999" customHeight="1" x14ac:dyDescent="0.2">
      <c r="A154" s="2" t="s">
        <v>82</v>
      </c>
    </row>
    <row r="155" spans="1:10" ht="27.5" hidden="1" customHeight="1" x14ac:dyDescent="0.2">
      <c r="A155" s="158" t="s">
        <v>161</v>
      </c>
      <c r="B155" s="158"/>
      <c r="C155" s="158"/>
      <c r="D155" s="158"/>
      <c r="E155" s="158"/>
      <c r="F155" s="158"/>
      <c r="G155" s="158"/>
      <c r="H155" s="158"/>
      <c r="I155" s="158"/>
      <c r="J155" s="158"/>
    </row>
    <row r="156" spans="1:10" ht="17.149999999999999" customHeight="1" x14ac:dyDescent="0.2">
      <c r="A156" s="2" t="s">
        <v>83</v>
      </c>
    </row>
  </sheetData>
  <sheetProtection algorithmName="SHA-512" hashValue="GDIhwIU9Gu3sAJyDZmMq6ucR4gxEOOXbAxN1TEDgWNdyZxeSpzvEBsJGs5h3grCf2P42wtYAjqBlY8jVIg8Jhw==" saltValue="17t6xs8uBLXVHlkhJqhgLA==" spinCount="100000" sheet="1" objects="1" scenarios="1"/>
  <mergeCells count="80">
    <mergeCell ref="D132:E132"/>
    <mergeCell ref="D134:E134"/>
    <mergeCell ref="D135:E135"/>
    <mergeCell ref="D110:E110"/>
    <mergeCell ref="C116:D116"/>
    <mergeCell ref="A155:J155"/>
    <mergeCell ref="A153:C153"/>
    <mergeCell ref="C140:E140"/>
    <mergeCell ref="C141:E141"/>
    <mergeCell ref="H145:I145"/>
    <mergeCell ref="H146:I146"/>
    <mergeCell ref="B150:C150"/>
    <mergeCell ref="E150:F150"/>
    <mergeCell ref="G150:H150"/>
    <mergeCell ref="I150:J150"/>
    <mergeCell ref="H122:I122"/>
    <mergeCell ref="G127:H127"/>
    <mergeCell ref="C75:D75"/>
    <mergeCell ref="G79:H79"/>
    <mergeCell ref="D89:E89"/>
    <mergeCell ref="D91:E91"/>
    <mergeCell ref="D93:E93"/>
    <mergeCell ref="D95:E95"/>
    <mergeCell ref="A100:C100"/>
    <mergeCell ref="D100:H100"/>
    <mergeCell ref="I100:K100"/>
    <mergeCell ref="A101:C101"/>
    <mergeCell ref="D106:E106"/>
    <mergeCell ref="H58:I58"/>
    <mergeCell ref="H59:I59"/>
    <mergeCell ref="C68:D68"/>
    <mergeCell ref="A36:C36"/>
    <mergeCell ref="H121:I121"/>
    <mergeCell ref="E38:G38"/>
    <mergeCell ref="C44:D44"/>
    <mergeCell ref="E46:F46"/>
    <mergeCell ref="C48:D48"/>
    <mergeCell ref="C49:D49"/>
    <mergeCell ref="A102:C102"/>
    <mergeCell ref="A103:C103"/>
    <mergeCell ref="A104:C104"/>
    <mergeCell ref="E104:G104"/>
    <mergeCell ref="C117:D117"/>
    <mergeCell ref="A34:C34"/>
    <mergeCell ref="A35:C35"/>
    <mergeCell ref="C73:D73"/>
    <mergeCell ref="A37:C37"/>
    <mergeCell ref="A38:C38"/>
    <mergeCell ref="A7:A10"/>
    <mergeCell ref="A12:A14"/>
    <mergeCell ref="A33:C33"/>
    <mergeCell ref="D33:H33"/>
    <mergeCell ref="F7:G7"/>
    <mergeCell ref="F8:G8"/>
    <mergeCell ref="F9:G9"/>
    <mergeCell ref="F10:G10"/>
    <mergeCell ref="F12:G12"/>
    <mergeCell ref="F13:G13"/>
    <mergeCell ref="F14:G14"/>
    <mergeCell ref="F15:K19"/>
    <mergeCell ref="I26:J26"/>
    <mergeCell ref="C19:D19"/>
    <mergeCell ref="I33:K33"/>
    <mergeCell ref="I20:I21"/>
    <mergeCell ref="I5:K5"/>
    <mergeCell ref="B5:E5"/>
    <mergeCell ref="A6:B6"/>
    <mergeCell ref="C6:E6"/>
    <mergeCell ref="I6:K6"/>
    <mergeCell ref="F5:H5"/>
    <mergeCell ref="F6:H6"/>
    <mergeCell ref="A11:B11"/>
    <mergeCell ref="A20:E20"/>
    <mergeCell ref="A21:E21"/>
    <mergeCell ref="F11:G11"/>
    <mergeCell ref="A15:B15"/>
    <mergeCell ref="A16:B16"/>
    <mergeCell ref="A17:B17"/>
    <mergeCell ref="A18:B18"/>
    <mergeCell ref="A19:B19"/>
  </mergeCells>
  <phoneticPr fontId="1"/>
  <dataValidations count="3">
    <dataValidation type="list" allowBlank="1" showInputMessage="1" showErrorMessage="1" sqref="I5:K5" xr:uid="{00000000-0002-0000-0000-000000000000}">
      <formula1>"駐車場整備地区,商業地域,近隣商業地域"</formula1>
    </dataValidation>
    <dataValidation type="decimal" operator="greaterThanOrEqual" showInputMessage="1" showErrorMessage="1" sqref="D7:D14 D16:D17" xr:uid="{00000000-0002-0000-0000-000002000000}">
      <formula1>0</formula1>
    </dataValidation>
    <dataValidation type="whole" operator="greaterThanOrEqual" allowBlank="1" showInputMessage="1" showErrorMessage="1" sqref="G20:G22" xr:uid="{00000000-0002-0000-0000-000003000000}">
      <formula1>0</formula1>
    </dataValidation>
  </dataValidations>
  <pageMargins left="0.7" right="0.7" top="0.75" bottom="0.75" header="0.3" footer="0.3"/>
  <pageSetup paperSize="9" scale="65" orientation="portrait" r:id="rId1"/>
  <rowBreaks count="2" manualBreakCount="2">
    <brk id="60" max="16383" man="1"/>
    <brk id="119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E15"/>
  <sheetViews>
    <sheetView zoomScaleNormal="100" workbookViewId="0">
      <selection activeCell="E6" sqref="E6"/>
    </sheetView>
  </sheetViews>
  <sheetFormatPr defaultRowHeight="18" x14ac:dyDescent="0.55000000000000004"/>
  <cols>
    <col min="2" max="2" width="34" customWidth="1"/>
    <col min="3" max="3" width="22.5" customWidth="1"/>
  </cols>
  <sheetData>
    <row r="1" spans="1:5" ht="21.5" x14ac:dyDescent="0.55000000000000004">
      <c r="A1" s="48" t="s">
        <v>85</v>
      </c>
    </row>
    <row r="3" spans="1:5" x14ac:dyDescent="0.55000000000000004">
      <c r="A3" s="2" t="s">
        <v>165</v>
      </c>
      <c r="B3" s="2"/>
      <c r="C3" s="51"/>
      <c r="D3" s="2" t="s">
        <v>76</v>
      </c>
    </row>
    <row r="4" spans="1:5" ht="10" customHeight="1" x14ac:dyDescent="0.55000000000000004"/>
    <row r="5" spans="1:5" ht="18" customHeight="1" x14ac:dyDescent="0.55000000000000004">
      <c r="A5" s="2" t="s">
        <v>166</v>
      </c>
      <c r="C5" s="96"/>
      <c r="D5" t="s">
        <v>21</v>
      </c>
    </row>
    <row r="6" spans="1:5" ht="10" customHeight="1" x14ac:dyDescent="0.55000000000000004"/>
    <row r="7" spans="1:5" s="58" customFormat="1" ht="18" customHeight="1" x14ac:dyDescent="0.85">
      <c r="A7" s="60" t="s">
        <v>167</v>
      </c>
      <c r="C7" s="61">
        <f>C3+C5</f>
        <v>0</v>
      </c>
      <c r="D7" s="59" t="s">
        <v>21</v>
      </c>
    </row>
    <row r="8" spans="1:5" ht="10" customHeight="1" x14ac:dyDescent="0.55000000000000004"/>
    <row r="9" spans="1:5" x14ac:dyDescent="0.55000000000000004">
      <c r="A9" s="2" t="s">
        <v>75</v>
      </c>
      <c r="C9" s="51"/>
      <c r="D9" s="2" t="s">
        <v>76</v>
      </c>
      <c r="E9" s="50">
        <f>IF(C9&lt;&gt;"",ROUNDUP(C9/3,0)+C7-C9,C9)</f>
        <v>0</v>
      </c>
    </row>
    <row r="10" spans="1:5" ht="10" customHeight="1" x14ac:dyDescent="0.55000000000000004">
      <c r="E10" s="50"/>
    </row>
    <row r="11" spans="1:5" x14ac:dyDescent="0.55000000000000004">
      <c r="A11" s="165" t="s">
        <v>78</v>
      </c>
      <c r="B11" s="166"/>
      <c r="C11" s="52" t="s">
        <v>81</v>
      </c>
      <c r="D11" s="2"/>
      <c r="E11" s="50">
        <f>IF(C11="高齢者向け住宅等",ROUNDUP(E9*3/10,0),IF(C11="大学の学生等の寄宿舎",ROUNDUP(E9*3/5,0),E9))</f>
        <v>0</v>
      </c>
    </row>
    <row r="12" spans="1:5" ht="10" customHeight="1" x14ac:dyDescent="0.55000000000000004"/>
    <row r="13" spans="1:5" ht="18.75" customHeight="1" x14ac:dyDescent="0.55000000000000004">
      <c r="A13" s="165" t="s">
        <v>79</v>
      </c>
      <c r="B13" s="166"/>
      <c r="C13" s="52"/>
    </row>
    <row r="14" spans="1:5" ht="20.25" customHeight="1" x14ac:dyDescent="0.55000000000000004">
      <c r="A14" s="167" t="s">
        <v>80</v>
      </c>
      <c r="B14" s="167"/>
      <c r="C14" s="167"/>
    </row>
    <row r="15" spans="1:5" x14ac:dyDescent="0.55000000000000004">
      <c r="A15" s="2" t="s">
        <v>77</v>
      </c>
      <c r="C15" s="49">
        <f>IF(C13="はい",ROUNDUP(E11*4/5,0),E11)</f>
        <v>0</v>
      </c>
      <c r="D15" s="2" t="s">
        <v>76</v>
      </c>
    </row>
  </sheetData>
  <sheetProtection selectLockedCells="1"/>
  <mergeCells count="3">
    <mergeCell ref="A11:B11"/>
    <mergeCell ref="A13:B13"/>
    <mergeCell ref="A14:C14"/>
  </mergeCells>
  <phoneticPr fontId="1"/>
  <dataValidations count="2">
    <dataValidation type="list" allowBlank="1" showInputMessage="1" showErrorMessage="1" sqref="C11" xr:uid="{00000000-0002-0000-0100-000000000000}">
      <formula1>"　,高齢者向け住宅等,大学の学生等の寄宿舎"</formula1>
    </dataValidation>
    <dataValidation type="list" allowBlank="1" showInputMessage="1" showErrorMessage="1" sqref="C13" xr:uid="{00000000-0002-0000-0100-000001000000}">
      <formula1>"はい,いいえ"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算定調書（駐車場整備地区、商業地区、近隣商業地域）</vt:lpstr>
      <vt:lpstr>共同住宅等の住戸数計算</vt:lpstr>
      <vt:lpstr>共同住宅等の住戸数計算!Print_Area</vt:lpstr>
      <vt:lpstr>'算定調書（駐車場整備地区、商業地区、近隣商業地域）'!Print_Area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2026-03-30T09:47:03Z</dcterms:modified>
</cp:coreProperties>
</file>