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charts/chart9.xml" ContentType="application/vnd.openxmlformats-officedocument.drawingml.chart+xml"/>
  <Override PartName="/xl/drawings/drawing9.xml" ContentType="application/vnd.openxmlformats-officedocument.drawingml.chartshapes+xml"/>
  <Override PartName="/xl/charts/chart10.xml" ContentType="application/vnd.openxmlformats-officedocument.drawingml.chart+xml"/>
  <Override PartName="/xl/drawings/drawing10.xml" ContentType="application/vnd.openxmlformats-officedocument.drawingml.chartshapes+xml"/>
  <Override PartName="/xl/charts/chart11.xml" ContentType="application/vnd.openxmlformats-officedocument.drawingml.chart+xml"/>
  <Override PartName="/xl/drawings/drawing11.xml" ContentType="application/vnd.openxmlformats-officedocument.drawingml.chartshapes+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13.xml" ContentType="application/vnd.openxmlformats-officedocument.drawingml.chartshapes+xml"/>
  <Override PartName="/xl/charts/chart16.xml" ContentType="application/vnd.openxmlformats-officedocument.drawingml.chart+xml"/>
  <Override PartName="/xl/drawings/drawing14.xml" ContentType="application/vnd.openxmlformats-officedocument.drawingml.chartshapes+xml"/>
  <Override PartName="/xl/charts/chart17.xml" ContentType="application/vnd.openxmlformats-officedocument.drawingml.chart+xml"/>
  <Override PartName="/xl/drawings/drawing15.xml" ContentType="application/vnd.openxmlformats-officedocument.drawingml.chartshapes+xml"/>
  <Override PartName="/xl/charts/chart18.xml" ContentType="application/vnd.openxmlformats-officedocument.drawingml.chart+xml"/>
  <Override PartName="/xl/drawings/drawing16.xml" ContentType="application/vnd.openxmlformats-officedocument.drawingml.chartshapes+xml"/>
  <Override PartName="/xl/charts/chart19.xml" ContentType="application/vnd.openxmlformats-officedocument.drawingml.chart+xml"/>
  <Override PartName="/xl/drawings/drawing17.xml" ContentType="application/vnd.openxmlformats-officedocument.drawingml.chartshapes+xml"/>
  <Override PartName="/xl/charts/chart20.xml" ContentType="application/vnd.openxmlformats-officedocument.drawingml.chart+xml"/>
  <Override PartName="/xl/drawings/drawing18.xml" ContentType="application/vnd.openxmlformats-officedocument.drawingml.chartshapes+xml"/>
  <Override PartName="/xl/charts/chart21.xml" ContentType="application/vnd.openxmlformats-officedocument.drawingml.chart+xml"/>
  <Override PartName="/xl/drawings/drawing19.xml" ContentType="application/vnd.openxmlformats-officedocument.drawingml.chartshapes+xml"/>
  <Override PartName="/xl/charts/chart22.xml" ContentType="application/vnd.openxmlformats-officedocument.drawingml.chart+xml"/>
  <Override PartName="/xl/drawings/drawing20.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omments8.xml" ContentType="application/vnd.openxmlformats-officedocument.spreadsheetml.comments+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kawasaki.local\庁内共有ファイルサーバ\50（ま）指導部建築管理課\005_省エネ・CASBEE\003 CASBEE\08 CASBEE川崎・戸建\CASBEE川崎\評価ソフト\"/>
    </mc:Choice>
  </mc:AlternateContent>
  <xr:revisionPtr revIDLastSave="0" documentId="13_ncr:1_{33D53EDB-22DA-4F88-98CC-11D4CAD8C26B}" xr6:coauthVersionLast="47" xr6:coauthVersionMax="47" xr10:uidLastSave="{00000000-0000-0000-0000-000000000000}"/>
  <bookViews>
    <workbookView xWindow="-120" yWindow="-120" windowWidth="29040" windowHeight="15720" tabRatio="887" activeTab="11" xr2:uid="{00000000-000D-0000-FFFF-FFFF00000000}"/>
  </bookViews>
  <sheets>
    <sheet name="メイン" sheetId="2" r:id="rId1"/>
    <sheet name="結果（SDGs評価なし）" sheetId="4" r:id="rId2"/>
    <sheet name="結果（SDGs評価あり）" sheetId="24" r:id="rId3"/>
    <sheet name="係数" sheetId="3" r:id="rId4"/>
    <sheet name="重点項目" sheetId="7" r:id="rId5"/>
    <sheet name="スコア" sheetId="5" r:id="rId6"/>
    <sheet name="採点Q1" sheetId="8" r:id="rId7"/>
    <sheet name="採点Q2" sheetId="9" r:id="rId8"/>
    <sheet name="採点Q3" sheetId="10" r:id="rId9"/>
    <sheet name="採点LR1 " sheetId="25" r:id="rId10"/>
    <sheet name="計画書" sheetId="26" r:id="rId11"/>
    <sheet name="採点LR2" sheetId="13" r:id="rId12"/>
    <sheet name="採点LR3" sheetId="14" r:id="rId13"/>
    <sheet name="建築環境SDGsチェックリスト" sheetId="23" r:id="rId14"/>
    <sheet name="CO2計算" sheetId="6" r:id="rId15"/>
    <sheet name="条件(標準)" sheetId="16" r:id="rId16"/>
    <sheet name="条件(個別)" sheetId="17" r:id="rId17"/>
    <sheet name="重み" sheetId="18" r:id="rId18"/>
    <sheet name="CO2データ" sheetId="15" r:id="rId19"/>
    <sheet name="クレジット" sheetId="19" r:id="rId20"/>
  </sheets>
  <externalReferences>
    <externalReference r:id="rId21"/>
    <externalReference r:id="rId22"/>
    <externalReference r:id="rId23"/>
  </externalReferences>
  <definedNames>
    <definedName name="_xlnm._FilterDatabase" localSheetId="6" hidden="1">採点Q1!#REF!</definedName>
    <definedName name="_xlnm.Print_Area" localSheetId="18">CO2データ!$A$1:$R$320</definedName>
    <definedName name="_xlnm.Print_Area" localSheetId="14">CO2計算!$B$1:$Z$178</definedName>
    <definedName name="_xlnm.Print_Area" localSheetId="19">クレジット!$A$1:$S$37</definedName>
    <definedName name="_xlnm.Print_Area" localSheetId="5">スコア!$A$1:$U$575</definedName>
    <definedName name="_xlnm.Print_Area" localSheetId="0">メイン!$A$1:$G$75</definedName>
    <definedName name="_xlnm.Print_Area" localSheetId="3">係数!$A$1:$N$87</definedName>
    <definedName name="_xlnm.Print_Area" localSheetId="10">計画書!$A$1:$R$111</definedName>
    <definedName name="_xlnm.Print_Area" localSheetId="2">'結果（SDGs評価あり）'!$A$1:$P$91</definedName>
    <definedName name="_xlnm.Print_Area" localSheetId="1">'結果（SDGs評価なし）'!$A$1:$P$91</definedName>
    <definedName name="_xlnm.Print_Area" localSheetId="13">建築環境SDGsチェックリスト!$A$1:$O$197</definedName>
    <definedName name="_xlnm.Print_Area" localSheetId="9">'採点LR1 '!$C$1:$P$165</definedName>
    <definedName name="_xlnm.Print_Area" localSheetId="11">採点LR2!$D$1:$P$297</definedName>
    <definedName name="_xlnm.Print_Area" localSheetId="12">採点LR3!$D$1:$P$274</definedName>
    <definedName name="_xlnm.Print_Area" localSheetId="6">採点Q1!$D$1:$P$476</definedName>
    <definedName name="_xlnm.Print_Area" localSheetId="7">採点Q2!$C$1:$P$427</definedName>
    <definedName name="_xlnm.Print_Area" localSheetId="8">採点Q3!$1:$140</definedName>
    <definedName name="_xlnm.Print_Area" localSheetId="17">重み!$A$1:$AE$194</definedName>
    <definedName name="_xlnm.Print_Area" localSheetId="16">'条件(個別)'!$A$1:$F$90</definedName>
    <definedName name="_xlnm.Print_Titles" localSheetId="17">重み!$5:$6</definedName>
    <definedName name="Z_047384A4_E844_4BB4_B522_1CE13C4699E4_.wvu.Cols" localSheetId="18" hidden="1">CO2データ!$G:$H,CO2データ!$S:$IV</definedName>
    <definedName name="Z_047384A4_E844_4BB4_B522_1CE13C4699E4_.wvu.Cols" localSheetId="14" hidden="1">CO2計算!$Q:$IV</definedName>
    <definedName name="Z_047384A4_E844_4BB4_B522_1CE13C4699E4_.wvu.Cols" localSheetId="19" hidden="1">クレジット!$T:$IV</definedName>
    <definedName name="Z_047384A4_E844_4BB4_B522_1CE13C4699E4_.wvu.Cols" localSheetId="5" hidden="1">スコア!#REF!,スコア!$Z:$GU</definedName>
    <definedName name="Z_047384A4_E844_4BB4_B522_1CE13C4699E4_.wvu.Cols" localSheetId="0" hidden="1">メイン!$I:$IV</definedName>
    <definedName name="Z_047384A4_E844_4BB4_B522_1CE13C4699E4_.wvu.Cols" localSheetId="9" hidden="1">'採点LR1 '!$Q:$IV</definedName>
    <definedName name="Z_047384A4_E844_4BB4_B522_1CE13C4699E4_.wvu.Cols" localSheetId="11" hidden="1">採点LR2!$Q:$IW</definedName>
    <definedName name="Z_047384A4_E844_4BB4_B522_1CE13C4699E4_.wvu.Cols" localSheetId="12" hidden="1">採点LR3!$Q:$IV</definedName>
    <definedName name="Z_047384A4_E844_4BB4_B522_1CE13C4699E4_.wvu.Cols" localSheetId="6" hidden="1">採点Q1!$Q:$IV</definedName>
    <definedName name="Z_047384A4_E844_4BB4_B522_1CE13C4699E4_.wvu.Cols" localSheetId="7" hidden="1">採点Q2!$Q:$IV</definedName>
    <definedName name="Z_047384A4_E844_4BB4_B522_1CE13C4699E4_.wvu.Cols" localSheetId="8" hidden="1">採点Q3!$Q:$IV</definedName>
    <definedName name="Z_047384A4_E844_4BB4_B522_1CE13C4699E4_.wvu.Cols" localSheetId="17" hidden="1">重み!$Q:$Q,重み!$AY:$AY,重み!$BP:$BP,重み!$CG:$IW</definedName>
    <definedName name="Z_047384A4_E844_4BB4_B522_1CE13C4699E4_.wvu.Cols" localSheetId="4" hidden="1">重点項目!$H:$IW</definedName>
    <definedName name="Z_047384A4_E844_4BB4_B522_1CE13C4699E4_.wvu.Cols" localSheetId="16" hidden="1">'条件(個別)'!$H:$IV</definedName>
    <definedName name="Z_047384A4_E844_4BB4_B522_1CE13C4699E4_.wvu.Cols" localSheetId="15" hidden="1">'条件(標準)'!$H:$IV</definedName>
    <definedName name="Z_047384A4_E844_4BB4_B522_1CE13C4699E4_.wvu.PrintArea" localSheetId="18" hidden="1">CO2データ!$A$1:$R$320</definedName>
    <definedName name="Z_047384A4_E844_4BB4_B522_1CE13C4699E4_.wvu.PrintArea" localSheetId="14" hidden="1">CO2計算!$B$1:$Z$178</definedName>
    <definedName name="Z_047384A4_E844_4BB4_B522_1CE13C4699E4_.wvu.PrintArea" localSheetId="19" hidden="1">クレジット!$A$1:$S$37</definedName>
    <definedName name="Z_047384A4_E844_4BB4_B522_1CE13C4699E4_.wvu.PrintArea" localSheetId="5" hidden="1">スコア!$A$1:$V$195</definedName>
    <definedName name="Z_047384A4_E844_4BB4_B522_1CE13C4699E4_.wvu.PrintArea" localSheetId="0" hidden="1">メイン!$A$1:$G$73</definedName>
    <definedName name="Z_047384A4_E844_4BB4_B522_1CE13C4699E4_.wvu.PrintArea" localSheetId="2" hidden="1">'結果（SDGs評価あり）'!$A$1:$P$91</definedName>
    <definedName name="Z_047384A4_E844_4BB4_B522_1CE13C4699E4_.wvu.PrintArea" localSheetId="1" hidden="1">'結果（SDGs評価なし）'!$A$1:$P$91</definedName>
    <definedName name="Z_047384A4_E844_4BB4_B522_1CE13C4699E4_.wvu.PrintArea" localSheetId="9" hidden="1">'採点LR1 '!$C$1:$P$164</definedName>
    <definedName name="Z_047384A4_E844_4BB4_B522_1CE13C4699E4_.wvu.PrintArea" localSheetId="11" hidden="1">採点LR2!$C$1:$P$229</definedName>
    <definedName name="Z_047384A4_E844_4BB4_B522_1CE13C4699E4_.wvu.PrintArea" localSheetId="12" hidden="1">採点LR3!$C$1:$P$270</definedName>
    <definedName name="Z_047384A4_E844_4BB4_B522_1CE13C4699E4_.wvu.PrintArea" localSheetId="6" hidden="1">採点Q1!$A$1:$P$476</definedName>
    <definedName name="Z_047384A4_E844_4BB4_B522_1CE13C4699E4_.wvu.PrintArea" localSheetId="7" hidden="1">採点Q2!$C$1:$P$456</definedName>
    <definedName name="Z_047384A4_E844_4BB4_B522_1CE13C4699E4_.wvu.PrintArea" localSheetId="8" hidden="1">採点Q3!$C$1:$P$161</definedName>
    <definedName name="Z_047384A4_E844_4BB4_B522_1CE13C4699E4_.wvu.PrintArea" localSheetId="17" hidden="1">重み!$A$1:$CD$194</definedName>
    <definedName name="Z_047384A4_E844_4BB4_B522_1CE13C4699E4_.wvu.PrintTitles" localSheetId="17" hidden="1">重み!$5:$6</definedName>
    <definedName name="Z_047384A4_E844_4BB4_B522_1CE13C4699E4_.wvu.Rows" localSheetId="18" hidden="1">CO2データ!$322:$65585,CO2データ!$6:$6,CO2データ!$10:$12,CO2データ!$16:$18,CO2データ!$22:$24,CO2データ!$28:$30,CO2データ!$34:$36,CO2データ!$40:$42,CO2データ!$46:$48,CO2データ!$52:$54,CO2データ!$58:$60,CO2データ!$66:$67,CO2データ!$69:$70,CO2データ!$72:$73,CO2データ!$75:$76,CO2データ!$78:$79,CO2データ!$81:$82,CO2データ!$84:$85,CO2データ!$87:$88,CO2データ!$90:$91,CO2データ!$231:$231,CO2データ!#REF!,CO2データ!#REF!,CO2データ!#REF!,CO2データ!$312:$312,CO2データ!$321:$321</definedName>
    <definedName name="Z_047384A4_E844_4BB4_B522_1CE13C4699E4_.wvu.Rows" localSheetId="14" hidden="1">CO2計算!$174:$65538,CO2計算!$26:$99,CO2計算!$138:$173</definedName>
    <definedName name="Z_047384A4_E844_4BB4_B522_1CE13C4699E4_.wvu.Rows" localSheetId="19" hidden="1">クレジット!$39:$65536,クレジット!$38:$38</definedName>
    <definedName name="Z_047384A4_E844_4BB4_B522_1CE13C4699E4_.wvu.Rows" localSheetId="5" hidden="1">スコア!$196:$65553,スコア!$33:$34,スコア!$77:$77,スコア!$90:$92,スコア!$99:$99,スコア!$120:$120,スコア!$125:$126,スコア!$130:$137</definedName>
    <definedName name="Z_047384A4_E844_4BB4_B522_1CE13C4699E4_.wvu.Rows" localSheetId="0" hidden="1">メイン!$111:$65539,メイン!$92:$110</definedName>
    <definedName name="Z_047384A4_E844_4BB4_B522_1CE13C4699E4_.wvu.Rows" localSheetId="2" hidden="1">'結果（SDGs評価あり）'!$209:$65530,'結果（SDGs評価あり）'!$18:$21,'結果（SDGs評価あり）'!$65:$86,'結果（SDGs評価あり）'!$92:$208</definedName>
    <definedName name="Z_047384A4_E844_4BB4_B522_1CE13C4699E4_.wvu.Rows" localSheetId="1" hidden="1">'結果（SDGs評価なし）'!$209:$65530,'結果（SDGs評価なし）'!$18:$21,'結果（SDGs評価なし）'!$65:$86,'結果（SDGs評価なし）'!$92:$208</definedName>
    <definedName name="Z_047384A4_E844_4BB4_B522_1CE13C4699E4_.wvu.Rows" localSheetId="9" hidden="1">'採点LR1 '!$326:$65552,'採点LR1 '!#REF!,'採点LR1 '!#REF!,'採点LR1 '!$165:$324</definedName>
    <definedName name="Z_047384A4_E844_4BB4_B522_1CE13C4699E4_.wvu.Rows" localSheetId="11" hidden="1">採点LR2!$525:$65501,採点LR2!#REF!,採点LR2!$230:$524</definedName>
    <definedName name="Z_047384A4_E844_4BB4_B522_1CE13C4699E4_.wvu.Rows" localSheetId="12" hidden="1">採点LR3!$271:$65567,採点LR3!#REF!,採点LR3!#REF!</definedName>
    <definedName name="Z_047384A4_E844_4BB4_B522_1CE13C4699E4_.wvu.Rows" localSheetId="6" hidden="1">採点Q1!$677:$65570,採点Q1!#REF!,採点Q1!$477:$676</definedName>
    <definedName name="Z_047384A4_E844_4BB4_B522_1CE13C4699E4_.wvu.Rows" localSheetId="7" hidden="1">採点Q2!$461:$65568,採点Q2!$182:$202,採点Q2!$247:$247,採点Q2!#REF!,採点Q2!$424:$448</definedName>
    <definedName name="Z_047384A4_E844_4BB4_B522_1CE13C4699E4_.wvu.Rows" localSheetId="8" hidden="1">採点Q3!$289:$65565,採点Q3!$141:$287</definedName>
    <definedName name="Z_047384A4_E844_4BB4_B522_1CE13C4699E4_.wvu.Rows" localSheetId="17" hidden="1">重み!$233:$65550,重み!$33:$34,重み!$99:$99,重み!$120:$120,重み!$137:$137,重み!$196:$232</definedName>
    <definedName name="Z_047384A4_E844_4BB4_B522_1CE13C4699E4_.wvu.Rows" localSheetId="4" hidden="1">重点項目!$12:$65391,重点項目!#REF!</definedName>
    <definedName name="Z_047384A4_E844_4BB4_B522_1CE13C4699E4_.wvu.Rows" localSheetId="16" hidden="1">'条件(個別)'!$73:$65536,'条件(個別)'!$37:$37</definedName>
    <definedName name="Z_047384A4_E844_4BB4_B522_1CE13C4699E4_.wvu.Rows" localSheetId="15" hidden="1">'条件(標準)'!$73:$65536,'条件(標準)'!$37:$37</definedName>
    <definedName name="図形" localSheetId="10">INDIRECT('[1]結果（SDGs評価なし）'!$AL$24)</definedName>
    <definedName name="図形" localSheetId="9">INDIRECT('[1]結果（SDGs評価なし）'!$AL$24)</definedName>
    <definedName name="図形">INDIRECT('結果（SDGs評価なし）'!$AL$24)</definedName>
    <definedName name="非表示">'結果（SDGs評価なし）'!$AP$24</definedName>
    <definedName name="表示">'結果（SDGs評価なし）'!$AU$24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26" l="1"/>
  <c r="G33" i="25" l="1"/>
  <c r="K68" i="9" l="1"/>
  <c r="F68" i="9"/>
  <c r="L508" i="5" l="1"/>
  <c r="P508" i="5"/>
  <c r="R507" i="5"/>
  <c r="R508" i="5"/>
  <c r="H91" i="26" l="1"/>
  <c r="Z6" i="26" l="1"/>
  <c r="W134" i="5" l="1"/>
  <c r="W132" i="5"/>
  <c r="J10" i="25" l="1"/>
  <c r="O9" i="25"/>
  <c r="N2" i="26"/>
  <c r="N1" i="25"/>
  <c r="L32" i="26" l="1"/>
  <c r="S86" i="26" l="1"/>
  <c r="S87" i="26"/>
  <c r="S88" i="26"/>
  <c r="S89" i="26"/>
  <c r="S90" i="26"/>
  <c r="S91" i="26"/>
  <c r="S92" i="26"/>
  <c r="S93" i="26"/>
  <c r="S76" i="26"/>
  <c r="S77" i="26"/>
  <c r="S78" i="26"/>
  <c r="S79" i="26"/>
  <c r="S80" i="26"/>
  <c r="S81" i="26"/>
  <c r="S82" i="26"/>
  <c r="S83" i="26"/>
  <c r="S84" i="26"/>
  <c r="S85" i="26"/>
  <c r="S75" i="26"/>
  <c r="N109" i="26"/>
  <c r="M98" i="26"/>
  <c r="J84" i="26"/>
  <c r="J85" i="26"/>
  <c r="J77" i="26"/>
  <c r="W144" i="5" l="1"/>
  <c r="W143" i="5"/>
  <c r="G46" i="26" l="1"/>
  <c r="O70" i="25" s="1"/>
  <c r="N508" i="5" l="1"/>
  <c r="Q507" i="5"/>
  <c r="N507" i="5"/>
  <c r="L507" i="5"/>
  <c r="T506" i="5"/>
  <c r="R506" i="5"/>
  <c r="P506" i="5"/>
  <c r="T502" i="5"/>
  <c r="T501" i="5"/>
  <c r="M513" i="5"/>
  <c r="Q501" i="5"/>
  <c r="Q502" i="5"/>
  <c r="L501" i="5"/>
  <c r="K500" i="5"/>
  <c r="O500" i="5"/>
  <c r="H127" i="6"/>
  <c r="H126" i="6"/>
  <c r="H125" i="6"/>
  <c r="P109" i="26" l="1"/>
  <c r="H121" i="6" s="1"/>
  <c r="I121" i="6"/>
  <c r="H108" i="26"/>
  <c r="H107" i="26" s="1"/>
  <c r="K107" i="26" s="1"/>
  <c r="L107" i="26"/>
  <c r="L99" i="26"/>
  <c r="N98" i="26"/>
  <c r="G71" i="26"/>
  <c r="N63" i="26"/>
  <c r="N62" i="26"/>
  <c r="N61" i="26"/>
  <c r="N60" i="26"/>
  <c r="N48" i="26"/>
  <c r="AA23" i="26"/>
  <c r="AB23" i="26" s="1"/>
  <c r="H23" i="26"/>
  <c r="G23" i="26"/>
  <c r="AA22" i="26"/>
  <c r="AB22" i="26" s="1"/>
  <c r="AA21" i="26"/>
  <c r="AB21" i="26" s="1"/>
  <c r="AA20" i="26"/>
  <c r="AB20" i="26" s="1"/>
  <c r="Y18" i="26"/>
  <c r="AA18" i="26" s="1"/>
  <c r="J13" i="26"/>
  <c r="L21" i="25" s="1"/>
  <c r="AA11" i="26"/>
  <c r="AB11" i="26" s="1"/>
  <c r="W11" i="26"/>
  <c r="X11" i="26" s="1"/>
  <c r="AB10" i="26"/>
  <c r="AA10" i="26"/>
  <c r="W10" i="26"/>
  <c r="X10" i="26" s="1"/>
  <c r="AA9" i="26"/>
  <c r="AB9" i="26" s="1"/>
  <c r="W9" i="26"/>
  <c r="X9" i="26" s="1"/>
  <c r="AA8" i="26"/>
  <c r="AB8" i="26" s="1"/>
  <c r="W8" i="26"/>
  <c r="X8" i="26" s="1"/>
  <c r="J6" i="26"/>
  <c r="Y5" i="26"/>
  <c r="U5" i="26"/>
  <c r="W5" i="26" s="1"/>
  <c r="AB5" i="26" l="1"/>
  <c r="AA5" i="26"/>
  <c r="X5" i="26"/>
  <c r="M6" i="26" s="1"/>
  <c r="AB18" i="26"/>
  <c r="M144" i="5"/>
  <c r="M143" i="5"/>
  <c r="M141" i="5"/>
  <c r="M140" i="5"/>
  <c r="M129" i="5"/>
  <c r="M124" i="5"/>
  <c r="M127" i="5"/>
  <c r="M126" i="5"/>
  <c r="M125" i="5"/>
  <c r="M123" i="5"/>
  <c r="U313" i="5"/>
  <c r="T313" i="5"/>
  <c r="S313" i="5"/>
  <c r="R313" i="5"/>
  <c r="Q313" i="5"/>
  <c r="P313" i="5"/>
  <c r="O313" i="5"/>
  <c r="N313" i="5"/>
  <c r="M313" i="5"/>
  <c r="L313" i="5"/>
  <c r="K313" i="5"/>
  <c r="J313" i="5"/>
  <c r="I313" i="5"/>
  <c r="W141" i="5"/>
  <c r="W140" i="5"/>
  <c r="K164" i="25"/>
  <c r="K163" i="25"/>
  <c r="K162" i="25"/>
  <c r="K161" i="25"/>
  <c r="K160" i="25"/>
  <c r="K133" i="25"/>
  <c r="F133" i="25"/>
  <c r="K132" i="25"/>
  <c r="F132" i="25"/>
  <c r="K131" i="25"/>
  <c r="F131" i="25"/>
  <c r="K130" i="25"/>
  <c r="F130" i="25"/>
  <c r="K129" i="25"/>
  <c r="F129" i="25"/>
  <c r="F119" i="25"/>
  <c r="F118" i="25"/>
  <c r="F117" i="25"/>
  <c r="F116" i="25"/>
  <c r="F115" i="25"/>
  <c r="F108" i="25"/>
  <c r="F107" i="25"/>
  <c r="F106" i="25"/>
  <c r="F105" i="25"/>
  <c r="F104" i="25"/>
  <c r="F93" i="25"/>
  <c r="F89" i="25"/>
  <c r="G75" i="25"/>
  <c r="G74" i="25"/>
  <c r="G73" i="25"/>
  <c r="G72" i="25"/>
  <c r="G71" i="25"/>
  <c r="H69" i="25"/>
  <c r="H68" i="25"/>
  <c r="H67" i="25"/>
  <c r="G57" i="25"/>
  <c r="G55" i="25"/>
  <c r="G49" i="25"/>
  <c r="G45" i="25"/>
  <c r="L38" i="25"/>
  <c r="L37" i="25"/>
  <c r="L36" i="25"/>
  <c r="L35" i="25"/>
  <c r="L34" i="25"/>
  <c r="L24" i="25"/>
  <c r="F19" i="25"/>
  <c r="F18" i="25"/>
  <c r="F17" i="25"/>
  <c r="F16" i="25"/>
  <c r="F15" i="25"/>
  <c r="J12" i="25"/>
  <c r="J9" i="25"/>
  <c r="O5" i="25"/>
  <c r="O4" i="25"/>
  <c r="O3" i="25"/>
  <c r="F163" i="25" s="1"/>
  <c r="M7" i="26" l="1"/>
  <c r="J12" i="26"/>
  <c r="G21" i="25" s="1"/>
  <c r="G58" i="25"/>
  <c r="G44" i="25" s="1"/>
  <c r="F164" i="25"/>
  <c r="L25" i="25"/>
  <c r="L26" i="25"/>
  <c r="F160" i="25"/>
  <c r="F161" i="25"/>
  <c r="L23" i="25"/>
  <c r="L27" i="25"/>
  <c r="F162" i="25"/>
  <c r="M104" i="5"/>
  <c r="G313" i="5" l="1"/>
  <c r="M99" i="26"/>
  <c r="N99" i="26" s="1"/>
  <c r="M128" i="5" l="1"/>
  <c r="G34" i="25"/>
  <c r="G38" i="25"/>
  <c r="G37" i="25"/>
  <c r="G36" i="25"/>
  <c r="G35" i="25"/>
  <c r="M102" i="5"/>
  <c r="M11" i="5"/>
  <c r="H21" i="10" l="1"/>
  <c r="H20" i="10" l="1"/>
  <c r="G20" i="10" s="1"/>
  <c r="B3" i="7" l="1"/>
  <c r="B2" i="7"/>
  <c r="O119" i="14" l="1"/>
  <c r="M194" i="5" l="1"/>
  <c r="M193" i="5"/>
  <c r="M191" i="5"/>
  <c r="M190" i="5"/>
  <c r="M189" i="5"/>
  <c r="M187" i="5"/>
  <c r="M186" i="5"/>
  <c r="M185" i="5"/>
  <c r="M181" i="5"/>
  <c r="M180" i="5"/>
  <c r="M179" i="5"/>
  <c r="M178" i="5"/>
  <c r="M176" i="5"/>
  <c r="M175" i="5"/>
  <c r="M173" i="5"/>
  <c r="M171" i="5"/>
  <c r="M170" i="5"/>
  <c r="M169" i="5"/>
  <c r="M167" i="5"/>
  <c r="M157" i="5"/>
  <c r="M156" i="5"/>
  <c r="M155" i="5"/>
  <c r="M154" i="5"/>
  <c r="M153" i="5"/>
  <c r="M152" i="5"/>
  <c r="M150" i="5"/>
  <c r="M149" i="5"/>
  <c r="M147" i="5"/>
  <c r="M119" i="5"/>
  <c r="M118" i="5"/>
  <c r="M116" i="5"/>
  <c r="M113" i="5"/>
  <c r="M111" i="5"/>
  <c r="M110" i="5"/>
  <c r="M109" i="5"/>
  <c r="M108" i="5"/>
  <c r="M107" i="5"/>
  <c r="M106" i="5"/>
  <c r="M103" i="5"/>
  <c r="M98" i="5"/>
  <c r="M97" i="5"/>
  <c r="M96" i="5"/>
  <c r="M95" i="5"/>
  <c r="M94" i="5"/>
  <c r="M88" i="5"/>
  <c r="M87" i="5"/>
  <c r="M86" i="5"/>
  <c r="M85" i="5"/>
  <c r="M84" i="5"/>
  <c r="M83" i="5"/>
  <c r="M81" i="5"/>
  <c r="M80" i="5"/>
  <c r="M76" i="5"/>
  <c r="M75" i="5"/>
  <c r="M72" i="5"/>
  <c r="M71" i="5"/>
  <c r="M69" i="5"/>
  <c r="M67" i="5"/>
  <c r="M65" i="5"/>
  <c r="M66" i="5"/>
  <c r="M61" i="5"/>
  <c r="M60" i="5"/>
  <c r="M57" i="5"/>
  <c r="M56" i="5"/>
  <c r="M55" i="5"/>
  <c r="M50" i="5"/>
  <c r="M47" i="5"/>
  <c r="M44" i="5"/>
  <c r="M42" i="5"/>
  <c r="M39" i="5"/>
  <c r="M38" i="5"/>
  <c r="M37" i="5"/>
  <c r="M31" i="5"/>
  <c r="M30" i="5"/>
  <c r="M25" i="5"/>
  <c r="M24" i="5"/>
  <c r="M22" i="5"/>
  <c r="M19" i="5"/>
  <c r="M18" i="5"/>
  <c r="M17" i="5"/>
  <c r="M16" i="5"/>
  <c r="M15" i="5"/>
  <c r="M77" i="5"/>
  <c r="H3" i="7" l="1"/>
  <c r="G260" i="14" l="1"/>
  <c r="G139" i="14"/>
  <c r="G119" i="14"/>
  <c r="G79" i="14"/>
  <c r="G61" i="10"/>
  <c r="G54" i="10" s="1"/>
  <c r="G41" i="10"/>
  <c r="G96" i="10"/>
  <c r="G74" i="10" s="1"/>
  <c r="G139" i="10"/>
  <c r="S573" i="5" l="1"/>
  <c r="P573" i="5"/>
  <c r="K573" i="5"/>
  <c r="L194" i="23" l="1"/>
  <c r="AD194" i="23"/>
  <c r="AF194" i="23" s="1"/>
  <c r="AG194" i="23" s="1"/>
  <c r="AD110" i="23"/>
  <c r="AD192" i="23"/>
  <c r="AF192" i="23" s="1"/>
  <c r="AG192" i="23" s="1"/>
  <c r="AD188" i="23"/>
  <c r="AD133" i="23"/>
  <c r="AD147" i="23"/>
  <c r="AF147" i="23" s="1"/>
  <c r="AG147" i="23" s="1"/>
  <c r="AB173" i="23"/>
  <c r="AB166" i="23"/>
  <c r="AB114" i="23"/>
  <c r="L192" i="23"/>
  <c r="L191" i="23"/>
  <c r="N62" i="2"/>
  <c r="O62" i="2" s="1"/>
  <c r="N61" i="2"/>
  <c r="O61" i="2" s="1"/>
  <c r="N58" i="2"/>
  <c r="O58" i="2" s="1"/>
  <c r="N54" i="2"/>
  <c r="O54" i="2" s="1"/>
  <c r="N53" i="2"/>
  <c r="O53" i="2" s="1"/>
  <c r="N52" i="2"/>
  <c r="O52" i="2" s="1"/>
  <c r="N51" i="2"/>
  <c r="O51" i="2" s="1"/>
  <c r="N48" i="2"/>
  <c r="O48" i="2" s="1"/>
  <c r="N66" i="2"/>
  <c r="O66" i="2" s="1"/>
  <c r="AD137" i="23"/>
  <c r="AF137" i="23" s="1"/>
  <c r="AG137" i="23" s="1"/>
  <c r="AD135" i="23"/>
  <c r="AF135" i="23" s="1"/>
  <c r="AG135" i="23" s="1"/>
  <c r="AD87" i="23"/>
  <c r="L193" i="23"/>
  <c r="L188" i="23"/>
  <c r="L186" i="23"/>
  <c r="L183" i="23"/>
  <c r="L182" i="23"/>
  <c r="L179" i="23"/>
  <c r="L178" i="23"/>
  <c r="L173" i="23"/>
  <c r="L170" i="23"/>
  <c r="L168" i="23"/>
  <c r="L166" i="23"/>
  <c r="L147" i="23"/>
  <c r="L146" i="23"/>
  <c r="L132" i="23"/>
  <c r="L121" i="23"/>
  <c r="L120" i="23"/>
  <c r="L119" i="23"/>
  <c r="L116" i="23"/>
  <c r="L115" i="23"/>
  <c r="L114" i="23"/>
  <c r="L71" i="23" l="1"/>
  <c r="L70" i="23"/>
  <c r="L69" i="23"/>
  <c r="AF188" i="23"/>
  <c r="AG188" i="23" s="1"/>
  <c r="L145" i="23" l="1"/>
  <c r="L144" i="23"/>
  <c r="L143" i="23"/>
  <c r="L142" i="23"/>
  <c r="L141" i="23"/>
  <c r="L54" i="23" l="1"/>
  <c r="F238" i="15"/>
  <c r="E238" i="15"/>
  <c r="D238" i="15"/>
  <c r="G239" i="15" s="1"/>
  <c r="H239" i="15" s="1"/>
  <c r="AA221" i="15"/>
  <c r="Z221" i="15"/>
  <c r="Y221" i="15"/>
  <c r="X221" i="15"/>
  <c r="W221" i="15"/>
  <c r="V221" i="15"/>
  <c r="U221" i="15"/>
  <c r="T221" i="15"/>
  <c r="AA220" i="15"/>
  <c r="Z220" i="15"/>
  <c r="Y220" i="15"/>
  <c r="X220" i="15"/>
  <c r="W220" i="15"/>
  <c r="V220" i="15"/>
  <c r="U220" i="15"/>
  <c r="T220" i="15"/>
  <c r="H211" i="15"/>
  <c r="H210" i="15"/>
  <c r="G209" i="15"/>
  <c r="H209" i="15" s="1"/>
  <c r="P208" i="15"/>
  <c r="P207" i="15"/>
  <c r="P206" i="15"/>
  <c r="P205" i="15"/>
  <c r="P204" i="15"/>
  <c r="P203" i="15"/>
  <c r="P202" i="15"/>
  <c r="P201" i="15"/>
  <c r="P200" i="15"/>
  <c r="P199" i="15"/>
  <c r="P198" i="15"/>
  <c r="P197" i="15"/>
  <c r="P196" i="15"/>
  <c r="P195" i="15"/>
  <c r="P194" i="15"/>
  <c r="P193" i="15"/>
  <c r="P192" i="15"/>
  <c r="P191" i="15"/>
  <c r="P190" i="15"/>
  <c r="Q188" i="15"/>
  <c r="P188" i="15"/>
  <c r="O188" i="15"/>
  <c r="I101" i="15"/>
  <c r="O95" i="15"/>
  <c r="U96" i="15" s="1"/>
  <c r="Q91" i="15"/>
  <c r="P91" i="15"/>
  <c r="O91" i="15"/>
  <c r="N91" i="15"/>
  <c r="M91" i="15"/>
  <c r="L91" i="15"/>
  <c r="K91" i="15"/>
  <c r="J91" i="15"/>
  <c r="I91" i="15"/>
  <c r="Q88" i="15"/>
  <c r="P88" i="15"/>
  <c r="O88" i="15"/>
  <c r="N88" i="15"/>
  <c r="M88" i="15"/>
  <c r="L88" i="15"/>
  <c r="K88" i="15"/>
  <c r="J88" i="15"/>
  <c r="I88" i="15"/>
  <c r="Q85" i="15"/>
  <c r="P85" i="15"/>
  <c r="O85" i="15"/>
  <c r="N85" i="15"/>
  <c r="M85" i="15"/>
  <c r="L85" i="15"/>
  <c r="K85" i="15"/>
  <c r="J85" i="15"/>
  <c r="I85" i="15"/>
  <c r="Q82" i="15"/>
  <c r="P82" i="15"/>
  <c r="O82" i="15"/>
  <c r="N82" i="15"/>
  <c r="M82" i="15"/>
  <c r="L82" i="15"/>
  <c r="K82" i="15"/>
  <c r="J82" i="15"/>
  <c r="I82" i="15"/>
  <c r="Q79" i="15"/>
  <c r="P79" i="15"/>
  <c r="O79" i="15"/>
  <c r="N79" i="15"/>
  <c r="M79" i="15"/>
  <c r="L79" i="15"/>
  <c r="K79" i="15"/>
  <c r="J79" i="15"/>
  <c r="I79" i="15"/>
  <c r="Q76" i="15"/>
  <c r="P76" i="15"/>
  <c r="O76" i="15"/>
  <c r="N76" i="15"/>
  <c r="M76" i="15"/>
  <c r="L76" i="15"/>
  <c r="K76" i="15"/>
  <c r="J76" i="15"/>
  <c r="I76" i="15"/>
  <c r="Q73" i="15"/>
  <c r="P73" i="15"/>
  <c r="O73" i="15"/>
  <c r="K73" i="15"/>
  <c r="J73" i="15"/>
  <c r="I73" i="15"/>
  <c r="Q70" i="15"/>
  <c r="P70" i="15"/>
  <c r="O70" i="15"/>
  <c r="N70" i="15"/>
  <c r="M70" i="15"/>
  <c r="L70" i="15"/>
  <c r="K70" i="15"/>
  <c r="J70" i="15"/>
  <c r="I70" i="15"/>
  <c r="Q67" i="15"/>
  <c r="P67" i="15"/>
  <c r="O67" i="15"/>
  <c r="N67" i="15"/>
  <c r="M67" i="15"/>
  <c r="L67" i="15"/>
  <c r="K67" i="15"/>
  <c r="J67" i="15"/>
  <c r="I67" i="15"/>
  <c r="G23" i="15"/>
  <c r="G29" i="15" s="1"/>
  <c r="G35" i="15" s="1"/>
  <c r="G41" i="15" s="1"/>
  <c r="G47" i="15" s="1"/>
  <c r="G53" i="15" s="1"/>
  <c r="G59" i="15" s="1"/>
  <c r="H22" i="15"/>
  <c r="Q22" i="15" s="1"/>
  <c r="G21" i="15"/>
  <c r="G27" i="15" s="1"/>
  <c r="G33" i="15" s="1"/>
  <c r="G39" i="15" s="1"/>
  <c r="G45" i="15" s="1"/>
  <c r="G51" i="15" s="1"/>
  <c r="G57" i="15" s="1"/>
  <c r="G18" i="15"/>
  <c r="G24" i="15" s="1"/>
  <c r="G30" i="15" s="1"/>
  <c r="G36" i="15" s="1"/>
  <c r="G42" i="15" s="1"/>
  <c r="G48" i="15" s="1"/>
  <c r="G54" i="15" s="1"/>
  <c r="G60" i="15" s="1"/>
  <c r="H17" i="15"/>
  <c r="Q17" i="15" s="1"/>
  <c r="G17" i="15"/>
  <c r="G16" i="15"/>
  <c r="G22" i="15" s="1"/>
  <c r="G28" i="15" s="1"/>
  <c r="G34" i="15" s="1"/>
  <c r="G40" i="15" s="1"/>
  <c r="G46" i="15" s="1"/>
  <c r="G52" i="15" s="1"/>
  <c r="G58" i="15" s="1"/>
  <c r="G15" i="15"/>
  <c r="G14" i="15"/>
  <c r="G20" i="15" s="1"/>
  <c r="G26" i="15" s="1"/>
  <c r="G32" i="15" s="1"/>
  <c r="G38" i="15" s="1"/>
  <c r="G44" i="15" s="1"/>
  <c r="G50" i="15" s="1"/>
  <c r="G56" i="15" s="1"/>
  <c r="G13" i="15"/>
  <c r="G19" i="15" s="1"/>
  <c r="G25" i="15" s="1"/>
  <c r="G31" i="15" s="1"/>
  <c r="G37" i="15" s="1"/>
  <c r="G43" i="15" s="1"/>
  <c r="G49" i="15" s="1"/>
  <c r="G55" i="15" s="1"/>
  <c r="CV194" i="18"/>
  <c r="CU194" i="18"/>
  <c r="CT194" i="18"/>
  <c r="CS194" i="18"/>
  <c r="CR194" i="18"/>
  <c r="CQ194" i="18"/>
  <c r="CP194" i="18"/>
  <c r="CO194" i="18"/>
  <c r="CN194" i="18"/>
  <c r="CM194" i="18"/>
  <c r="CL194" i="18"/>
  <c r="CK194" i="18"/>
  <c r="CJ194" i="18"/>
  <c r="CV193" i="18"/>
  <c r="CU193" i="18"/>
  <c r="CT193" i="18"/>
  <c r="CS193" i="18"/>
  <c r="CR193" i="18"/>
  <c r="CQ193" i="18"/>
  <c r="CP193" i="18"/>
  <c r="CO193" i="18"/>
  <c r="CN193" i="18"/>
  <c r="CM193" i="18"/>
  <c r="CL193" i="18"/>
  <c r="CK193" i="18"/>
  <c r="CJ193" i="18"/>
  <c r="CV192" i="18"/>
  <c r="CU192" i="18"/>
  <c r="CT192" i="18"/>
  <c r="CS192" i="18"/>
  <c r="CR192" i="18"/>
  <c r="CQ192" i="18"/>
  <c r="CP192" i="18"/>
  <c r="CO192" i="18"/>
  <c r="CN192" i="18"/>
  <c r="CM192" i="18"/>
  <c r="CL192" i="18"/>
  <c r="CK192" i="18"/>
  <c r="CJ192" i="18"/>
  <c r="CV191" i="18"/>
  <c r="CU191" i="18"/>
  <c r="CT191" i="18"/>
  <c r="CS191" i="18"/>
  <c r="CR191" i="18"/>
  <c r="CQ191" i="18"/>
  <c r="CP191" i="18"/>
  <c r="CO191" i="18"/>
  <c r="CN191" i="18"/>
  <c r="CM191" i="18"/>
  <c r="CL191" i="18"/>
  <c r="CK191" i="18"/>
  <c r="CJ191" i="18"/>
  <c r="DA190" i="18"/>
  <c r="CV190" i="18"/>
  <c r="CU190" i="18"/>
  <c r="CT190" i="18"/>
  <c r="CS190" i="18"/>
  <c r="CR190" i="18"/>
  <c r="CQ190" i="18"/>
  <c r="CP190" i="18"/>
  <c r="CO190" i="18"/>
  <c r="CN190" i="18"/>
  <c r="CM190" i="18"/>
  <c r="CL190" i="18"/>
  <c r="CK190" i="18"/>
  <c r="CJ190" i="18"/>
  <c r="CV189" i="18"/>
  <c r="CU189" i="18"/>
  <c r="CT189" i="18"/>
  <c r="CS189" i="18"/>
  <c r="CR189" i="18"/>
  <c r="CQ189" i="18"/>
  <c r="CP189" i="18"/>
  <c r="CO189" i="18"/>
  <c r="CN189" i="18"/>
  <c r="CM189" i="18"/>
  <c r="CL189" i="18"/>
  <c r="CK189" i="18"/>
  <c r="CJ189" i="18"/>
  <c r="CV188" i="18"/>
  <c r="CU188" i="18"/>
  <c r="CT188" i="18"/>
  <c r="CS188" i="18"/>
  <c r="CR188" i="18"/>
  <c r="CQ188" i="18"/>
  <c r="CP188" i="18"/>
  <c r="CO188" i="18"/>
  <c r="CN188" i="18"/>
  <c r="CM188" i="18"/>
  <c r="CL188" i="18"/>
  <c r="CK188" i="18"/>
  <c r="CJ188" i="18"/>
  <c r="CV187" i="18"/>
  <c r="CU187" i="18"/>
  <c r="CT187" i="18"/>
  <c r="CS187" i="18"/>
  <c r="CR187" i="18"/>
  <c r="CQ187" i="18"/>
  <c r="CP187" i="18"/>
  <c r="CO187" i="18"/>
  <c r="CN187" i="18"/>
  <c r="CM187" i="18"/>
  <c r="CL187" i="18"/>
  <c r="CK187" i="18"/>
  <c r="CJ187" i="18"/>
  <c r="CV186" i="18"/>
  <c r="CU186" i="18"/>
  <c r="CT186" i="18"/>
  <c r="CS186" i="18"/>
  <c r="CR186" i="18"/>
  <c r="CQ186" i="18"/>
  <c r="CP186" i="18"/>
  <c r="CO186" i="18"/>
  <c r="CN186" i="18"/>
  <c r="CM186" i="18"/>
  <c r="CL186" i="18"/>
  <c r="CK186" i="18"/>
  <c r="CJ186" i="18"/>
  <c r="CV185" i="18"/>
  <c r="CU185" i="18"/>
  <c r="CT185" i="18"/>
  <c r="CS185" i="18"/>
  <c r="CR185" i="18"/>
  <c r="CQ185" i="18"/>
  <c r="CP185" i="18"/>
  <c r="CO185" i="18"/>
  <c r="CN185" i="18"/>
  <c r="CM185" i="18"/>
  <c r="CL185" i="18"/>
  <c r="CK185" i="18"/>
  <c r="CJ185" i="18"/>
  <c r="CV184" i="18"/>
  <c r="CU184" i="18"/>
  <c r="CT184" i="18"/>
  <c r="CS184" i="18"/>
  <c r="CR184" i="18"/>
  <c r="CQ184" i="18"/>
  <c r="CP184" i="18"/>
  <c r="CO184" i="18"/>
  <c r="CN184" i="18"/>
  <c r="CM184" i="18"/>
  <c r="CL184" i="18"/>
  <c r="CK184" i="18"/>
  <c r="CJ184" i="18"/>
  <c r="CV183" i="18"/>
  <c r="CU183" i="18"/>
  <c r="CT183" i="18"/>
  <c r="CS183" i="18"/>
  <c r="CN183" i="18"/>
  <c r="CM183" i="18"/>
  <c r="CJ183" i="18"/>
  <c r="CA183" i="18"/>
  <c r="BZ183" i="18"/>
  <c r="CR183" i="18" s="1"/>
  <c r="BY183" i="18"/>
  <c r="CQ183" i="18" s="1"/>
  <c r="BX183" i="18"/>
  <c r="CP183" i="18" s="1"/>
  <c r="BW183" i="18"/>
  <c r="CO183" i="18" s="1"/>
  <c r="BV183" i="18"/>
  <c r="BU183" i="18"/>
  <c r="BT183" i="18"/>
  <c r="CL183" i="18" s="1"/>
  <c r="BS183" i="18"/>
  <c r="CK183" i="18" s="1"/>
  <c r="BR183" i="18"/>
  <c r="BJ183" i="18"/>
  <c r="BI183" i="18"/>
  <c r="BH183" i="18"/>
  <c r="BG183" i="18"/>
  <c r="BF183" i="18"/>
  <c r="BE183" i="18"/>
  <c r="BD183" i="18"/>
  <c r="BC183" i="18"/>
  <c r="BB183" i="18"/>
  <c r="BA183" i="18"/>
  <c r="CV181" i="18"/>
  <c r="CU181" i="18"/>
  <c r="CT181" i="18"/>
  <c r="CS181" i="18"/>
  <c r="CR181" i="18"/>
  <c r="CQ181" i="18"/>
  <c r="CP181" i="18"/>
  <c r="CO181" i="18"/>
  <c r="CN181" i="18"/>
  <c r="CM181" i="18"/>
  <c r="CL181" i="18"/>
  <c r="CK181" i="18"/>
  <c r="CJ181" i="18"/>
  <c r="CV180" i="18"/>
  <c r="CU180" i="18"/>
  <c r="CT180" i="18"/>
  <c r="CS180" i="18"/>
  <c r="CR180" i="18"/>
  <c r="CQ180" i="18"/>
  <c r="CP180" i="18"/>
  <c r="CO180" i="18"/>
  <c r="CN180" i="18"/>
  <c r="CM180" i="18"/>
  <c r="CL180" i="18"/>
  <c r="CK180" i="18"/>
  <c r="CJ180" i="18"/>
  <c r="CV179" i="18"/>
  <c r="CU179" i="18"/>
  <c r="CT179" i="18"/>
  <c r="CS179" i="18"/>
  <c r="CR179" i="18"/>
  <c r="CQ179" i="18"/>
  <c r="CP179" i="18"/>
  <c r="CO179" i="18"/>
  <c r="CN179" i="18"/>
  <c r="CM179" i="18"/>
  <c r="CL179" i="18"/>
  <c r="CK179" i="18"/>
  <c r="CJ179" i="18"/>
  <c r="CV178" i="18"/>
  <c r="CU178" i="18"/>
  <c r="CT178" i="18"/>
  <c r="CS178" i="18"/>
  <c r="CR178" i="18"/>
  <c r="CQ178" i="18"/>
  <c r="CP178" i="18"/>
  <c r="CO178" i="18"/>
  <c r="CN178" i="18"/>
  <c r="CM178" i="18"/>
  <c r="CL178" i="18"/>
  <c r="CK178" i="18"/>
  <c r="CJ178" i="18"/>
  <c r="CV177" i="18"/>
  <c r="CU177" i="18"/>
  <c r="CT177" i="18"/>
  <c r="CS177" i="18"/>
  <c r="CR177" i="18"/>
  <c r="CQ177" i="18"/>
  <c r="CP177" i="18"/>
  <c r="CO177" i="18"/>
  <c r="CN177" i="18"/>
  <c r="CM177" i="18"/>
  <c r="CL177" i="18"/>
  <c r="CK177" i="18"/>
  <c r="CJ177" i="18"/>
  <c r="CV176" i="18"/>
  <c r="CU176" i="18"/>
  <c r="CT176" i="18"/>
  <c r="CS176" i="18"/>
  <c r="CR176" i="18"/>
  <c r="CQ176" i="18"/>
  <c r="CP176" i="18"/>
  <c r="CO176" i="18"/>
  <c r="CN176" i="18"/>
  <c r="CM176" i="18"/>
  <c r="CL176" i="18"/>
  <c r="CK176" i="18"/>
  <c r="CJ176" i="18"/>
  <c r="CV175" i="18"/>
  <c r="CU175" i="18"/>
  <c r="CT175" i="18"/>
  <c r="CS175" i="18"/>
  <c r="CR175" i="18"/>
  <c r="CQ175" i="18"/>
  <c r="CP175" i="18"/>
  <c r="CO175" i="18"/>
  <c r="CN175" i="18"/>
  <c r="CM175" i="18"/>
  <c r="CL175" i="18"/>
  <c r="CK175" i="18"/>
  <c r="CJ175" i="18"/>
  <c r="CV174" i="18"/>
  <c r="CU174" i="18"/>
  <c r="CT174" i="18"/>
  <c r="CR174" i="18"/>
  <c r="CQ174" i="18"/>
  <c r="CN174" i="18"/>
  <c r="CM174" i="18"/>
  <c r="CL174" i="18"/>
  <c r="CK174" i="18"/>
  <c r="CA174" i="18"/>
  <c r="CS174" i="18" s="1"/>
  <c r="BZ174" i="18"/>
  <c r="BY174" i="18"/>
  <c r="BX174" i="18"/>
  <c r="CP174" i="18" s="1"/>
  <c r="BW174" i="18"/>
  <c r="CO174" i="18" s="1"/>
  <c r="BV174" i="18"/>
  <c r="BU174" i="18"/>
  <c r="BT174" i="18"/>
  <c r="BS174" i="18"/>
  <c r="BR174" i="18"/>
  <c r="CJ174" i="18" s="1"/>
  <c r="BJ174" i="18"/>
  <c r="BI174" i="18"/>
  <c r="BH174" i="18"/>
  <c r="BG174" i="18"/>
  <c r="BF174" i="18"/>
  <c r="BE174" i="18"/>
  <c r="BD174" i="18"/>
  <c r="BC174" i="18"/>
  <c r="BB174" i="18"/>
  <c r="BA174" i="18"/>
  <c r="CV173" i="18"/>
  <c r="CU173" i="18"/>
  <c r="CT173" i="18"/>
  <c r="CO173" i="18"/>
  <c r="CN173" i="18"/>
  <c r="CK173" i="18"/>
  <c r="CJ173" i="18"/>
  <c r="CA173" i="18"/>
  <c r="CS173" i="18" s="1"/>
  <c r="BZ173" i="18"/>
  <c r="CR173" i="18" s="1"/>
  <c r="BY173" i="18"/>
  <c r="CQ173" i="18" s="1"/>
  <c r="BX173" i="18"/>
  <c r="CP173" i="18" s="1"/>
  <c r="BW173" i="18"/>
  <c r="BV173" i="18"/>
  <c r="BU173" i="18"/>
  <c r="CM173" i="18" s="1"/>
  <c r="BT173" i="18"/>
  <c r="CL173" i="18" s="1"/>
  <c r="BS173" i="18"/>
  <c r="BR173" i="18"/>
  <c r="BJ173" i="18"/>
  <c r="BI173" i="18"/>
  <c r="BH173" i="18"/>
  <c r="BG173" i="18"/>
  <c r="BF173" i="18"/>
  <c r="BE173" i="18"/>
  <c r="BD173" i="18"/>
  <c r="BC173" i="18"/>
  <c r="BB173" i="18"/>
  <c r="BA173" i="18"/>
  <c r="CV172" i="18"/>
  <c r="CU172" i="18"/>
  <c r="CT172" i="18"/>
  <c r="CS172" i="18"/>
  <c r="CR172" i="18"/>
  <c r="CQ172" i="18"/>
  <c r="CP172" i="18"/>
  <c r="CO172" i="18"/>
  <c r="CN172" i="18"/>
  <c r="CM172" i="18"/>
  <c r="CL172" i="18"/>
  <c r="CK172" i="18"/>
  <c r="CJ172" i="18"/>
  <c r="CV171" i="18"/>
  <c r="CU171" i="18"/>
  <c r="CT171" i="18"/>
  <c r="CS171" i="18"/>
  <c r="CR171" i="18"/>
  <c r="CQ171" i="18"/>
  <c r="CP171" i="18"/>
  <c r="CO171" i="18"/>
  <c r="CN171" i="18"/>
  <c r="CM171" i="18"/>
  <c r="CL171" i="18"/>
  <c r="CK171" i="18"/>
  <c r="CJ171" i="18"/>
  <c r="CV170" i="18"/>
  <c r="CU170" i="18"/>
  <c r="CT170" i="18"/>
  <c r="CS170" i="18"/>
  <c r="CR170" i="18"/>
  <c r="CQ170" i="18"/>
  <c r="CP170" i="18"/>
  <c r="CO170" i="18"/>
  <c r="CN170" i="18"/>
  <c r="CM170" i="18"/>
  <c r="CL170" i="18"/>
  <c r="CK170" i="18"/>
  <c r="CJ170" i="18"/>
  <c r="CV169" i="18"/>
  <c r="CU169" i="18"/>
  <c r="CT169" i="18"/>
  <c r="CS169" i="18"/>
  <c r="CR169" i="18"/>
  <c r="CQ169" i="18"/>
  <c r="CP169" i="18"/>
  <c r="CO169" i="18"/>
  <c r="CN169" i="18"/>
  <c r="CM169" i="18"/>
  <c r="CL169" i="18"/>
  <c r="CK169" i="18"/>
  <c r="CJ169" i="18"/>
  <c r="CV168" i="18"/>
  <c r="CU168" i="18"/>
  <c r="CT168" i="18"/>
  <c r="CS168" i="18"/>
  <c r="CR168" i="18"/>
  <c r="CQ168" i="18"/>
  <c r="CP168" i="18"/>
  <c r="CO168" i="18"/>
  <c r="CN168" i="18"/>
  <c r="CM168" i="18"/>
  <c r="CL168" i="18"/>
  <c r="CK168" i="18"/>
  <c r="CJ168" i="18"/>
  <c r="CV167" i="18"/>
  <c r="CU167" i="18"/>
  <c r="CT167" i="18"/>
  <c r="CS167" i="18"/>
  <c r="CR167" i="18"/>
  <c r="CQ167" i="18"/>
  <c r="CP167" i="18"/>
  <c r="CO167" i="18"/>
  <c r="CN167" i="18"/>
  <c r="CM167" i="18"/>
  <c r="CL167" i="18"/>
  <c r="CK167" i="18"/>
  <c r="CJ167" i="18"/>
  <c r="DA166" i="18"/>
  <c r="CV166" i="18"/>
  <c r="CU166" i="18"/>
  <c r="CT166" i="18"/>
  <c r="DA165" i="18"/>
  <c r="CV165" i="18"/>
  <c r="CU165" i="18"/>
  <c r="CT165" i="18"/>
  <c r="DA164" i="18"/>
  <c r="CV164" i="18"/>
  <c r="CU164" i="18"/>
  <c r="CT164" i="18"/>
  <c r="DA163" i="18"/>
  <c r="CV163" i="18"/>
  <c r="CU163" i="18"/>
  <c r="CT163" i="18"/>
  <c r="DA162" i="18"/>
  <c r="CV162" i="18"/>
  <c r="CU162" i="18"/>
  <c r="CT162" i="18"/>
  <c r="DA161" i="18"/>
  <c r="CV161" i="18"/>
  <c r="CU161" i="18"/>
  <c r="CT161" i="18"/>
  <c r="DA160" i="18"/>
  <c r="CV160" i="18"/>
  <c r="CU160" i="18"/>
  <c r="CT160" i="18"/>
  <c r="DA159" i="18"/>
  <c r="CV159" i="18"/>
  <c r="CU159" i="18"/>
  <c r="CT159" i="18"/>
  <c r="DA158" i="18"/>
  <c r="CV158" i="18"/>
  <c r="CU158" i="18"/>
  <c r="CT158" i="18"/>
  <c r="CV157" i="18"/>
  <c r="CU157" i="18"/>
  <c r="CT157" i="18"/>
  <c r="CV156" i="18"/>
  <c r="CU156" i="18"/>
  <c r="CT156" i="18"/>
  <c r="DA155" i="18"/>
  <c r="CV155" i="18"/>
  <c r="CU155" i="18"/>
  <c r="CT155" i="18"/>
  <c r="CV154" i="18"/>
  <c r="CU154" i="18"/>
  <c r="CT154" i="18"/>
  <c r="CV153" i="18"/>
  <c r="CU153" i="18"/>
  <c r="CT153" i="18"/>
  <c r="CV152" i="18"/>
  <c r="CU152" i="18"/>
  <c r="CT152" i="18"/>
  <c r="CV151" i="18"/>
  <c r="CU151" i="18"/>
  <c r="CT151" i="18"/>
  <c r="DA150" i="18"/>
  <c r="CV150" i="18"/>
  <c r="CU150" i="18"/>
  <c r="CT150" i="18"/>
  <c r="CS150" i="18"/>
  <c r="CR150" i="18"/>
  <c r="CQ150" i="18"/>
  <c r="CP150" i="18"/>
  <c r="CO150" i="18"/>
  <c r="CN150" i="18"/>
  <c r="CM150" i="18"/>
  <c r="CL150" i="18"/>
  <c r="CK150" i="18"/>
  <c r="CJ150" i="18"/>
  <c r="DA149" i="18"/>
  <c r="CV149" i="18"/>
  <c r="CU149" i="18"/>
  <c r="CT149" i="18"/>
  <c r="CS149" i="18"/>
  <c r="CR149" i="18"/>
  <c r="CQ149" i="18"/>
  <c r="CP149" i="18"/>
  <c r="CO149" i="18"/>
  <c r="CN149" i="18"/>
  <c r="CM149" i="18"/>
  <c r="CL149" i="18"/>
  <c r="CK149" i="18"/>
  <c r="CJ149" i="18"/>
  <c r="DA148" i="18"/>
  <c r="CV148" i="18"/>
  <c r="CU148" i="18"/>
  <c r="CT148" i="18"/>
  <c r="CS148" i="18"/>
  <c r="CR148" i="18"/>
  <c r="CQ148" i="18"/>
  <c r="CP148" i="18"/>
  <c r="CO148" i="18"/>
  <c r="CN148" i="18"/>
  <c r="CM148" i="18"/>
  <c r="CL148" i="18"/>
  <c r="CK148" i="18"/>
  <c r="CJ148" i="18"/>
  <c r="DA147" i="18"/>
  <c r="CV147" i="18"/>
  <c r="CU147" i="18"/>
  <c r="CT147" i="18"/>
  <c r="CS147" i="18"/>
  <c r="CR147" i="18"/>
  <c r="CQ147" i="18"/>
  <c r="CP147" i="18"/>
  <c r="CO147" i="18"/>
  <c r="CN147" i="18"/>
  <c r="CM147" i="18"/>
  <c r="CL147" i="18"/>
  <c r="CK147" i="18"/>
  <c r="CJ147" i="18"/>
  <c r="CV146" i="18"/>
  <c r="CU146" i="18"/>
  <c r="CT146" i="18"/>
  <c r="CV145" i="18"/>
  <c r="CU145" i="18"/>
  <c r="CT145" i="18"/>
  <c r="DA144" i="18"/>
  <c r="CV144" i="18"/>
  <c r="CU144" i="18"/>
  <c r="CT144" i="18"/>
  <c r="CS144" i="18"/>
  <c r="CR144" i="18"/>
  <c r="CQ144" i="18"/>
  <c r="CP144" i="18"/>
  <c r="CO144" i="18"/>
  <c r="CN144" i="18"/>
  <c r="CM144" i="18"/>
  <c r="CL144" i="18"/>
  <c r="CK144" i="18"/>
  <c r="CJ144" i="18"/>
  <c r="DA143" i="18"/>
  <c r="CV143" i="18"/>
  <c r="CU143" i="18"/>
  <c r="CT143" i="18"/>
  <c r="CS143" i="18"/>
  <c r="CR143" i="18"/>
  <c r="CQ143" i="18"/>
  <c r="CP143" i="18"/>
  <c r="CO143" i="18"/>
  <c r="CN143" i="18"/>
  <c r="CM143" i="18"/>
  <c r="CL143" i="18"/>
  <c r="CK143" i="18"/>
  <c r="CJ143" i="18"/>
  <c r="DA142" i="18"/>
  <c r="CV142" i="18"/>
  <c r="CU142" i="18"/>
  <c r="CT142" i="18"/>
  <c r="CS142" i="18"/>
  <c r="CR142" i="18"/>
  <c r="CQ142" i="18"/>
  <c r="CP142" i="18"/>
  <c r="CO142" i="18"/>
  <c r="CN142" i="18"/>
  <c r="CM142" i="18"/>
  <c r="CL142" i="18"/>
  <c r="CK142" i="18"/>
  <c r="CJ142" i="18"/>
  <c r="DA141" i="18"/>
  <c r="CV141" i="18"/>
  <c r="CU141" i="18"/>
  <c r="CT141" i="18"/>
  <c r="CS141" i="18"/>
  <c r="CR141" i="18"/>
  <c r="CQ141" i="18"/>
  <c r="CP141" i="18"/>
  <c r="CO141" i="18"/>
  <c r="CN141" i="18"/>
  <c r="CM141" i="18"/>
  <c r="CL141" i="18"/>
  <c r="CK141" i="18"/>
  <c r="CJ141" i="18"/>
  <c r="DA140" i="18"/>
  <c r="CV140" i="18"/>
  <c r="CU140" i="18"/>
  <c r="CT140" i="18"/>
  <c r="CS140" i="18"/>
  <c r="CR140" i="18"/>
  <c r="CQ140" i="18"/>
  <c r="CP140" i="18"/>
  <c r="CO140" i="18"/>
  <c r="CN140" i="18"/>
  <c r="CM140" i="18"/>
  <c r="CL140" i="18"/>
  <c r="CK140" i="18"/>
  <c r="CJ140" i="18"/>
  <c r="DA139" i="18"/>
  <c r="CV139" i="18"/>
  <c r="CU139" i="18"/>
  <c r="CT139" i="18"/>
  <c r="CS139" i="18"/>
  <c r="CR139" i="18"/>
  <c r="CQ139" i="18"/>
  <c r="CP139" i="18"/>
  <c r="CO139" i="18"/>
  <c r="CN139" i="18"/>
  <c r="CM139" i="18"/>
  <c r="CL139" i="18"/>
  <c r="CK139" i="18"/>
  <c r="CJ139" i="18"/>
  <c r="CF139" i="18"/>
  <c r="DA138" i="18"/>
  <c r="CV138" i="18"/>
  <c r="CU138" i="18"/>
  <c r="CT138" i="18"/>
  <c r="CS138" i="18"/>
  <c r="CR138" i="18"/>
  <c r="CQ138" i="18"/>
  <c r="CP138" i="18"/>
  <c r="CO138" i="18"/>
  <c r="CN138" i="18"/>
  <c r="CM138" i="18"/>
  <c r="CL138" i="18"/>
  <c r="CK138" i="18"/>
  <c r="CJ138" i="18"/>
  <c r="CF138" i="18"/>
  <c r="DA137" i="18"/>
  <c r="CV137" i="18"/>
  <c r="CU137" i="18"/>
  <c r="CT137" i="18"/>
  <c r="CS137" i="18"/>
  <c r="CR137" i="18"/>
  <c r="CQ137" i="18"/>
  <c r="CP137" i="18"/>
  <c r="CO137" i="18"/>
  <c r="CN137" i="18"/>
  <c r="CM137" i="18"/>
  <c r="CL137" i="18"/>
  <c r="CK137" i="18"/>
  <c r="CJ137" i="18"/>
  <c r="CF137" i="18"/>
  <c r="DA136" i="18"/>
  <c r="CV136" i="18"/>
  <c r="CU136" i="18"/>
  <c r="CT136" i="18"/>
  <c r="CS136" i="18"/>
  <c r="CR136" i="18"/>
  <c r="CQ136" i="18"/>
  <c r="CP136" i="18"/>
  <c r="CO136" i="18"/>
  <c r="CN136" i="18"/>
  <c r="CM136" i="18"/>
  <c r="CL136" i="18"/>
  <c r="CK136" i="18"/>
  <c r="CJ136" i="18"/>
  <c r="CF136" i="18"/>
  <c r="DA135" i="18"/>
  <c r="CV135" i="18"/>
  <c r="CU135" i="18"/>
  <c r="CT135" i="18"/>
  <c r="CS135" i="18"/>
  <c r="CR135" i="18"/>
  <c r="CQ135" i="18"/>
  <c r="CP135" i="18"/>
  <c r="CO135" i="18"/>
  <c r="CN135" i="18"/>
  <c r="CM135" i="18"/>
  <c r="CL135" i="18"/>
  <c r="CK135" i="18"/>
  <c r="CJ135" i="18"/>
  <c r="CF135" i="18"/>
  <c r="DA134" i="18"/>
  <c r="CV134" i="18"/>
  <c r="CU134" i="18"/>
  <c r="CT134" i="18"/>
  <c r="CS134" i="18"/>
  <c r="CR134" i="18"/>
  <c r="CQ134" i="18"/>
  <c r="CP134" i="18"/>
  <c r="CO134" i="18"/>
  <c r="CN134" i="18"/>
  <c r="CM134" i="18"/>
  <c r="CL134" i="18"/>
  <c r="CK134" i="18"/>
  <c r="CJ134" i="18"/>
  <c r="CF134" i="18"/>
  <c r="DA133" i="18"/>
  <c r="CV133" i="18"/>
  <c r="CU133" i="18"/>
  <c r="CT133" i="18"/>
  <c r="CS133" i="18"/>
  <c r="CR133" i="18"/>
  <c r="CQ133" i="18"/>
  <c r="CP133" i="18"/>
  <c r="CO133" i="18"/>
  <c r="CN133" i="18"/>
  <c r="CM133" i="18"/>
  <c r="CL133" i="18"/>
  <c r="CK133" i="18"/>
  <c r="CJ133" i="18"/>
  <c r="CF133" i="18"/>
  <c r="DA132" i="18"/>
  <c r="CV132" i="18"/>
  <c r="CU132" i="18"/>
  <c r="CT132" i="18"/>
  <c r="CS132" i="18"/>
  <c r="CR132" i="18"/>
  <c r="CQ132" i="18"/>
  <c r="CP132" i="18"/>
  <c r="CO132" i="18"/>
  <c r="CN132" i="18"/>
  <c r="CM132" i="18"/>
  <c r="CL132" i="18"/>
  <c r="CK132" i="18"/>
  <c r="CJ132" i="18"/>
  <c r="CF132" i="18"/>
  <c r="DA131" i="18"/>
  <c r="CV131" i="18"/>
  <c r="CU131" i="18"/>
  <c r="CT131" i="18"/>
  <c r="CS131" i="18"/>
  <c r="CR131" i="18"/>
  <c r="CQ131" i="18"/>
  <c r="CP131" i="18"/>
  <c r="CO131" i="18"/>
  <c r="CN131" i="18"/>
  <c r="CM131" i="18"/>
  <c r="CL131" i="18"/>
  <c r="CK131" i="18"/>
  <c r="CJ131" i="18"/>
  <c r="DA130" i="18"/>
  <c r="CV130" i="18"/>
  <c r="CU130" i="18"/>
  <c r="CT130" i="18"/>
  <c r="CS130" i="18"/>
  <c r="CR130" i="18"/>
  <c r="CQ130" i="18"/>
  <c r="CP130" i="18"/>
  <c r="CO130" i="18"/>
  <c r="CN130" i="18"/>
  <c r="CM130" i="18"/>
  <c r="CL130" i="18"/>
  <c r="CK130" i="18"/>
  <c r="CJ130" i="18"/>
  <c r="DA129" i="18"/>
  <c r="CV129" i="18"/>
  <c r="CU129" i="18"/>
  <c r="CT129" i="18"/>
  <c r="CS129" i="18"/>
  <c r="CR129" i="18"/>
  <c r="CQ129" i="18"/>
  <c r="CP129" i="18"/>
  <c r="CO129" i="18"/>
  <c r="CN129" i="18"/>
  <c r="CM129" i="18"/>
  <c r="CL129" i="18"/>
  <c r="CK129" i="18"/>
  <c r="CJ129" i="18"/>
  <c r="DA128" i="18"/>
  <c r="CV128" i="18"/>
  <c r="CU128" i="18"/>
  <c r="CT128" i="18"/>
  <c r="CS128" i="18"/>
  <c r="CR128" i="18"/>
  <c r="CQ128" i="18"/>
  <c r="CP128" i="18"/>
  <c r="CO128" i="18"/>
  <c r="CN128" i="18"/>
  <c r="CM128" i="18"/>
  <c r="CL128" i="18"/>
  <c r="CK128" i="18"/>
  <c r="CJ128" i="18"/>
  <c r="DA127" i="18"/>
  <c r="CV127" i="18"/>
  <c r="CU127" i="18"/>
  <c r="CT127" i="18"/>
  <c r="CS127" i="18"/>
  <c r="CR127" i="18"/>
  <c r="CQ127" i="18"/>
  <c r="CP127" i="18"/>
  <c r="CO127" i="18"/>
  <c r="CN127" i="18"/>
  <c r="CM127" i="18"/>
  <c r="CL127" i="18"/>
  <c r="CK127" i="18"/>
  <c r="CJ127" i="18"/>
  <c r="DA126" i="18"/>
  <c r="CV126" i="18"/>
  <c r="CU126" i="18"/>
  <c r="CT126" i="18"/>
  <c r="CS126" i="18"/>
  <c r="CR126" i="18"/>
  <c r="CQ126" i="18"/>
  <c r="CP126" i="18"/>
  <c r="CO126" i="18"/>
  <c r="CN126" i="18"/>
  <c r="CM126" i="18"/>
  <c r="CL126" i="18"/>
  <c r="CK126" i="18"/>
  <c r="CJ126" i="18"/>
  <c r="DA125" i="18"/>
  <c r="CV125" i="18"/>
  <c r="CU125" i="18"/>
  <c r="CT125" i="18"/>
  <c r="CS125" i="18"/>
  <c r="CR125" i="18"/>
  <c r="CQ125" i="18"/>
  <c r="CP125" i="18"/>
  <c r="CO125" i="18"/>
  <c r="CN125" i="18"/>
  <c r="CM125" i="18"/>
  <c r="CL125" i="18"/>
  <c r="CK125" i="18"/>
  <c r="CJ125" i="18"/>
  <c r="DA124" i="18"/>
  <c r="CV124" i="18"/>
  <c r="CU124" i="18"/>
  <c r="CT124" i="18"/>
  <c r="CS124" i="18"/>
  <c r="CR124" i="18"/>
  <c r="CQ124" i="18"/>
  <c r="CP124" i="18"/>
  <c r="CO124" i="18"/>
  <c r="CN124" i="18"/>
  <c r="CM124" i="18"/>
  <c r="CL124" i="18"/>
  <c r="CK124" i="18"/>
  <c r="CJ124" i="18"/>
  <c r="DA123" i="18"/>
  <c r="CV123" i="18"/>
  <c r="CU123" i="18"/>
  <c r="CT123" i="18"/>
  <c r="CS123" i="18"/>
  <c r="CR123" i="18"/>
  <c r="CQ123" i="18"/>
  <c r="CP123" i="18"/>
  <c r="CO123" i="18"/>
  <c r="CN123" i="18"/>
  <c r="CM123" i="18"/>
  <c r="CL123" i="18"/>
  <c r="CK123" i="18"/>
  <c r="CJ123" i="18"/>
  <c r="CV122" i="18"/>
  <c r="CU122" i="18"/>
  <c r="CT122" i="18"/>
  <c r="DA121" i="18"/>
  <c r="CV121" i="18"/>
  <c r="CU121" i="18"/>
  <c r="CT121" i="18"/>
  <c r="CS121" i="18"/>
  <c r="CR121" i="18"/>
  <c r="CQ121" i="18"/>
  <c r="CP121" i="18"/>
  <c r="CO121" i="18"/>
  <c r="CN121" i="18"/>
  <c r="CM121" i="18"/>
  <c r="CL121" i="18"/>
  <c r="CK121" i="18"/>
  <c r="CJ121" i="18"/>
  <c r="L121" i="18"/>
  <c r="DA120" i="18"/>
  <c r="CV120" i="18"/>
  <c r="CU120" i="18"/>
  <c r="CT120" i="18"/>
  <c r="CS120" i="18"/>
  <c r="CR120" i="18"/>
  <c r="CQ120" i="18"/>
  <c r="CP120" i="18"/>
  <c r="CO120" i="18"/>
  <c r="CN120" i="18"/>
  <c r="CM120" i="18"/>
  <c r="CL120" i="18"/>
  <c r="CK120" i="18"/>
  <c r="CJ120" i="18"/>
  <c r="H120" i="18"/>
  <c r="CV119" i="18"/>
  <c r="CU119" i="18"/>
  <c r="CT119" i="18"/>
  <c r="CS119" i="18"/>
  <c r="CR119" i="18"/>
  <c r="CQ119" i="18"/>
  <c r="CP119" i="18"/>
  <c r="CO119" i="18"/>
  <c r="CN119" i="18"/>
  <c r="CM119" i="18"/>
  <c r="CL119" i="18"/>
  <c r="CK119" i="18"/>
  <c r="CJ119" i="18"/>
  <c r="CV118" i="18"/>
  <c r="CU118" i="18"/>
  <c r="CT118" i="18"/>
  <c r="CS118" i="18"/>
  <c r="CR118" i="18"/>
  <c r="CQ118" i="18"/>
  <c r="CP118" i="18"/>
  <c r="CO118" i="18"/>
  <c r="CN118" i="18"/>
  <c r="CM118" i="18"/>
  <c r="CL118" i="18"/>
  <c r="CK118" i="18"/>
  <c r="CJ118" i="18"/>
  <c r="CV117" i="18"/>
  <c r="CU117" i="18"/>
  <c r="CT117" i="18"/>
  <c r="CS117" i="18"/>
  <c r="CR117" i="18"/>
  <c r="CQ117" i="18"/>
  <c r="CP117" i="18"/>
  <c r="CO117" i="18"/>
  <c r="CN117" i="18"/>
  <c r="CM117" i="18"/>
  <c r="CL117" i="18"/>
  <c r="CK117" i="18"/>
  <c r="CJ117" i="18"/>
  <c r="CV116" i="18"/>
  <c r="CU116" i="18"/>
  <c r="CT116" i="18"/>
  <c r="CS116" i="18"/>
  <c r="CR116" i="18"/>
  <c r="CQ116" i="18"/>
  <c r="CP116" i="18"/>
  <c r="CO116" i="18"/>
  <c r="CN116" i="18"/>
  <c r="CM116" i="18"/>
  <c r="CL116" i="18"/>
  <c r="CK116" i="18"/>
  <c r="CJ116" i="18"/>
  <c r="CV113" i="18"/>
  <c r="CU113" i="18"/>
  <c r="CT113" i="18"/>
  <c r="CS113" i="18"/>
  <c r="CR113" i="18"/>
  <c r="CQ113" i="18"/>
  <c r="CP113" i="18"/>
  <c r="CO113" i="18"/>
  <c r="CN113" i="18"/>
  <c r="CM113" i="18"/>
  <c r="CL113" i="18"/>
  <c r="CK113" i="18"/>
  <c r="CJ113" i="18"/>
  <c r="CV112" i="18"/>
  <c r="CU112" i="18"/>
  <c r="CT112" i="18"/>
  <c r="DA111" i="18"/>
  <c r="DA110" i="18"/>
  <c r="DA109" i="18"/>
  <c r="DA108" i="18"/>
  <c r="DA105" i="18"/>
  <c r="DA104" i="18"/>
  <c r="DA101" i="18"/>
  <c r="CV100" i="18"/>
  <c r="CU100" i="18"/>
  <c r="CT100" i="18"/>
  <c r="DA99" i="18"/>
  <c r="CV99" i="18"/>
  <c r="CU99" i="18"/>
  <c r="CT99" i="18"/>
  <c r="CS99" i="18"/>
  <c r="CR99" i="18"/>
  <c r="CQ99" i="18"/>
  <c r="CP99" i="18"/>
  <c r="CO99" i="18"/>
  <c r="CN99" i="18"/>
  <c r="CM99" i="18"/>
  <c r="CL99" i="18"/>
  <c r="CK99" i="18"/>
  <c r="CJ99" i="18"/>
  <c r="H99" i="18"/>
  <c r="CV98" i="18"/>
  <c r="CU98" i="18"/>
  <c r="CT98" i="18"/>
  <c r="CV97" i="18"/>
  <c r="CU97" i="18"/>
  <c r="CT97" i="18"/>
  <c r="CV96" i="18"/>
  <c r="CU96" i="18"/>
  <c r="CT96" i="18"/>
  <c r="CV95" i="18"/>
  <c r="CU95" i="18"/>
  <c r="CT95" i="18"/>
  <c r="CV94" i="18"/>
  <c r="CU94" i="18"/>
  <c r="CT94" i="18"/>
  <c r="CV93" i="18"/>
  <c r="CU93" i="18"/>
  <c r="CT93" i="18"/>
  <c r="DA92" i="18"/>
  <c r="CV92" i="18"/>
  <c r="CU92" i="18"/>
  <c r="CT92" i="18"/>
  <c r="CS92" i="18"/>
  <c r="CR92" i="18"/>
  <c r="CQ92" i="18"/>
  <c r="CP92" i="18"/>
  <c r="CO92" i="18"/>
  <c r="CN92" i="18"/>
  <c r="CM92" i="18"/>
  <c r="CL92" i="18"/>
  <c r="CK92" i="18"/>
  <c r="CJ92" i="18"/>
  <c r="DA91" i="18"/>
  <c r="CV91" i="18"/>
  <c r="CU91" i="18"/>
  <c r="CT91" i="18"/>
  <c r="CS91" i="18"/>
  <c r="CR91" i="18"/>
  <c r="CQ91" i="18"/>
  <c r="CP91" i="18"/>
  <c r="CO91" i="18"/>
  <c r="CN91" i="18"/>
  <c r="CM91" i="18"/>
  <c r="CL91" i="18"/>
  <c r="CK91" i="18"/>
  <c r="CJ91" i="18"/>
  <c r="DA90" i="18"/>
  <c r="CV90" i="18"/>
  <c r="CU90" i="18"/>
  <c r="CT90" i="18"/>
  <c r="CS90" i="18"/>
  <c r="CR90" i="18"/>
  <c r="CQ90" i="18"/>
  <c r="CP90" i="18"/>
  <c r="CO90" i="18"/>
  <c r="CN90" i="18"/>
  <c r="CM90" i="18"/>
  <c r="CL90" i="18"/>
  <c r="CK90" i="18"/>
  <c r="CJ90" i="18"/>
  <c r="DA89" i="18"/>
  <c r="CV89" i="18"/>
  <c r="CU89" i="18"/>
  <c r="CT89" i="18"/>
  <c r="CS89" i="18"/>
  <c r="CR89" i="18"/>
  <c r="CQ89" i="18"/>
  <c r="CP89" i="18"/>
  <c r="CO89" i="18"/>
  <c r="CN89" i="18"/>
  <c r="CM89" i="18"/>
  <c r="CL89" i="18"/>
  <c r="CK89" i="18"/>
  <c r="CJ89" i="18"/>
  <c r="CV88" i="18"/>
  <c r="CU88" i="18"/>
  <c r="CV87" i="18"/>
  <c r="CU87" i="18"/>
  <c r="CV86" i="18"/>
  <c r="CU86" i="18"/>
  <c r="CV85" i="18"/>
  <c r="CU85" i="18"/>
  <c r="CV84" i="18"/>
  <c r="CU84" i="18"/>
  <c r="CV83" i="18"/>
  <c r="CU83" i="18"/>
  <c r="CV82" i="18"/>
  <c r="CU82" i="18"/>
  <c r="CT82" i="18"/>
  <c r="DA81" i="18"/>
  <c r="CV81" i="18"/>
  <c r="CU81" i="18"/>
  <c r="CT81" i="18"/>
  <c r="DA80" i="18"/>
  <c r="CV80" i="18"/>
  <c r="CU80" i="18"/>
  <c r="CT80" i="18"/>
  <c r="CV79" i="18"/>
  <c r="CU79" i="18"/>
  <c r="CT79" i="18"/>
  <c r="CV78" i="18"/>
  <c r="CU78" i="18"/>
  <c r="CT78" i="18"/>
  <c r="DA77" i="18"/>
  <c r="CV77" i="18"/>
  <c r="CU77" i="18"/>
  <c r="CT77" i="18"/>
  <c r="CS77" i="18"/>
  <c r="CR77" i="18"/>
  <c r="CQ77" i="18"/>
  <c r="CP77" i="18"/>
  <c r="CO77" i="18"/>
  <c r="CN77" i="18"/>
  <c r="CM77" i="18"/>
  <c r="CL77" i="18"/>
  <c r="CK77" i="18"/>
  <c r="CJ77" i="18"/>
  <c r="CV76" i="18"/>
  <c r="CU76" i="18"/>
  <c r="CT76" i="18"/>
  <c r="CS76" i="18"/>
  <c r="CR76" i="18"/>
  <c r="CQ76" i="18"/>
  <c r="CP76" i="18"/>
  <c r="CO76" i="18"/>
  <c r="CN76" i="18"/>
  <c r="CM76" i="18"/>
  <c r="CL76" i="18"/>
  <c r="CK76" i="18"/>
  <c r="CJ76" i="18"/>
  <c r="CV75" i="18"/>
  <c r="CU75" i="18"/>
  <c r="CT75" i="18"/>
  <c r="CS75" i="18"/>
  <c r="CR75" i="18"/>
  <c r="CQ75" i="18"/>
  <c r="CP75" i="18"/>
  <c r="CO75" i="18"/>
  <c r="CN75" i="18"/>
  <c r="CM75" i="18"/>
  <c r="CL75" i="18"/>
  <c r="CK75" i="18"/>
  <c r="CJ75" i="18"/>
  <c r="CV74" i="18"/>
  <c r="CU74" i="18"/>
  <c r="CT74" i="18"/>
  <c r="CS74" i="18"/>
  <c r="CR74" i="18"/>
  <c r="CQ74" i="18"/>
  <c r="CP74" i="18"/>
  <c r="CO74" i="18"/>
  <c r="CN74" i="18"/>
  <c r="CM74" i="18"/>
  <c r="CL74" i="18"/>
  <c r="CK74" i="18"/>
  <c r="CJ74" i="18"/>
  <c r="CV72" i="18"/>
  <c r="CU72" i="18"/>
  <c r="CT72" i="18"/>
  <c r="CS72" i="18"/>
  <c r="CR72" i="18"/>
  <c r="CQ72" i="18"/>
  <c r="CP72" i="18"/>
  <c r="CO72" i="18"/>
  <c r="CN72" i="18"/>
  <c r="CM72" i="18"/>
  <c r="CL72" i="18"/>
  <c r="CK72" i="18"/>
  <c r="CJ72" i="18"/>
  <c r="CV71" i="18"/>
  <c r="CU71" i="18"/>
  <c r="CT71" i="18"/>
  <c r="CS71" i="18"/>
  <c r="CR71" i="18"/>
  <c r="CQ71" i="18"/>
  <c r="CP71" i="18"/>
  <c r="CO71" i="18"/>
  <c r="CN71" i="18"/>
  <c r="CM71" i="18"/>
  <c r="CL71" i="18"/>
  <c r="CK71" i="18"/>
  <c r="CJ71" i="18"/>
  <c r="CV69" i="18"/>
  <c r="CU69" i="18"/>
  <c r="CT69" i="18"/>
  <c r="CS69" i="18"/>
  <c r="CR69" i="18"/>
  <c r="CQ69" i="18"/>
  <c r="CP69" i="18"/>
  <c r="CO69" i="18"/>
  <c r="CN69" i="18"/>
  <c r="CM69" i="18"/>
  <c r="CL69" i="18"/>
  <c r="CK69" i="18"/>
  <c r="CJ69" i="18"/>
  <c r="CV68" i="18"/>
  <c r="CU68" i="18"/>
  <c r="CT68" i="18"/>
  <c r="CS68" i="18"/>
  <c r="CR68" i="18"/>
  <c r="CQ68" i="18"/>
  <c r="CP68" i="18"/>
  <c r="CO68" i="18"/>
  <c r="CN68" i="18"/>
  <c r="CM68" i="18"/>
  <c r="CL68" i="18"/>
  <c r="CK68" i="18"/>
  <c r="CJ68" i="18"/>
  <c r="DA67" i="18"/>
  <c r="CV67" i="18"/>
  <c r="CU67" i="18"/>
  <c r="CT67" i="18"/>
  <c r="CS67" i="18"/>
  <c r="CR67" i="18"/>
  <c r="CQ67" i="18"/>
  <c r="CP67" i="18"/>
  <c r="CO67" i="18"/>
  <c r="CN67" i="18"/>
  <c r="CM67" i="18"/>
  <c r="CL67" i="18"/>
  <c r="CK67" i="18"/>
  <c r="CJ67" i="18"/>
  <c r="DA66" i="18"/>
  <c r="CV66" i="18"/>
  <c r="CU66" i="18"/>
  <c r="CT66" i="18"/>
  <c r="CS66" i="18"/>
  <c r="CR66" i="18"/>
  <c r="CQ66" i="18"/>
  <c r="CP66" i="18"/>
  <c r="CO66" i="18"/>
  <c r="CN66" i="18"/>
  <c r="CM66" i="18"/>
  <c r="CL66" i="18"/>
  <c r="CK66" i="18"/>
  <c r="CJ66" i="18"/>
  <c r="DA65" i="18"/>
  <c r="CV65" i="18"/>
  <c r="CU65" i="18"/>
  <c r="CT65" i="18"/>
  <c r="CS65" i="18"/>
  <c r="CR65" i="18"/>
  <c r="CQ65" i="18"/>
  <c r="CP65" i="18"/>
  <c r="CO65" i="18"/>
  <c r="CN65" i="18"/>
  <c r="CM65" i="18"/>
  <c r="CL65" i="18"/>
  <c r="CK65" i="18"/>
  <c r="CJ65" i="18"/>
  <c r="DA64" i="18"/>
  <c r="CV64" i="18"/>
  <c r="CU64" i="18"/>
  <c r="CT64" i="18"/>
  <c r="CS64" i="18"/>
  <c r="CR64" i="18"/>
  <c r="CQ64" i="18"/>
  <c r="CP64" i="18"/>
  <c r="CO64" i="18"/>
  <c r="CN64" i="18"/>
  <c r="CM64" i="18"/>
  <c r="CL64" i="18"/>
  <c r="CK64" i="18"/>
  <c r="CJ64" i="18"/>
  <c r="CV63" i="18"/>
  <c r="CU63" i="18"/>
  <c r="CT63" i="18"/>
  <c r="CV62" i="18"/>
  <c r="CU62" i="18"/>
  <c r="CT62" i="18"/>
  <c r="DA61" i="18"/>
  <c r="CV61" i="18"/>
  <c r="CU61" i="18"/>
  <c r="CT61" i="18"/>
  <c r="CS61" i="18"/>
  <c r="CR61" i="18"/>
  <c r="CQ61" i="18"/>
  <c r="CP61" i="18"/>
  <c r="CO61" i="18"/>
  <c r="CN61" i="18"/>
  <c r="CM61" i="18"/>
  <c r="CL61" i="18"/>
  <c r="CK61" i="18"/>
  <c r="CJ61" i="18"/>
  <c r="DA60" i="18"/>
  <c r="CV60" i="18"/>
  <c r="CU60" i="18"/>
  <c r="CT60" i="18"/>
  <c r="CS60" i="18"/>
  <c r="CR60" i="18"/>
  <c r="CQ60" i="18"/>
  <c r="CP60" i="18"/>
  <c r="CO60" i="18"/>
  <c r="CN60" i="18"/>
  <c r="CM60" i="18"/>
  <c r="CL60" i="18"/>
  <c r="CK60" i="18"/>
  <c r="CJ60" i="18"/>
  <c r="DA59" i="18"/>
  <c r="CV59" i="18"/>
  <c r="CU59" i="18"/>
  <c r="CT59" i="18"/>
  <c r="CS59" i="18"/>
  <c r="CR59" i="18"/>
  <c r="CQ59" i="18"/>
  <c r="CP59" i="18"/>
  <c r="CO59" i="18"/>
  <c r="CN59" i="18"/>
  <c r="CM59" i="18"/>
  <c r="CL59" i="18"/>
  <c r="CK59" i="18"/>
  <c r="CJ59" i="18"/>
  <c r="CV57" i="18"/>
  <c r="CS57" i="18"/>
  <c r="CQ57" i="18"/>
  <c r="CP57" i="18"/>
  <c r="CD57" i="18"/>
  <c r="CC57" i="18"/>
  <c r="CU57" i="18" s="1"/>
  <c r="CB57" i="18"/>
  <c r="CT57" i="18" s="1"/>
  <c r="CA57" i="18"/>
  <c r="BZ57" i="18"/>
  <c r="CR57" i="18" s="1"/>
  <c r="BY57" i="18"/>
  <c r="BW57" i="18"/>
  <c r="CO57" i="18" s="1"/>
  <c r="BV57" i="18"/>
  <c r="CN57" i="18" s="1"/>
  <c r="BU57" i="18"/>
  <c r="CM57" i="18" s="1"/>
  <c r="BT57" i="18"/>
  <c r="CL57" i="18" s="1"/>
  <c r="BS57" i="18"/>
  <c r="CK57" i="18" s="1"/>
  <c r="BR57" i="18"/>
  <c r="DA57" i="18" s="1"/>
  <c r="CU56" i="18"/>
  <c r="CS56" i="18"/>
  <c r="CR56" i="18"/>
  <c r="CP56" i="18"/>
  <c r="CO56" i="18"/>
  <c r="CN56" i="18"/>
  <c r="CM56" i="18"/>
  <c r="CL56" i="18"/>
  <c r="CK56" i="18"/>
  <c r="CD56" i="18"/>
  <c r="CV56" i="18" s="1"/>
  <c r="CC56" i="18"/>
  <c r="CB56" i="18"/>
  <c r="CT56" i="18" s="1"/>
  <c r="CA56" i="18"/>
  <c r="BZ56" i="18"/>
  <c r="BY56" i="18"/>
  <c r="CQ56" i="18" s="1"/>
  <c r="BS56" i="18"/>
  <c r="BR56" i="18"/>
  <c r="DA56" i="18" s="1"/>
  <c r="CV55" i="18"/>
  <c r="CS55" i="18"/>
  <c r="CQ55" i="18"/>
  <c r="CP55" i="18"/>
  <c r="CD55" i="18"/>
  <c r="CC55" i="18"/>
  <c r="CU55" i="18" s="1"/>
  <c r="CB55" i="18"/>
  <c r="CT55" i="18" s="1"/>
  <c r="CA55" i="18"/>
  <c r="BZ55" i="18"/>
  <c r="CR55" i="18" s="1"/>
  <c r="BY55" i="18"/>
  <c r="BW55" i="18"/>
  <c r="CO55" i="18" s="1"/>
  <c r="BV55" i="18"/>
  <c r="CN55" i="18" s="1"/>
  <c r="BU55" i="18"/>
  <c r="CM55" i="18" s="1"/>
  <c r="BT55" i="18"/>
  <c r="CL55" i="18" s="1"/>
  <c r="BS55" i="18"/>
  <c r="CK55" i="18" s="1"/>
  <c r="BR55" i="18"/>
  <c r="DA55" i="18" s="1"/>
  <c r="DA54" i="18"/>
  <c r="CV54" i="18"/>
  <c r="CU54" i="18"/>
  <c r="CT54" i="18"/>
  <c r="CS54" i="18"/>
  <c r="CR54" i="18"/>
  <c r="CQ54" i="18"/>
  <c r="CP54" i="18"/>
  <c r="CO54" i="18"/>
  <c r="CN54" i="18"/>
  <c r="CM54" i="18"/>
  <c r="CL54" i="18"/>
  <c r="CK54" i="18"/>
  <c r="CJ54" i="18"/>
  <c r="DA53" i="18"/>
  <c r="CV53" i="18"/>
  <c r="CU53" i="18"/>
  <c r="CT53" i="18"/>
  <c r="CS53" i="18"/>
  <c r="CR53" i="18"/>
  <c r="CQ53" i="18"/>
  <c r="CP53" i="18"/>
  <c r="CO53" i="18"/>
  <c r="CN53" i="18"/>
  <c r="CM53" i="18"/>
  <c r="CL53" i="18"/>
  <c r="CK53" i="18"/>
  <c r="CJ53" i="18"/>
  <c r="DA52" i="18"/>
  <c r="CV52" i="18"/>
  <c r="CU52" i="18"/>
  <c r="CT52" i="18"/>
  <c r="CS52" i="18"/>
  <c r="CR52" i="18"/>
  <c r="CQ52" i="18"/>
  <c r="CP52" i="18"/>
  <c r="CO52" i="18"/>
  <c r="CN52" i="18"/>
  <c r="CM52" i="18"/>
  <c r="CL52" i="18"/>
  <c r="CK52" i="18"/>
  <c r="CJ52" i="18"/>
  <c r="DA50" i="18"/>
  <c r="CV50" i="18"/>
  <c r="CU50" i="18"/>
  <c r="CT50" i="18"/>
  <c r="CS50" i="18"/>
  <c r="CR50" i="18"/>
  <c r="CQ50" i="18"/>
  <c r="CP50" i="18"/>
  <c r="CO50" i="18"/>
  <c r="CN50" i="18"/>
  <c r="CM50" i="18"/>
  <c r="CL50" i="18"/>
  <c r="CK50" i="18"/>
  <c r="CJ50" i="18"/>
  <c r="DA49" i="18"/>
  <c r="CV49" i="18"/>
  <c r="CU49" i="18"/>
  <c r="CT49" i="18"/>
  <c r="CS49" i="18"/>
  <c r="CR49" i="18"/>
  <c r="CQ49" i="18"/>
  <c r="CP49" i="18"/>
  <c r="CO49" i="18"/>
  <c r="CN49" i="18"/>
  <c r="CM49" i="18"/>
  <c r="CL49" i="18"/>
  <c r="CK49" i="18"/>
  <c r="CJ49" i="18"/>
  <c r="DA48" i="18"/>
  <c r="CV48" i="18"/>
  <c r="CU48" i="18"/>
  <c r="CT48" i="18"/>
  <c r="CS48" i="18"/>
  <c r="CR48" i="18"/>
  <c r="CQ48" i="18"/>
  <c r="CP48" i="18"/>
  <c r="CO48" i="18"/>
  <c r="CN48" i="18"/>
  <c r="CM48" i="18"/>
  <c r="CL48" i="18"/>
  <c r="CK48" i="18"/>
  <c r="CJ48" i="18"/>
  <c r="DA47" i="18"/>
  <c r="CV47" i="18"/>
  <c r="CU47" i="18"/>
  <c r="CT47" i="18"/>
  <c r="CS47" i="18"/>
  <c r="CR47" i="18"/>
  <c r="CQ47" i="18"/>
  <c r="CP47" i="18"/>
  <c r="CO47" i="18"/>
  <c r="CN47" i="18"/>
  <c r="CM47" i="18"/>
  <c r="CL47" i="18"/>
  <c r="CK47" i="18"/>
  <c r="CJ47" i="18"/>
  <c r="DA46" i="18"/>
  <c r="CV46" i="18"/>
  <c r="CU46" i="18"/>
  <c r="CT46" i="18"/>
  <c r="CS46" i="18"/>
  <c r="CR46" i="18"/>
  <c r="CQ46" i="18"/>
  <c r="CP46" i="18"/>
  <c r="CO46" i="18"/>
  <c r="CN46" i="18"/>
  <c r="CM46" i="18"/>
  <c r="CL46" i="18"/>
  <c r="CK46" i="18"/>
  <c r="CJ46" i="18"/>
  <c r="DA45" i="18"/>
  <c r="CV45" i="18"/>
  <c r="CU45" i="18"/>
  <c r="CT45" i="18"/>
  <c r="CS45" i="18"/>
  <c r="CR45" i="18"/>
  <c r="CQ45" i="18"/>
  <c r="CP45" i="18"/>
  <c r="CO45" i="18"/>
  <c r="CN45" i="18"/>
  <c r="CM45" i="18"/>
  <c r="CL45" i="18"/>
  <c r="CK45" i="18"/>
  <c r="CJ45" i="18"/>
  <c r="DA44" i="18"/>
  <c r="CV44" i="18"/>
  <c r="CU44" i="18"/>
  <c r="CT44" i="18"/>
  <c r="CS44" i="18"/>
  <c r="CR44" i="18"/>
  <c r="CQ44" i="18"/>
  <c r="CP44" i="18"/>
  <c r="CO44" i="18"/>
  <c r="CN44" i="18"/>
  <c r="CM44" i="18"/>
  <c r="CL44" i="18"/>
  <c r="CK44" i="18"/>
  <c r="CJ44" i="18"/>
  <c r="CV42" i="18"/>
  <c r="CU42" i="18"/>
  <c r="CT42" i="18"/>
  <c r="CS42" i="18"/>
  <c r="CR42" i="18"/>
  <c r="CQ42" i="18"/>
  <c r="CP42" i="18"/>
  <c r="CO42" i="18"/>
  <c r="CN42" i="18"/>
  <c r="CM42" i="18"/>
  <c r="CL42" i="18"/>
  <c r="CK42" i="18"/>
  <c r="CJ42" i="18"/>
  <c r="CV41" i="18"/>
  <c r="CU41" i="18"/>
  <c r="CT41" i="18"/>
  <c r="CS41" i="18"/>
  <c r="CR41" i="18"/>
  <c r="CQ41" i="18"/>
  <c r="CP41" i="18"/>
  <c r="CO41" i="18"/>
  <c r="CN41" i="18"/>
  <c r="CM41" i="18"/>
  <c r="CL41" i="18"/>
  <c r="CK41" i="18"/>
  <c r="CJ41" i="18"/>
  <c r="DA40" i="18"/>
  <c r="CV40" i="18"/>
  <c r="CU40" i="18"/>
  <c r="CT40" i="18"/>
  <c r="CS40" i="18"/>
  <c r="CR40" i="18"/>
  <c r="CQ40" i="18"/>
  <c r="CP40" i="18"/>
  <c r="CO40" i="18"/>
  <c r="CN40" i="18"/>
  <c r="CM40" i="18"/>
  <c r="CL40" i="18"/>
  <c r="CK40" i="18"/>
  <c r="CJ40" i="18"/>
  <c r="DA39" i="18"/>
  <c r="CV39" i="18"/>
  <c r="CU39" i="18"/>
  <c r="CT39" i="18"/>
  <c r="CS39" i="18"/>
  <c r="CR39" i="18"/>
  <c r="CQ39" i="18"/>
  <c r="CP39" i="18"/>
  <c r="CO39" i="18"/>
  <c r="CN39" i="18"/>
  <c r="CM39" i="18"/>
  <c r="CL39" i="18"/>
  <c r="CK39" i="18"/>
  <c r="CJ39" i="18"/>
  <c r="DA38" i="18"/>
  <c r="CV38" i="18"/>
  <c r="CU38" i="18"/>
  <c r="CT38" i="18"/>
  <c r="CS38" i="18"/>
  <c r="CR38" i="18"/>
  <c r="CQ38" i="18"/>
  <c r="CP38" i="18"/>
  <c r="CO38" i="18"/>
  <c r="CN38" i="18"/>
  <c r="CM38" i="18"/>
  <c r="CL38" i="18"/>
  <c r="CK38" i="18"/>
  <c r="CJ38" i="18"/>
  <c r="DA37" i="18"/>
  <c r="CV37" i="18"/>
  <c r="CU37" i="18"/>
  <c r="CT37" i="18"/>
  <c r="CS37" i="18"/>
  <c r="CR37" i="18"/>
  <c r="CQ37" i="18"/>
  <c r="CP37" i="18"/>
  <c r="CO37" i="18"/>
  <c r="CN37" i="18"/>
  <c r="CM37" i="18"/>
  <c r="CL37" i="18"/>
  <c r="CK37" i="18"/>
  <c r="CJ37" i="18"/>
  <c r="DA36" i="18"/>
  <c r="CV36" i="18"/>
  <c r="CU36" i="18"/>
  <c r="CT36" i="18"/>
  <c r="CS36" i="18"/>
  <c r="CR36" i="18"/>
  <c r="CQ36" i="18"/>
  <c r="CP36" i="18"/>
  <c r="CO36" i="18"/>
  <c r="CN36" i="18"/>
  <c r="CM36" i="18"/>
  <c r="CL36" i="18"/>
  <c r="CK36" i="18"/>
  <c r="CJ36" i="18"/>
  <c r="DA35" i="18"/>
  <c r="CV35" i="18"/>
  <c r="CU35" i="18"/>
  <c r="CT35" i="18"/>
  <c r="CS35" i="18"/>
  <c r="CR35" i="18"/>
  <c r="CQ35" i="18"/>
  <c r="CP35" i="18"/>
  <c r="CO35" i="18"/>
  <c r="CN35" i="18"/>
  <c r="CM35" i="18"/>
  <c r="CL35" i="18"/>
  <c r="CK35" i="18"/>
  <c r="CJ35" i="18"/>
  <c r="DA34" i="18"/>
  <c r="DA33" i="18"/>
  <c r="DA32" i="18"/>
  <c r="DA31" i="18"/>
  <c r="CV31" i="18"/>
  <c r="CU31" i="18"/>
  <c r="CT31" i="18"/>
  <c r="CS31" i="18"/>
  <c r="CR31" i="18"/>
  <c r="CQ31" i="18"/>
  <c r="CP31" i="18"/>
  <c r="CO31" i="18"/>
  <c r="CN31" i="18"/>
  <c r="CM31" i="18"/>
  <c r="CL31" i="18"/>
  <c r="CK31" i="18"/>
  <c r="CJ31" i="18"/>
  <c r="DA30" i="18"/>
  <c r="CV30" i="18"/>
  <c r="CU30" i="18"/>
  <c r="CT30" i="18"/>
  <c r="CS30" i="18"/>
  <c r="CR30" i="18"/>
  <c r="CQ30" i="18"/>
  <c r="CP30" i="18"/>
  <c r="CO30" i="18"/>
  <c r="CN30" i="18"/>
  <c r="CM30" i="18"/>
  <c r="CL30" i="18"/>
  <c r="CK30" i="18"/>
  <c r="CJ30" i="18"/>
  <c r="DA29" i="18"/>
  <c r="CV29" i="18"/>
  <c r="CU29" i="18"/>
  <c r="CT29" i="18"/>
  <c r="CS29" i="18"/>
  <c r="CR29" i="18"/>
  <c r="CQ29" i="18"/>
  <c r="CP29" i="18"/>
  <c r="CO29" i="18"/>
  <c r="CN29" i="18"/>
  <c r="CM29" i="18"/>
  <c r="CL29" i="18"/>
  <c r="CK29" i="18"/>
  <c r="CJ29" i="18"/>
  <c r="DA28" i="18"/>
  <c r="CV28" i="18"/>
  <c r="CU28" i="18"/>
  <c r="CT28" i="18"/>
  <c r="CS28" i="18"/>
  <c r="CR28" i="18"/>
  <c r="CQ28" i="18"/>
  <c r="CP28" i="18"/>
  <c r="CO28" i="18"/>
  <c r="CN28" i="18"/>
  <c r="CM28" i="18"/>
  <c r="CL28" i="18"/>
  <c r="CK28" i="18"/>
  <c r="CJ28" i="18"/>
  <c r="DA27" i="18"/>
  <c r="CV27" i="18"/>
  <c r="CU27" i="18"/>
  <c r="CT27" i="18"/>
  <c r="CS27" i="18"/>
  <c r="CR27" i="18"/>
  <c r="CQ27" i="18"/>
  <c r="CP27" i="18"/>
  <c r="CO27" i="18"/>
  <c r="CN27" i="18"/>
  <c r="CM27" i="18"/>
  <c r="CL27" i="18"/>
  <c r="CK27" i="18"/>
  <c r="CJ27" i="18"/>
  <c r="DA26" i="18"/>
  <c r="CV26" i="18"/>
  <c r="CU26" i="18"/>
  <c r="CT26" i="18"/>
  <c r="CS26" i="18"/>
  <c r="CR26" i="18"/>
  <c r="CQ26" i="18"/>
  <c r="CP26" i="18"/>
  <c r="CO26" i="18"/>
  <c r="CN26" i="18"/>
  <c r="CM26" i="18"/>
  <c r="CL26" i="18"/>
  <c r="CK26" i="18"/>
  <c r="CJ26" i="18"/>
  <c r="CV25" i="18"/>
  <c r="CU25" i="18"/>
  <c r="CT25" i="18"/>
  <c r="CS25" i="18"/>
  <c r="CP25" i="18"/>
  <c r="CO25" i="18"/>
  <c r="CN25" i="18"/>
  <c r="CK25" i="18"/>
  <c r="BZ25" i="18"/>
  <c r="CR25" i="18" s="1"/>
  <c r="BY25" i="18"/>
  <c r="CQ25" i="18" s="1"/>
  <c r="BW25" i="18"/>
  <c r="BV25" i="18"/>
  <c r="BU25" i="18"/>
  <c r="CM25" i="18" s="1"/>
  <c r="BT25" i="18"/>
  <c r="CL25" i="18" s="1"/>
  <c r="BR25" i="18"/>
  <c r="DA25" i="18" s="1"/>
  <c r="DA24" i="18"/>
  <c r="CR24" i="18"/>
  <c r="CQ24" i="18"/>
  <c r="CM24" i="18"/>
  <c r="CK24" i="18"/>
  <c r="CD24" i="18"/>
  <c r="CV24" i="18" s="1"/>
  <c r="CC24" i="18"/>
  <c r="CU24" i="18" s="1"/>
  <c r="CB24" i="18"/>
  <c r="CT24" i="18" s="1"/>
  <c r="CA24" i="18"/>
  <c r="CS24" i="18" s="1"/>
  <c r="BZ24" i="18"/>
  <c r="BY24" i="18"/>
  <c r="BX24" i="18"/>
  <c r="CP24" i="18" s="1"/>
  <c r="BW24" i="18"/>
  <c r="CO24" i="18" s="1"/>
  <c r="BV24" i="18"/>
  <c r="CN24" i="18" s="1"/>
  <c r="BU24" i="18"/>
  <c r="BT24" i="18"/>
  <c r="CL24" i="18" s="1"/>
  <c r="BS24" i="18"/>
  <c r="BR24" i="18"/>
  <c r="CJ24" i="18" s="1"/>
  <c r="DA23" i="18"/>
  <c r="CV23" i="18"/>
  <c r="CU23" i="18"/>
  <c r="CT23" i="18"/>
  <c r="CS23" i="18"/>
  <c r="CR23" i="18"/>
  <c r="CQ23" i="18"/>
  <c r="CP23" i="18"/>
  <c r="CO23" i="18"/>
  <c r="CN23" i="18"/>
  <c r="CM23" i="18"/>
  <c r="CL23" i="18"/>
  <c r="CK23" i="18"/>
  <c r="CJ23" i="18"/>
  <c r="DA22" i="18"/>
  <c r="CV22" i="18"/>
  <c r="CR22" i="18"/>
  <c r="CP22" i="18"/>
  <c r="CK22" i="18"/>
  <c r="CJ22" i="18"/>
  <c r="CD22" i="18"/>
  <c r="CC22" i="18"/>
  <c r="CU22" i="18" s="1"/>
  <c r="CB22" i="18"/>
  <c r="CT22" i="18" s="1"/>
  <c r="CA22" i="18"/>
  <c r="CS22" i="18" s="1"/>
  <c r="BZ22" i="18"/>
  <c r="BY22" i="18"/>
  <c r="CQ22" i="18" s="1"/>
  <c r="BX22" i="18"/>
  <c r="BW22" i="18"/>
  <c r="CO22" i="18" s="1"/>
  <c r="BV22" i="18"/>
  <c r="CN22" i="18" s="1"/>
  <c r="BU22" i="18"/>
  <c r="CM22" i="18" s="1"/>
  <c r="BT22" i="18"/>
  <c r="CL22" i="18" s="1"/>
  <c r="BS22" i="18"/>
  <c r="BR22" i="18"/>
  <c r="DA21" i="18"/>
  <c r="CV21" i="18"/>
  <c r="CU21" i="18"/>
  <c r="CT21" i="18"/>
  <c r="CS21" i="18"/>
  <c r="CR21" i="18"/>
  <c r="CQ21" i="18"/>
  <c r="CP21" i="18"/>
  <c r="CO21" i="18"/>
  <c r="CN21" i="18"/>
  <c r="CM21" i="18"/>
  <c r="CL21" i="18"/>
  <c r="CK21" i="18"/>
  <c r="CJ21" i="18"/>
  <c r="DA20" i="18"/>
  <c r="CV20" i="18"/>
  <c r="CU20" i="18"/>
  <c r="CT20" i="18"/>
  <c r="CS20" i="18"/>
  <c r="CR20" i="18"/>
  <c r="CQ20" i="18"/>
  <c r="CP20" i="18"/>
  <c r="CO20" i="18"/>
  <c r="CN20" i="18"/>
  <c r="CM20" i="18"/>
  <c r="CL20" i="18"/>
  <c r="CK20" i="18"/>
  <c r="CJ20" i="18"/>
  <c r="CV19" i="18"/>
  <c r="CP19" i="18"/>
  <c r="CV18" i="18"/>
  <c r="CU18" i="18"/>
  <c r="CT18" i="18"/>
  <c r="CS18" i="18"/>
  <c r="CR18" i="18"/>
  <c r="CQ18" i="18"/>
  <c r="CP18" i="18"/>
  <c r="CO18" i="18"/>
  <c r="CN18" i="18"/>
  <c r="CM18" i="18"/>
  <c r="CL18" i="18"/>
  <c r="CK18" i="18"/>
  <c r="CJ18" i="18"/>
  <c r="CV17" i="18"/>
  <c r="CU17" i="18"/>
  <c r="CT17" i="18"/>
  <c r="CS17" i="18"/>
  <c r="CR17" i="18"/>
  <c r="CQ17" i="18"/>
  <c r="CP17" i="18"/>
  <c r="CO17" i="18"/>
  <c r="CN17" i="18"/>
  <c r="CM17" i="18"/>
  <c r="CL17" i="18"/>
  <c r="CK17" i="18"/>
  <c r="CJ17" i="18"/>
  <c r="CV16" i="18"/>
  <c r="CU16" i="18"/>
  <c r="CT16" i="18"/>
  <c r="CS16" i="18"/>
  <c r="CR16" i="18"/>
  <c r="CQ16" i="18"/>
  <c r="CP16" i="18"/>
  <c r="CO16" i="18"/>
  <c r="CN16" i="18"/>
  <c r="CM16" i="18"/>
  <c r="CL16" i="18"/>
  <c r="CK16" i="18"/>
  <c r="CJ16" i="18"/>
  <c r="CV15" i="18"/>
  <c r="CU15" i="18"/>
  <c r="CT15" i="18"/>
  <c r="CS15" i="18"/>
  <c r="CR15" i="18"/>
  <c r="CQ15" i="18"/>
  <c r="CP15" i="18"/>
  <c r="CO15" i="18"/>
  <c r="CN15" i="18"/>
  <c r="CM15" i="18"/>
  <c r="CL15" i="18"/>
  <c r="CK15" i="18"/>
  <c r="CJ15" i="18"/>
  <c r="DA13" i="18"/>
  <c r="DA12" i="18"/>
  <c r="DA10" i="18"/>
  <c r="CV10" i="18"/>
  <c r="CU10" i="18"/>
  <c r="CT10" i="18"/>
  <c r="CS10" i="18"/>
  <c r="CR10" i="18"/>
  <c r="CQ10" i="18"/>
  <c r="CP10" i="18"/>
  <c r="CO10" i="18"/>
  <c r="CN10" i="18"/>
  <c r="CM10" i="18"/>
  <c r="CL10" i="18"/>
  <c r="CK10" i="18"/>
  <c r="CJ10" i="18"/>
  <c r="CV9" i="18"/>
  <c r="CU9" i="18"/>
  <c r="CT9" i="18"/>
  <c r="L9" i="18"/>
  <c r="DA8" i="18"/>
  <c r="AD8" i="18"/>
  <c r="AC8" i="18"/>
  <c r="X8" i="18"/>
  <c r="W8" i="18"/>
  <c r="Q3" i="18"/>
  <c r="P3" i="18"/>
  <c r="T29" i="18" s="1"/>
  <c r="E76" i="17"/>
  <c r="E75" i="17"/>
  <c r="E77" i="17" s="1"/>
  <c r="D7" i="17"/>
  <c r="E7" i="17" s="1"/>
  <c r="F3" i="17"/>
  <c r="F2" i="17"/>
  <c r="D64" i="16"/>
  <c r="E43" i="16"/>
  <c r="D43" i="16"/>
  <c r="E42" i="16"/>
  <c r="D42" i="16"/>
  <c r="E41" i="16"/>
  <c r="D41" i="16"/>
  <c r="E39" i="16"/>
  <c r="D39" i="16"/>
  <c r="E38" i="16"/>
  <c r="D38" i="16"/>
  <c r="E36" i="16"/>
  <c r="D36" i="16"/>
  <c r="D7" i="16"/>
  <c r="E7" i="16" s="1"/>
  <c r="F3" i="16"/>
  <c r="F2" i="16"/>
  <c r="I127" i="6"/>
  <c r="F121" i="6"/>
  <c r="F127" i="6" s="1"/>
  <c r="F120" i="6"/>
  <c r="F126" i="6" s="1"/>
  <c r="R25" i="6"/>
  <c r="R24" i="6"/>
  <c r="S23" i="6"/>
  <c r="R23" i="6"/>
  <c r="S22" i="6"/>
  <c r="R22" i="6"/>
  <c r="F22" i="6"/>
  <c r="H35" i="15" s="1"/>
  <c r="U21" i="6"/>
  <c r="T21" i="6"/>
  <c r="S21" i="6"/>
  <c r="R21" i="6"/>
  <c r="F21" i="6"/>
  <c r="H40" i="15" s="1"/>
  <c r="S20" i="6"/>
  <c r="R20" i="6"/>
  <c r="F20" i="6"/>
  <c r="I88" i="6" s="1"/>
  <c r="S19" i="6"/>
  <c r="R19" i="6"/>
  <c r="R18" i="6"/>
  <c r="N18" i="6"/>
  <c r="S17" i="6"/>
  <c r="R17" i="6"/>
  <c r="N17" i="6"/>
  <c r="S16" i="6"/>
  <c r="R16" i="6"/>
  <c r="N16" i="6"/>
  <c r="R15" i="6"/>
  <c r="N15" i="6"/>
  <c r="S14" i="6"/>
  <c r="R14" i="6"/>
  <c r="N14" i="6"/>
  <c r="S13" i="6"/>
  <c r="R13" i="6"/>
  <c r="N13" i="6"/>
  <c r="S12" i="6"/>
  <c r="R12" i="6"/>
  <c r="N12" i="6"/>
  <c r="AA11" i="6"/>
  <c r="S11" i="6"/>
  <c r="R11" i="6"/>
  <c r="N11" i="6"/>
  <c r="R10" i="6"/>
  <c r="S9" i="6"/>
  <c r="R9" i="6"/>
  <c r="R8" i="6"/>
  <c r="N3" i="6"/>
  <c r="B3" i="6"/>
  <c r="F269" i="14"/>
  <c r="F268" i="14"/>
  <c r="F267" i="14"/>
  <c r="F266" i="14"/>
  <c r="F265" i="14"/>
  <c r="O260" i="14"/>
  <c r="G253" i="14"/>
  <c r="F245" i="14" s="1"/>
  <c r="F238" i="14"/>
  <c r="F237" i="14"/>
  <c r="F236" i="14"/>
  <c r="F235" i="14"/>
  <c r="F234" i="14"/>
  <c r="O229" i="14"/>
  <c r="G229" i="14"/>
  <c r="G223" i="14" s="1"/>
  <c r="F215" i="14" s="1"/>
  <c r="F210" i="14"/>
  <c r="F209" i="14"/>
  <c r="F208" i="14"/>
  <c r="F207" i="14"/>
  <c r="F206" i="14"/>
  <c r="F199" i="14"/>
  <c r="F198" i="14"/>
  <c r="F197" i="14"/>
  <c r="F196" i="14"/>
  <c r="F195" i="14"/>
  <c r="F178" i="14"/>
  <c r="F177" i="14"/>
  <c r="F176" i="14"/>
  <c r="F175" i="14"/>
  <c r="F174" i="14"/>
  <c r="F150" i="14"/>
  <c r="F149" i="14"/>
  <c r="F148" i="14"/>
  <c r="F147" i="14"/>
  <c r="F146" i="14"/>
  <c r="O139" i="14"/>
  <c r="M139" i="14"/>
  <c r="K139" i="14"/>
  <c r="G112" i="14"/>
  <c r="F104" i="14" s="1"/>
  <c r="F106" i="14" s="1"/>
  <c r="F99" i="14"/>
  <c r="F98" i="14"/>
  <c r="F97" i="14"/>
  <c r="F96" i="14"/>
  <c r="F95" i="14"/>
  <c r="F89" i="14"/>
  <c r="F88" i="14"/>
  <c r="F87" i="14"/>
  <c r="F86" i="14"/>
  <c r="F85" i="14"/>
  <c r="O79" i="14"/>
  <c r="G57" i="14"/>
  <c r="F38" i="14" s="1"/>
  <c r="N66" i="14"/>
  <c r="N55" i="14"/>
  <c r="O54" i="14"/>
  <c r="O55" i="14" s="1"/>
  <c r="T574" i="5" s="1"/>
  <c r="L54" i="14"/>
  <c r="L55" i="14" s="1"/>
  <c r="O574" i="5" s="1"/>
  <c r="I54" i="14"/>
  <c r="K52" i="14"/>
  <c r="J52" i="14"/>
  <c r="I52" i="14"/>
  <c r="N49" i="14"/>
  <c r="M49" i="14"/>
  <c r="L49" i="14"/>
  <c r="K49" i="14"/>
  <c r="H45" i="14"/>
  <c r="N64" i="14" s="1"/>
  <c r="F33" i="14"/>
  <c r="F32" i="14"/>
  <c r="F31" i="14"/>
  <c r="F30" i="14"/>
  <c r="F29" i="14"/>
  <c r="J10" i="14"/>
  <c r="O9" i="14"/>
  <c r="J9" i="14"/>
  <c r="O5" i="14"/>
  <c r="O4" i="14"/>
  <c r="O3" i="14"/>
  <c r="N1" i="14"/>
  <c r="F294" i="13"/>
  <c r="F293" i="13"/>
  <c r="F292" i="13"/>
  <c r="F291" i="13"/>
  <c r="F290" i="13"/>
  <c r="F228" i="13"/>
  <c r="F227" i="13"/>
  <c r="F226" i="13"/>
  <c r="F225" i="13"/>
  <c r="F224" i="13"/>
  <c r="F217" i="13"/>
  <c r="F216" i="13"/>
  <c r="F215" i="13"/>
  <c r="F214" i="13"/>
  <c r="F213" i="13"/>
  <c r="L207" i="13"/>
  <c r="G197" i="13" s="1"/>
  <c r="F189" i="13" s="1"/>
  <c r="H184" i="13"/>
  <c r="F174" i="13"/>
  <c r="F169" i="13"/>
  <c r="F171" i="13" s="1"/>
  <c r="G165" i="13"/>
  <c r="F147" i="13" s="1"/>
  <c r="L162" i="13"/>
  <c r="K152" i="13"/>
  <c r="K147" i="13"/>
  <c r="K148" i="13" s="1"/>
  <c r="K143" i="13"/>
  <c r="F143" i="13"/>
  <c r="K142" i="13"/>
  <c r="F142" i="13"/>
  <c r="K141" i="13"/>
  <c r="F141" i="13"/>
  <c r="K140" i="13"/>
  <c r="F140" i="13"/>
  <c r="K139" i="13"/>
  <c r="F139" i="13"/>
  <c r="K134" i="13"/>
  <c r="F134" i="13"/>
  <c r="K133" i="13"/>
  <c r="F133" i="13"/>
  <c r="K132" i="13"/>
  <c r="F132" i="13"/>
  <c r="K131" i="13"/>
  <c r="F131" i="13"/>
  <c r="K130" i="13"/>
  <c r="F130" i="13"/>
  <c r="G126" i="13"/>
  <c r="G346" i="5" s="1"/>
  <c r="F106" i="13"/>
  <c r="F105" i="13"/>
  <c r="F104" i="13"/>
  <c r="F103" i="13"/>
  <c r="F102" i="13"/>
  <c r="F92" i="13"/>
  <c r="F91" i="13"/>
  <c r="F90" i="13"/>
  <c r="F89" i="13"/>
  <c r="F88" i="13"/>
  <c r="J83" i="13"/>
  <c r="J82" i="13"/>
  <c r="J81" i="13"/>
  <c r="J80" i="13"/>
  <c r="J79" i="13"/>
  <c r="F76" i="13"/>
  <c r="F75" i="13"/>
  <c r="F74" i="13"/>
  <c r="F73" i="13"/>
  <c r="F72" i="13"/>
  <c r="F66" i="13"/>
  <c r="F65" i="13"/>
  <c r="F64" i="13"/>
  <c r="F63" i="13"/>
  <c r="F62" i="13"/>
  <c r="O57" i="13"/>
  <c r="G57" i="13"/>
  <c r="G341" i="5" s="1"/>
  <c r="M49" i="13"/>
  <c r="M48" i="13"/>
  <c r="M47" i="13"/>
  <c r="M46" i="13"/>
  <c r="M45" i="13"/>
  <c r="L38" i="13"/>
  <c r="L33" i="13"/>
  <c r="K30" i="13"/>
  <c r="F30" i="13"/>
  <c r="K29" i="13"/>
  <c r="F29" i="13"/>
  <c r="K28" i="13"/>
  <c r="F28" i="13"/>
  <c r="K27" i="13"/>
  <c r="F27" i="13"/>
  <c r="K26" i="13"/>
  <c r="F26" i="13"/>
  <c r="F19" i="13"/>
  <c r="F18" i="13"/>
  <c r="F17" i="13"/>
  <c r="F16" i="13"/>
  <c r="F15" i="13"/>
  <c r="J10" i="13"/>
  <c r="O9" i="13"/>
  <c r="J9" i="13"/>
  <c r="O5" i="13"/>
  <c r="O4" i="13"/>
  <c r="O3" i="13"/>
  <c r="M1" i="13"/>
  <c r="O139" i="10"/>
  <c r="N124" i="10"/>
  <c r="G121" i="10"/>
  <c r="F100" i="10" s="1"/>
  <c r="J116" i="10"/>
  <c r="J54" i="14" s="1"/>
  <c r="M114" i="10"/>
  <c r="M52" i="14" s="1"/>
  <c r="I114" i="10"/>
  <c r="O111" i="10" s="1"/>
  <c r="I111" i="10" s="1"/>
  <c r="H111" i="10" s="1"/>
  <c r="L112" i="10"/>
  <c r="K112" i="10"/>
  <c r="L50" i="14" s="1"/>
  <c r="O96" i="10"/>
  <c r="F66" i="10"/>
  <c r="O61" i="10"/>
  <c r="F45" i="10"/>
  <c r="O41" i="10"/>
  <c r="N29" i="10"/>
  <c r="G24" i="10"/>
  <c r="F13" i="10" s="1"/>
  <c r="G21" i="10"/>
  <c r="J10" i="10"/>
  <c r="O9" i="10"/>
  <c r="J9" i="10"/>
  <c r="O5" i="10"/>
  <c r="O4" i="10"/>
  <c r="O3" i="10"/>
  <c r="N1" i="10"/>
  <c r="K422" i="9"/>
  <c r="F422" i="9"/>
  <c r="K421" i="9"/>
  <c r="F421" i="9"/>
  <c r="K420" i="9"/>
  <c r="F420" i="9"/>
  <c r="K419" i="9"/>
  <c r="F419" i="9"/>
  <c r="K418" i="9"/>
  <c r="F418" i="9"/>
  <c r="E418" i="9"/>
  <c r="K412" i="9"/>
  <c r="F412" i="9"/>
  <c r="K411" i="9"/>
  <c r="F411" i="9"/>
  <c r="K410" i="9"/>
  <c r="F410" i="9"/>
  <c r="K409" i="9"/>
  <c r="F409" i="9"/>
  <c r="K408" i="9"/>
  <c r="F408" i="9"/>
  <c r="K402" i="9"/>
  <c r="F402" i="9"/>
  <c r="K401" i="9"/>
  <c r="F401" i="9"/>
  <c r="K400" i="9"/>
  <c r="F400" i="9"/>
  <c r="K399" i="9"/>
  <c r="F399" i="9"/>
  <c r="K398" i="9"/>
  <c r="F398" i="9"/>
  <c r="M390" i="9"/>
  <c r="F390" i="9"/>
  <c r="M389" i="9"/>
  <c r="F389" i="9"/>
  <c r="M388" i="9"/>
  <c r="F388" i="9"/>
  <c r="M387" i="9"/>
  <c r="F387" i="9"/>
  <c r="M386" i="9"/>
  <c r="F386" i="9"/>
  <c r="K378" i="9"/>
  <c r="F378" i="9"/>
  <c r="K377" i="9"/>
  <c r="F377" i="9"/>
  <c r="K376" i="9"/>
  <c r="F376" i="9"/>
  <c r="K375" i="9"/>
  <c r="F375" i="9"/>
  <c r="K374" i="9"/>
  <c r="F374" i="9"/>
  <c r="K367" i="9"/>
  <c r="F367" i="9"/>
  <c r="K366" i="9"/>
  <c r="F366" i="9"/>
  <c r="K365" i="9"/>
  <c r="F365" i="9"/>
  <c r="K364" i="9"/>
  <c r="F364" i="9"/>
  <c r="K363" i="9"/>
  <c r="F363" i="9"/>
  <c r="G356" i="9"/>
  <c r="G349" i="9" s="1"/>
  <c r="F341" i="9" s="1"/>
  <c r="F336" i="9"/>
  <c r="F335" i="9"/>
  <c r="F334" i="9"/>
  <c r="F333" i="9"/>
  <c r="F332" i="9"/>
  <c r="M327" i="9"/>
  <c r="O327" i="9" s="1"/>
  <c r="I327" i="9"/>
  <c r="K327" i="9" s="1"/>
  <c r="I308" i="9"/>
  <c r="G284" i="5" s="1"/>
  <c r="G288" i="9"/>
  <c r="O288" i="9" s="1"/>
  <c r="F268" i="9"/>
  <c r="F267" i="9"/>
  <c r="F266" i="9"/>
  <c r="F265" i="9"/>
  <c r="F264" i="9"/>
  <c r="K258" i="9"/>
  <c r="F258" i="9"/>
  <c r="K257" i="9"/>
  <c r="F257" i="9"/>
  <c r="K256" i="9"/>
  <c r="F256" i="9"/>
  <c r="K255" i="9"/>
  <c r="F255" i="9"/>
  <c r="K254" i="9"/>
  <c r="F254" i="9"/>
  <c r="K246" i="9"/>
  <c r="F246" i="9"/>
  <c r="K245" i="9"/>
  <c r="F245" i="9"/>
  <c r="K244" i="9"/>
  <c r="F244" i="9"/>
  <c r="K243" i="9"/>
  <c r="F243" i="9"/>
  <c r="K242" i="9"/>
  <c r="F242" i="9"/>
  <c r="K235" i="9"/>
  <c r="F235" i="9"/>
  <c r="K234" i="9"/>
  <c r="F234" i="9"/>
  <c r="K233" i="9"/>
  <c r="F233" i="9"/>
  <c r="K232" i="9"/>
  <c r="F232" i="9"/>
  <c r="K231" i="9"/>
  <c r="F231" i="9"/>
  <c r="K224" i="9"/>
  <c r="F224" i="9"/>
  <c r="K223" i="9"/>
  <c r="F223" i="9"/>
  <c r="K222" i="9"/>
  <c r="F222" i="9"/>
  <c r="K221" i="9"/>
  <c r="F221" i="9"/>
  <c r="K220" i="9"/>
  <c r="F220" i="9"/>
  <c r="K213" i="9"/>
  <c r="F213" i="9"/>
  <c r="K212" i="9"/>
  <c r="F212" i="9"/>
  <c r="K211" i="9"/>
  <c r="F211" i="9"/>
  <c r="K210" i="9"/>
  <c r="F210" i="9"/>
  <c r="K209" i="9"/>
  <c r="F209" i="9"/>
  <c r="O202" i="9"/>
  <c r="K202" i="9"/>
  <c r="G192" i="9" s="1"/>
  <c r="F184" i="9" s="1"/>
  <c r="G202" i="9"/>
  <c r="G172" i="9"/>
  <c r="G160" i="9"/>
  <c r="G154" i="9"/>
  <c r="G140" i="9" s="1"/>
  <c r="F132" i="9" s="1"/>
  <c r="O128" i="9"/>
  <c r="G128" i="9"/>
  <c r="G121" i="9"/>
  <c r="O119" i="9"/>
  <c r="G119" i="9"/>
  <c r="G111" i="9" s="1"/>
  <c r="G108" i="9"/>
  <c r="G94" i="9" s="1"/>
  <c r="F86" i="9" s="1"/>
  <c r="L81" i="9"/>
  <c r="L76" i="9" s="1"/>
  <c r="G81" i="9"/>
  <c r="G261" i="5" s="1"/>
  <c r="F63" i="9"/>
  <c r="F62" i="9"/>
  <c r="F61" i="9"/>
  <c r="F60" i="9"/>
  <c r="F59" i="9"/>
  <c r="M53" i="9"/>
  <c r="F53" i="9"/>
  <c r="M52" i="9"/>
  <c r="F52" i="9"/>
  <c r="M51" i="9"/>
  <c r="F51" i="9"/>
  <c r="M50" i="9"/>
  <c r="F50" i="9"/>
  <c r="M49" i="9"/>
  <c r="F49" i="9"/>
  <c r="F42" i="9"/>
  <c r="F41" i="9"/>
  <c r="F40" i="9"/>
  <c r="F39" i="9"/>
  <c r="F38" i="9"/>
  <c r="K31" i="9"/>
  <c r="F31" i="9"/>
  <c r="K30" i="9"/>
  <c r="F30" i="9"/>
  <c r="K29" i="9"/>
  <c r="F29" i="9"/>
  <c r="K28" i="9"/>
  <c r="F28" i="9"/>
  <c r="K27" i="9"/>
  <c r="F27" i="9"/>
  <c r="K20" i="9"/>
  <c r="F20" i="9"/>
  <c r="K19" i="9"/>
  <c r="F19" i="9"/>
  <c r="K18" i="9"/>
  <c r="F18" i="9"/>
  <c r="K17" i="9"/>
  <c r="F17" i="9"/>
  <c r="K16" i="9"/>
  <c r="F16" i="9"/>
  <c r="J10" i="9"/>
  <c r="O9" i="9"/>
  <c r="J9" i="9"/>
  <c r="O6" i="9"/>
  <c r="O5" i="9"/>
  <c r="O4" i="9"/>
  <c r="O3" i="9"/>
  <c r="N1" i="9"/>
  <c r="K475" i="8"/>
  <c r="F475" i="8"/>
  <c r="K474" i="8"/>
  <c r="F474" i="8"/>
  <c r="K473" i="8"/>
  <c r="F473" i="8"/>
  <c r="K472" i="8"/>
  <c r="F472" i="8"/>
  <c r="K471" i="8"/>
  <c r="F471" i="8"/>
  <c r="K464" i="8"/>
  <c r="F464" i="8"/>
  <c r="K463" i="8"/>
  <c r="F463" i="8"/>
  <c r="K462" i="8"/>
  <c r="F462" i="8"/>
  <c r="K461" i="8"/>
  <c r="F461" i="8"/>
  <c r="K460" i="8"/>
  <c r="F460" i="8"/>
  <c r="K455" i="8"/>
  <c r="F455" i="8"/>
  <c r="K454" i="8"/>
  <c r="F454" i="8"/>
  <c r="K453" i="8"/>
  <c r="F453" i="8"/>
  <c r="K452" i="8"/>
  <c r="F452" i="8"/>
  <c r="K451" i="8"/>
  <c r="F451" i="8"/>
  <c r="H446" i="8"/>
  <c r="K444" i="8"/>
  <c r="F444" i="8"/>
  <c r="K443" i="8"/>
  <c r="F443" i="8"/>
  <c r="K442" i="8"/>
  <c r="F442" i="8"/>
  <c r="K441" i="8"/>
  <c r="F441" i="8"/>
  <c r="K440" i="8"/>
  <c r="F440" i="8"/>
  <c r="K434" i="8"/>
  <c r="F434" i="8"/>
  <c r="K433" i="8"/>
  <c r="F433" i="8"/>
  <c r="K432" i="8"/>
  <c r="F432" i="8"/>
  <c r="K431" i="8"/>
  <c r="F431" i="8"/>
  <c r="K430" i="8"/>
  <c r="F430" i="8"/>
  <c r="K423" i="8"/>
  <c r="F423" i="8"/>
  <c r="K422" i="8"/>
  <c r="F422" i="8"/>
  <c r="K421" i="8"/>
  <c r="F421" i="8"/>
  <c r="K420" i="8"/>
  <c r="F420" i="8"/>
  <c r="K419" i="8"/>
  <c r="F419" i="8"/>
  <c r="K414" i="8"/>
  <c r="F414" i="8"/>
  <c r="K413" i="8"/>
  <c r="F413" i="8"/>
  <c r="K412" i="8"/>
  <c r="F412" i="8"/>
  <c r="K411" i="8"/>
  <c r="F411" i="8"/>
  <c r="K410" i="8"/>
  <c r="F410" i="8"/>
  <c r="K405" i="8"/>
  <c r="F405" i="8"/>
  <c r="K404" i="8"/>
  <c r="F404" i="8"/>
  <c r="K403" i="8"/>
  <c r="F403" i="8"/>
  <c r="K402" i="8"/>
  <c r="F402" i="8"/>
  <c r="K401" i="8"/>
  <c r="F401" i="8"/>
  <c r="K395" i="8"/>
  <c r="F395" i="8"/>
  <c r="K394" i="8"/>
  <c r="F394" i="8"/>
  <c r="K393" i="8"/>
  <c r="F393" i="8"/>
  <c r="K392" i="8"/>
  <c r="F392" i="8"/>
  <c r="K391" i="8"/>
  <c r="F391" i="8"/>
  <c r="K366" i="8"/>
  <c r="F366" i="8"/>
  <c r="K365" i="8"/>
  <c r="F365" i="8"/>
  <c r="K364" i="8"/>
  <c r="F364" i="8"/>
  <c r="K363" i="8"/>
  <c r="F363" i="8"/>
  <c r="K362" i="8"/>
  <c r="F362" i="8"/>
  <c r="M357" i="8"/>
  <c r="F357" i="8"/>
  <c r="M356" i="8"/>
  <c r="F356" i="8"/>
  <c r="M355" i="8"/>
  <c r="F355" i="8"/>
  <c r="M354" i="8"/>
  <c r="F354" i="8"/>
  <c r="M353" i="8"/>
  <c r="F353" i="8"/>
  <c r="F342" i="8"/>
  <c r="F341" i="8"/>
  <c r="F340" i="8"/>
  <c r="F339" i="8"/>
  <c r="F338" i="8"/>
  <c r="K332" i="8"/>
  <c r="F332" i="8"/>
  <c r="K331" i="8"/>
  <c r="F331" i="8"/>
  <c r="K330" i="8"/>
  <c r="F330" i="8"/>
  <c r="K329" i="8"/>
  <c r="F329" i="8"/>
  <c r="K328" i="8"/>
  <c r="F328" i="8"/>
  <c r="K323" i="8"/>
  <c r="F323" i="8"/>
  <c r="K322" i="8"/>
  <c r="F322" i="8"/>
  <c r="K321" i="8"/>
  <c r="F321" i="8"/>
  <c r="K320" i="8"/>
  <c r="F320" i="8"/>
  <c r="K319" i="8"/>
  <c r="F319" i="8"/>
  <c r="K312" i="8"/>
  <c r="F312" i="8"/>
  <c r="K311" i="8"/>
  <c r="F311" i="8"/>
  <c r="K310" i="8"/>
  <c r="F310" i="8"/>
  <c r="K309" i="8"/>
  <c r="F309" i="8"/>
  <c r="K308" i="8"/>
  <c r="F308" i="8"/>
  <c r="F302" i="8"/>
  <c r="F301" i="8"/>
  <c r="F300" i="8"/>
  <c r="F299" i="8"/>
  <c r="F298" i="8"/>
  <c r="K291" i="8"/>
  <c r="F291" i="8"/>
  <c r="K290" i="8"/>
  <c r="F290" i="8"/>
  <c r="K289" i="8"/>
  <c r="F289" i="8"/>
  <c r="K288" i="8"/>
  <c r="F288" i="8"/>
  <c r="K287" i="8"/>
  <c r="F287" i="8"/>
  <c r="K279" i="8"/>
  <c r="F279" i="8"/>
  <c r="K278" i="8"/>
  <c r="F278" i="8"/>
  <c r="K277" i="8"/>
  <c r="F277" i="8"/>
  <c r="K276" i="8"/>
  <c r="F276" i="8"/>
  <c r="K275" i="8"/>
  <c r="F275" i="8"/>
  <c r="K235" i="8"/>
  <c r="F235" i="8"/>
  <c r="K234" i="8"/>
  <c r="F234" i="8"/>
  <c r="K233" i="8"/>
  <c r="F233" i="8"/>
  <c r="K232" i="8"/>
  <c r="F232" i="8"/>
  <c r="K231" i="8"/>
  <c r="F231" i="8"/>
  <c r="F226" i="8"/>
  <c r="F225" i="8"/>
  <c r="F224" i="8"/>
  <c r="F223" i="8"/>
  <c r="F222" i="8"/>
  <c r="K217" i="8"/>
  <c r="F217" i="8"/>
  <c r="K216" i="8"/>
  <c r="F216" i="8"/>
  <c r="K215" i="8"/>
  <c r="F215" i="8"/>
  <c r="K214" i="8"/>
  <c r="F214" i="8"/>
  <c r="K213" i="8"/>
  <c r="F213" i="8"/>
  <c r="F208" i="8"/>
  <c r="F207" i="8"/>
  <c r="F206" i="8"/>
  <c r="F205" i="8"/>
  <c r="F204" i="8"/>
  <c r="F176" i="8"/>
  <c r="F175" i="8"/>
  <c r="F174" i="8"/>
  <c r="F173" i="8"/>
  <c r="F172" i="8"/>
  <c r="K148" i="8"/>
  <c r="F148" i="8"/>
  <c r="K147" i="8"/>
  <c r="F147" i="8"/>
  <c r="K146" i="8"/>
  <c r="F146" i="8"/>
  <c r="K145" i="8"/>
  <c r="F145" i="8"/>
  <c r="K144" i="8"/>
  <c r="F144" i="8"/>
  <c r="F113" i="8"/>
  <c r="G70" i="8"/>
  <c r="G63" i="8"/>
  <c r="G60" i="8"/>
  <c r="F60" i="8"/>
  <c r="G51" i="8"/>
  <c r="F51" i="8"/>
  <c r="L19" i="8"/>
  <c r="F19" i="8"/>
  <c r="L18" i="8"/>
  <c r="F18" i="8"/>
  <c r="L17" i="8"/>
  <c r="F17" i="8"/>
  <c r="L16" i="8"/>
  <c r="F16" i="8"/>
  <c r="L15" i="8"/>
  <c r="F15" i="8"/>
  <c r="O9" i="8"/>
  <c r="F118" i="8" s="1"/>
  <c r="O6" i="8"/>
  <c r="O5" i="8"/>
  <c r="O4" i="8"/>
  <c r="O3" i="8"/>
  <c r="K183" i="8" s="1"/>
  <c r="N1" i="8"/>
  <c r="Q574" i="5"/>
  <c r="N553" i="5"/>
  <c r="P548" i="5"/>
  <c r="L548" i="5"/>
  <c r="P547" i="5"/>
  <c r="L547" i="5"/>
  <c r="P546" i="5"/>
  <c r="L546" i="5"/>
  <c r="K533" i="5"/>
  <c r="S532" i="5"/>
  <c r="O532" i="5"/>
  <c r="K532" i="5"/>
  <c r="K526" i="5"/>
  <c r="J496" i="5"/>
  <c r="B492" i="5"/>
  <c r="K490" i="5"/>
  <c r="K481" i="5"/>
  <c r="K480" i="5"/>
  <c r="K479" i="5"/>
  <c r="K465" i="5"/>
  <c r="K462" i="5"/>
  <c r="K461" i="5"/>
  <c r="K460" i="5"/>
  <c r="O448" i="5"/>
  <c r="L448" i="5"/>
  <c r="K446" i="5"/>
  <c r="K443" i="5"/>
  <c r="S442" i="5"/>
  <c r="Q442" i="5"/>
  <c r="N442" i="5"/>
  <c r="K442" i="5"/>
  <c r="L433" i="5"/>
  <c r="J414" i="5"/>
  <c r="S403" i="5"/>
  <c r="Q403" i="5"/>
  <c r="O403" i="5"/>
  <c r="L403" i="5"/>
  <c r="S402" i="5"/>
  <c r="Q402" i="5"/>
  <c r="O402" i="5"/>
  <c r="M402" i="5"/>
  <c r="O401" i="5"/>
  <c r="N401" i="5"/>
  <c r="K401" i="5"/>
  <c r="J382" i="5"/>
  <c r="I382" i="5"/>
  <c r="G382" i="5"/>
  <c r="J379" i="5"/>
  <c r="I379" i="5"/>
  <c r="O370" i="5"/>
  <c r="N370" i="5"/>
  <c r="L370" i="5"/>
  <c r="K370" i="5"/>
  <c r="J370" i="5"/>
  <c r="I370" i="5"/>
  <c r="G370" i="5"/>
  <c r="N369" i="5"/>
  <c r="M369" i="5"/>
  <c r="L369" i="5"/>
  <c r="K369" i="5"/>
  <c r="J369" i="5"/>
  <c r="I369" i="5"/>
  <c r="G369" i="5"/>
  <c r="R365" i="5"/>
  <c r="Q365" i="5"/>
  <c r="P365" i="5"/>
  <c r="O365" i="5"/>
  <c r="N365" i="5"/>
  <c r="M365" i="5"/>
  <c r="L365" i="5"/>
  <c r="K365" i="5"/>
  <c r="J365" i="5"/>
  <c r="I365" i="5"/>
  <c r="G365" i="5"/>
  <c r="B354" i="5"/>
  <c r="B542" i="5" s="1"/>
  <c r="B353" i="5"/>
  <c r="B541" i="5" s="1"/>
  <c r="B352" i="5"/>
  <c r="B540" i="5" s="1"/>
  <c r="B351" i="5"/>
  <c r="B539" i="5" s="1"/>
  <c r="B350" i="5"/>
  <c r="B538" i="5" s="1"/>
  <c r="B349" i="5"/>
  <c r="B537" i="5" s="1"/>
  <c r="B348" i="5"/>
  <c r="B536" i="5" s="1"/>
  <c r="L346" i="5"/>
  <c r="K346" i="5"/>
  <c r="J346" i="5"/>
  <c r="I346" i="5"/>
  <c r="M343" i="5"/>
  <c r="L343" i="5"/>
  <c r="K343" i="5"/>
  <c r="J343" i="5"/>
  <c r="I343" i="5"/>
  <c r="K341" i="5"/>
  <c r="J341" i="5"/>
  <c r="I341" i="5"/>
  <c r="P339" i="5"/>
  <c r="O339" i="5"/>
  <c r="N339" i="5"/>
  <c r="M339" i="5"/>
  <c r="L339" i="5"/>
  <c r="K339" i="5"/>
  <c r="J339" i="5"/>
  <c r="I339" i="5"/>
  <c r="Q308" i="5"/>
  <c r="P308" i="5"/>
  <c r="O308" i="5"/>
  <c r="N308" i="5"/>
  <c r="M308" i="5"/>
  <c r="L308" i="5"/>
  <c r="K308" i="5"/>
  <c r="J308" i="5"/>
  <c r="I308" i="5"/>
  <c r="G308" i="5"/>
  <c r="P307" i="5"/>
  <c r="O307" i="5"/>
  <c r="N307" i="5"/>
  <c r="M307" i="5"/>
  <c r="L307" i="5"/>
  <c r="K307" i="5"/>
  <c r="J307" i="5"/>
  <c r="I307" i="5"/>
  <c r="N305" i="5"/>
  <c r="M305" i="5"/>
  <c r="L305" i="5"/>
  <c r="K305" i="5"/>
  <c r="J305" i="5"/>
  <c r="I305" i="5"/>
  <c r="B304" i="5"/>
  <c r="B303" i="5"/>
  <c r="B491" i="5" s="1"/>
  <c r="S302" i="5"/>
  <c r="R302" i="5"/>
  <c r="Q302" i="5"/>
  <c r="P302" i="5"/>
  <c r="O302" i="5"/>
  <c r="N302" i="5"/>
  <c r="M302" i="5"/>
  <c r="L302" i="5"/>
  <c r="K302" i="5"/>
  <c r="J302" i="5"/>
  <c r="I302" i="5"/>
  <c r="G302" i="5"/>
  <c r="N287" i="5"/>
  <c r="M287" i="5"/>
  <c r="L287" i="5"/>
  <c r="K287" i="5"/>
  <c r="J287" i="5"/>
  <c r="I287" i="5"/>
  <c r="N285" i="5"/>
  <c r="M285" i="5"/>
  <c r="L285" i="5"/>
  <c r="K285" i="5"/>
  <c r="J285" i="5"/>
  <c r="I285" i="5"/>
  <c r="O284" i="5"/>
  <c r="N284" i="5"/>
  <c r="M284" i="5"/>
  <c r="L284" i="5"/>
  <c r="K284" i="5"/>
  <c r="J284" i="5"/>
  <c r="I284" i="5"/>
  <c r="M283" i="5"/>
  <c r="L283" i="5"/>
  <c r="K283" i="5"/>
  <c r="J283" i="5"/>
  <c r="I283" i="5"/>
  <c r="Q266" i="5"/>
  <c r="P266" i="5"/>
  <c r="O266" i="5"/>
  <c r="N266" i="5"/>
  <c r="M266" i="5"/>
  <c r="L266" i="5"/>
  <c r="K266" i="5"/>
  <c r="J266" i="5"/>
  <c r="I266" i="5"/>
  <c r="G266" i="5"/>
  <c r="U265" i="5"/>
  <c r="T265" i="5"/>
  <c r="S265" i="5"/>
  <c r="R265" i="5"/>
  <c r="Q265" i="5"/>
  <c r="P265" i="5"/>
  <c r="O265" i="5"/>
  <c r="N265" i="5"/>
  <c r="M265" i="5"/>
  <c r="L265" i="5"/>
  <c r="K265" i="5"/>
  <c r="J265" i="5"/>
  <c r="I265" i="5"/>
  <c r="U264" i="5"/>
  <c r="T264" i="5"/>
  <c r="S264" i="5"/>
  <c r="R264" i="5"/>
  <c r="Q264" i="5"/>
  <c r="P264" i="5"/>
  <c r="O264" i="5"/>
  <c r="N264" i="5"/>
  <c r="M264" i="5"/>
  <c r="L264" i="5"/>
  <c r="K264" i="5"/>
  <c r="J264" i="5"/>
  <c r="I264" i="5"/>
  <c r="B262" i="5"/>
  <c r="B450" i="5" s="1"/>
  <c r="P261" i="5"/>
  <c r="O261" i="5"/>
  <c r="N261" i="5"/>
  <c r="M261" i="5"/>
  <c r="L261" i="5"/>
  <c r="K261" i="5"/>
  <c r="J261" i="5"/>
  <c r="I261" i="5"/>
  <c r="B259" i="5"/>
  <c r="B447" i="5" s="1"/>
  <c r="B232" i="5"/>
  <c r="B420" i="5" s="1"/>
  <c r="W194" i="5"/>
  <c r="W191" i="5"/>
  <c r="W189" i="5"/>
  <c r="W187" i="5"/>
  <c r="W186" i="5"/>
  <c r="W185" i="5"/>
  <c r="AH181" i="5"/>
  <c r="W179" i="5"/>
  <c r="W178" i="5"/>
  <c r="W175" i="5"/>
  <c r="T172" i="5"/>
  <c r="S172" i="5"/>
  <c r="L172" i="18" s="1"/>
  <c r="Q172" i="5"/>
  <c r="W171" i="5"/>
  <c r="W170" i="5"/>
  <c r="W169" i="5"/>
  <c r="W165" i="5"/>
  <c r="W164" i="5"/>
  <c r="W162" i="5"/>
  <c r="W161" i="5"/>
  <c r="W160" i="5"/>
  <c r="W159" i="5"/>
  <c r="W156" i="5"/>
  <c r="W155" i="5"/>
  <c r="W154" i="5"/>
  <c r="W153" i="5"/>
  <c r="W150" i="5"/>
  <c r="W149" i="5"/>
  <c r="W147" i="5"/>
  <c r="T145" i="5"/>
  <c r="S145" i="5"/>
  <c r="L145" i="18" s="1"/>
  <c r="Q145" i="5"/>
  <c r="AC137" i="5"/>
  <c r="T137" i="5" s="1"/>
  <c r="AA137" i="5"/>
  <c r="R137" i="5" s="1"/>
  <c r="S137" i="5"/>
  <c r="L137" i="18" s="1"/>
  <c r="Q137" i="5"/>
  <c r="K137" i="18" s="1"/>
  <c r="S136" i="5"/>
  <c r="L136" i="18" s="1"/>
  <c r="Q136" i="5"/>
  <c r="K136" i="18" s="1"/>
  <c r="S135" i="5"/>
  <c r="L135" i="18" s="1"/>
  <c r="Q135" i="5"/>
  <c r="K135" i="18" s="1"/>
  <c r="S134" i="5"/>
  <c r="L134" i="18" s="1"/>
  <c r="Q134" i="5"/>
  <c r="K134" i="18" s="1"/>
  <c r="S133" i="5"/>
  <c r="L133" i="18" s="1"/>
  <c r="Q133" i="5"/>
  <c r="K133" i="18" s="1"/>
  <c r="S132" i="5"/>
  <c r="L132" i="18" s="1"/>
  <c r="Q132" i="5"/>
  <c r="K132" i="18" s="1"/>
  <c r="AC131" i="5"/>
  <c r="T131" i="5" s="1"/>
  <c r="S131" i="5"/>
  <c r="L131" i="18" s="1"/>
  <c r="AC130" i="5"/>
  <c r="T130" i="5"/>
  <c r="S130" i="5"/>
  <c r="L130" i="18" s="1"/>
  <c r="S128" i="5"/>
  <c r="L128" i="18" s="1"/>
  <c r="Q128" i="5"/>
  <c r="K128" i="18" s="1"/>
  <c r="S127" i="5"/>
  <c r="L127" i="18" s="1"/>
  <c r="Q127" i="5"/>
  <c r="K127" i="18" s="1"/>
  <c r="S126" i="5"/>
  <c r="L126" i="18" s="1"/>
  <c r="Q126" i="5"/>
  <c r="K126" i="18" s="1"/>
  <c r="S125" i="5"/>
  <c r="L125" i="18" s="1"/>
  <c r="Q125" i="5"/>
  <c r="K125" i="18" s="1"/>
  <c r="T122" i="5"/>
  <c r="S122" i="5"/>
  <c r="L122" i="18" s="1"/>
  <c r="Q122" i="5"/>
  <c r="AA121" i="5"/>
  <c r="R121" i="5" s="1"/>
  <c r="T121" i="5"/>
  <c r="AH120" i="5"/>
  <c r="AC120" i="5"/>
  <c r="T120" i="5" s="1"/>
  <c r="AA120" i="5"/>
  <c r="R120" i="5" s="1"/>
  <c r="S120" i="5"/>
  <c r="Q120" i="5"/>
  <c r="T112" i="5"/>
  <c r="S112" i="5"/>
  <c r="L112" i="18" s="1"/>
  <c r="Q112" i="5"/>
  <c r="W111" i="5"/>
  <c r="W110" i="5"/>
  <c r="W109" i="5"/>
  <c r="W108" i="5"/>
  <c r="W107" i="5"/>
  <c r="W106" i="5"/>
  <c r="X104" i="5"/>
  <c r="W104" i="5"/>
  <c r="X103" i="5"/>
  <c r="W103" i="5"/>
  <c r="X102" i="5"/>
  <c r="W102" i="5"/>
  <c r="AH99" i="5"/>
  <c r="AC99" i="5"/>
  <c r="T99" i="5" s="1"/>
  <c r="AA99" i="5"/>
  <c r="S99" i="5"/>
  <c r="R99" i="5"/>
  <c r="Q99" i="5"/>
  <c r="W97" i="5"/>
  <c r="W92" i="5"/>
  <c r="W91" i="5"/>
  <c r="W90" i="5"/>
  <c r="W88" i="5"/>
  <c r="W87" i="5"/>
  <c r="W86" i="5"/>
  <c r="W85" i="5"/>
  <c r="W84" i="5"/>
  <c r="W83" i="5"/>
  <c r="W81" i="5"/>
  <c r="W80" i="5"/>
  <c r="W71" i="5"/>
  <c r="X69" i="5"/>
  <c r="W69" i="5"/>
  <c r="W67" i="5"/>
  <c r="X66" i="5"/>
  <c r="W66" i="5"/>
  <c r="X65" i="5"/>
  <c r="W65" i="5"/>
  <c r="T62" i="5"/>
  <c r="S62" i="5"/>
  <c r="L62" i="18" s="1"/>
  <c r="Q62" i="5"/>
  <c r="W61" i="5"/>
  <c r="W60" i="5"/>
  <c r="X58" i="5"/>
  <c r="W58" i="5"/>
  <c r="S58" i="5"/>
  <c r="L58" i="18" s="1"/>
  <c r="Q58" i="5"/>
  <c r="K58" i="18" s="1"/>
  <c r="X57" i="5"/>
  <c r="W57" i="5"/>
  <c r="X56" i="5"/>
  <c r="W56" i="5"/>
  <c r="X55" i="5"/>
  <c r="W55" i="5"/>
  <c r="X53" i="5"/>
  <c r="W53" i="5"/>
  <c r="S53" i="5"/>
  <c r="L53" i="18" s="1"/>
  <c r="Q53" i="5"/>
  <c r="K53" i="18" s="1"/>
  <c r="X52" i="5"/>
  <c r="W52" i="5"/>
  <c r="S52" i="5"/>
  <c r="L52" i="18" s="1"/>
  <c r="Q52" i="5"/>
  <c r="K52" i="18" s="1"/>
  <c r="X51" i="5"/>
  <c r="W51" i="5"/>
  <c r="X50" i="5"/>
  <c r="W50" i="5"/>
  <c r="X47" i="5"/>
  <c r="W47" i="5"/>
  <c r="S46" i="5"/>
  <c r="L46" i="18" s="1"/>
  <c r="Q46" i="5"/>
  <c r="K46" i="18" s="1"/>
  <c r="S45" i="5"/>
  <c r="L45" i="18" s="1"/>
  <c r="Q45" i="5"/>
  <c r="K45" i="18" s="1"/>
  <c r="X44" i="5"/>
  <c r="W44" i="5"/>
  <c r="W43" i="5"/>
  <c r="X42" i="5"/>
  <c r="W42" i="5"/>
  <c r="X41" i="5"/>
  <c r="W41" i="5"/>
  <c r="S41" i="5"/>
  <c r="L41" i="18" s="1"/>
  <c r="Q41" i="5"/>
  <c r="K41" i="18" s="1"/>
  <c r="X39" i="5"/>
  <c r="W39" i="5"/>
  <c r="X38" i="5"/>
  <c r="X37" i="5"/>
  <c r="W37" i="5"/>
  <c r="W34" i="5"/>
  <c r="W33" i="5"/>
  <c r="X31" i="5"/>
  <c r="W31" i="5"/>
  <c r="X30" i="5"/>
  <c r="W30" i="5"/>
  <c r="W29" i="5"/>
  <c r="S29" i="5"/>
  <c r="L29" i="18" s="1"/>
  <c r="Q29" i="5"/>
  <c r="K29" i="18" s="1"/>
  <c r="W28" i="5"/>
  <c r="S28" i="5"/>
  <c r="L28" i="18" s="1"/>
  <c r="Q28" i="5"/>
  <c r="K28" i="18" s="1"/>
  <c r="X27" i="5"/>
  <c r="S27" i="5"/>
  <c r="L27" i="18" s="1"/>
  <c r="Q27" i="5"/>
  <c r="K27" i="18" s="1"/>
  <c r="X26" i="5"/>
  <c r="W26" i="5"/>
  <c r="S26" i="5"/>
  <c r="L26" i="18" s="1"/>
  <c r="Q26" i="5"/>
  <c r="K26" i="18" s="1"/>
  <c r="W25" i="5"/>
  <c r="X24" i="5"/>
  <c r="W24" i="5"/>
  <c r="W23" i="5"/>
  <c r="S23" i="5"/>
  <c r="L23" i="18" s="1"/>
  <c r="Q23" i="5"/>
  <c r="K23" i="18" s="1"/>
  <c r="X22" i="5"/>
  <c r="W22" i="5"/>
  <c r="X19" i="5"/>
  <c r="W19" i="5"/>
  <c r="X18" i="5"/>
  <c r="W18" i="5"/>
  <c r="X17" i="5"/>
  <c r="W17" i="5"/>
  <c r="X16" i="5"/>
  <c r="W16" i="5"/>
  <c r="X15" i="5"/>
  <c r="W15" i="5"/>
  <c r="S13" i="5"/>
  <c r="L13" i="18" s="1"/>
  <c r="Q13" i="5"/>
  <c r="K13" i="18" s="1"/>
  <c r="S12" i="5"/>
  <c r="L12" i="18" s="1"/>
  <c r="Q12" i="5"/>
  <c r="K12" i="18" s="1"/>
  <c r="X11" i="5"/>
  <c r="W11" i="5"/>
  <c r="T9" i="5"/>
  <c r="AH8" i="5"/>
  <c r="AF8" i="5"/>
  <c r="E5" i="5"/>
  <c r="Z3" i="5"/>
  <c r="Z73" i="5" s="1"/>
  <c r="Q73" i="5" s="1"/>
  <c r="K73" i="18" s="1"/>
  <c r="R3" i="5"/>
  <c r="B3" i="5"/>
  <c r="U196" i="5" s="1"/>
  <c r="D98" i="3"/>
  <c r="D97" i="3"/>
  <c r="D96" i="3"/>
  <c r="E94" i="3"/>
  <c r="E93" i="3"/>
  <c r="D93" i="3"/>
  <c r="E89" i="3"/>
  <c r="E88" i="3"/>
  <c r="J85" i="3"/>
  <c r="I85" i="3"/>
  <c r="M43" i="3"/>
  <c r="L43" i="3"/>
  <c r="M42" i="3"/>
  <c r="L42" i="3"/>
  <c r="M41" i="3"/>
  <c r="L41" i="3"/>
  <c r="M40" i="3"/>
  <c r="L40" i="3"/>
  <c r="M39" i="3"/>
  <c r="L39" i="3"/>
  <c r="M38" i="3"/>
  <c r="L38" i="3"/>
  <c r="M37" i="3"/>
  <c r="L37" i="3"/>
  <c r="M36" i="3"/>
  <c r="L36" i="3"/>
  <c r="M35" i="3"/>
  <c r="L35" i="3"/>
  <c r="M34" i="3"/>
  <c r="L34" i="3"/>
  <c r="M33" i="3"/>
  <c r="L33" i="3"/>
  <c r="M32" i="3"/>
  <c r="L32" i="3"/>
  <c r="M31" i="3"/>
  <c r="L31" i="3"/>
  <c r="M30" i="3"/>
  <c r="L30" i="3"/>
  <c r="D24" i="3"/>
  <c r="J14" i="3"/>
  <c r="I14" i="3"/>
  <c r="D89" i="3" s="1"/>
  <c r="J13" i="3"/>
  <c r="E91" i="3" s="1"/>
  <c r="I13" i="3"/>
  <c r="D91" i="3" s="1"/>
  <c r="J12" i="3"/>
  <c r="E92" i="3" s="1"/>
  <c r="I12" i="3"/>
  <c r="D92" i="3" s="1"/>
  <c r="J11" i="3"/>
  <c r="I11" i="3"/>
  <c r="J10" i="3"/>
  <c r="E90" i="3" s="1"/>
  <c r="I10" i="3"/>
  <c r="D90" i="3" s="1"/>
  <c r="J9" i="3"/>
  <c r="E98" i="3" s="1"/>
  <c r="I9" i="3"/>
  <c r="J8" i="3"/>
  <c r="I8" i="3"/>
  <c r="D94" i="3" s="1"/>
  <c r="Q7" i="3"/>
  <c r="C5" i="3" s="1"/>
  <c r="J95" i="15" s="1"/>
  <c r="J7" i="3"/>
  <c r="E95" i="3" s="1"/>
  <c r="D16" i="3" s="1"/>
  <c r="R7" i="3" s="1"/>
  <c r="D5" i="3" s="1"/>
  <c r="I7" i="3"/>
  <c r="D95" i="3" s="1"/>
  <c r="J6" i="3"/>
  <c r="E96" i="3" s="1"/>
  <c r="I6" i="3"/>
  <c r="J5" i="3"/>
  <c r="E97" i="3" s="1"/>
  <c r="I5" i="3"/>
  <c r="L187" i="23"/>
  <c r="AB186" i="23"/>
  <c r="L181" i="23"/>
  <c r="L180" i="23"/>
  <c r="L176" i="23"/>
  <c r="L175" i="23"/>
  <c r="L174" i="23"/>
  <c r="L171" i="23"/>
  <c r="L167" i="23"/>
  <c r="L163" i="23"/>
  <c r="L160" i="23"/>
  <c r="L159" i="23"/>
  <c r="L158" i="23"/>
  <c r="L157" i="23"/>
  <c r="L156" i="23"/>
  <c r="L155" i="23"/>
  <c r="L165" i="23"/>
  <c r="L164" i="23"/>
  <c r="AB145" i="23"/>
  <c r="AB144" i="23"/>
  <c r="L140" i="23"/>
  <c r="L139" i="23"/>
  <c r="L138" i="23"/>
  <c r="L135" i="23"/>
  <c r="AB134" i="23"/>
  <c r="L134" i="23"/>
  <c r="AF133" i="23"/>
  <c r="AG133" i="23" s="1"/>
  <c r="L131" i="23"/>
  <c r="L130" i="23"/>
  <c r="L128" i="23"/>
  <c r="L125" i="23"/>
  <c r="AD122" i="23"/>
  <c r="AF122" i="23" s="1"/>
  <c r="AG122" i="23" s="1"/>
  <c r="AB121" i="23"/>
  <c r="L118" i="23"/>
  <c r="L117" i="23"/>
  <c r="L112" i="23"/>
  <c r="AF110" i="23"/>
  <c r="AG110" i="23" s="1"/>
  <c r="L96" i="23"/>
  <c r="L95" i="23"/>
  <c r="AF87" i="23"/>
  <c r="AG87" i="23" s="1"/>
  <c r="L72" i="23"/>
  <c r="L68" i="23"/>
  <c r="L67" i="23"/>
  <c r="L45" i="23"/>
  <c r="L39" i="23"/>
  <c r="L38" i="23"/>
  <c r="L37" i="23"/>
  <c r="L36" i="23"/>
  <c r="L35" i="23"/>
  <c r="L34" i="23"/>
  <c r="X4" i="23"/>
  <c r="W4" i="23"/>
  <c r="V4" i="23"/>
  <c r="T4" i="23"/>
  <c r="S4" i="23"/>
  <c r="K1" i="23"/>
  <c r="L53" i="4"/>
  <c r="H53" i="4"/>
  <c r="C53" i="4"/>
  <c r="Z43" i="4"/>
  <c r="Z42" i="4"/>
  <c r="L42" i="4"/>
  <c r="H42" i="4"/>
  <c r="C42" i="4"/>
  <c r="Z41" i="4"/>
  <c r="U36" i="4"/>
  <c r="V37" i="4" s="1"/>
  <c r="Z34" i="4"/>
  <c r="Z33" i="4"/>
  <c r="U33" i="4"/>
  <c r="U32" i="4"/>
  <c r="X29" i="4"/>
  <c r="X34" i="4" s="1"/>
  <c r="U29" i="4"/>
  <c r="U31" i="4" s="1"/>
  <c r="AL24" i="4"/>
  <c r="J17" i="4"/>
  <c r="J16" i="4"/>
  <c r="E16" i="4"/>
  <c r="J15" i="4"/>
  <c r="E15" i="4"/>
  <c r="D14" i="4"/>
  <c r="J13" i="4"/>
  <c r="F13" i="4"/>
  <c r="D13" i="4"/>
  <c r="J12" i="4"/>
  <c r="K11" i="4"/>
  <c r="J11" i="4"/>
  <c r="H11" i="4"/>
  <c r="D11" i="4"/>
  <c r="J10" i="4"/>
  <c r="D10" i="4"/>
  <c r="J9" i="4"/>
  <c r="D9" i="4"/>
  <c r="J8" i="4"/>
  <c r="D8" i="4"/>
  <c r="N5" i="4"/>
  <c r="L53" i="24"/>
  <c r="H53" i="24"/>
  <c r="C53" i="24"/>
  <c r="Z43" i="24"/>
  <c r="Z42" i="24"/>
  <c r="L42" i="24"/>
  <c r="H42" i="24"/>
  <c r="C42" i="24"/>
  <c r="Z41" i="24"/>
  <c r="U36" i="24"/>
  <c r="H28" i="24" s="1"/>
  <c r="Z34" i="24"/>
  <c r="Z33" i="24"/>
  <c r="U29" i="24"/>
  <c r="U32" i="24" s="1"/>
  <c r="L23" i="24"/>
  <c r="J17" i="24"/>
  <c r="J16" i="24"/>
  <c r="E16" i="24"/>
  <c r="J15" i="24"/>
  <c r="E15" i="24"/>
  <c r="D14" i="24"/>
  <c r="J13" i="24"/>
  <c r="F13" i="24"/>
  <c r="D13" i="24"/>
  <c r="J12" i="24"/>
  <c r="K11" i="24"/>
  <c r="J11" i="24"/>
  <c r="H11" i="24"/>
  <c r="D11" i="24"/>
  <c r="J10" i="24"/>
  <c r="D10" i="24"/>
  <c r="J9" i="24"/>
  <c r="D9" i="24"/>
  <c r="J8" i="24"/>
  <c r="D8" i="24"/>
  <c r="N5" i="24"/>
  <c r="R68" i="2"/>
  <c r="R67" i="2"/>
  <c r="L67" i="2"/>
  <c r="K63" i="8" s="1"/>
  <c r="C67" i="2"/>
  <c r="R65" i="2"/>
  <c r="H93" i="26" s="1"/>
  <c r="J65" i="2"/>
  <c r="N65" i="2" s="1"/>
  <c r="O65" i="2" s="1"/>
  <c r="R64" i="2"/>
  <c r="J64" i="2"/>
  <c r="N64" i="2" s="1"/>
  <c r="O64" i="2" s="1"/>
  <c r="R63" i="2"/>
  <c r="G206" i="15" s="1"/>
  <c r="H206" i="15" s="1"/>
  <c r="J91" i="26" s="1"/>
  <c r="J63" i="2"/>
  <c r="N63" i="2" s="1"/>
  <c r="O63" i="2" s="1"/>
  <c r="R62" i="2"/>
  <c r="H90" i="26" s="1"/>
  <c r="R61" i="2"/>
  <c r="H89" i="26" s="1"/>
  <c r="R60" i="2"/>
  <c r="H88" i="26" s="1"/>
  <c r="C60" i="2"/>
  <c r="G45" i="26" s="1"/>
  <c r="M70" i="25" s="1"/>
  <c r="R59" i="2"/>
  <c r="H87" i="26" s="1"/>
  <c r="J59" i="2"/>
  <c r="N59" i="2" s="1"/>
  <c r="O59" i="2" s="1"/>
  <c r="R58" i="2"/>
  <c r="H86" i="26" s="1"/>
  <c r="R57" i="2"/>
  <c r="H85" i="26" s="1"/>
  <c r="R56" i="2"/>
  <c r="H84" i="26" s="1"/>
  <c r="R55" i="2"/>
  <c r="H83" i="26" s="1"/>
  <c r="C55" i="2"/>
  <c r="G44" i="26" s="1"/>
  <c r="K70" i="25" s="1"/>
  <c r="R54" i="2"/>
  <c r="H82" i="26" s="1"/>
  <c r="R53" i="2"/>
  <c r="H81" i="26" s="1"/>
  <c r="R52" i="2"/>
  <c r="H80" i="26" s="1"/>
  <c r="R51" i="2"/>
  <c r="H79" i="26" s="1"/>
  <c r="R50" i="2"/>
  <c r="H78" i="26" s="1"/>
  <c r="C50" i="2"/>
  <c r="R49" i="2"/>
  <c r="H77" i="26" s="1"/>
  <c r="R48" i="2"/>
  <c r="H76" i="26" s="1"/>
  <c r="R47" i="2"/>
  <c r="C47" i="2"/>
  <c r="G43" i="26" s="1"/>
  <c r="D43" i="2"/>
  <c r="K19" i="2"/>
  <c r="I219" i="15" s="1"/>
  <c r="K3" i="2"/>
  <c r="J3" i="2"/>
  <c r="AA3" i="5" s="1"/>
  <c r="F149" i="13" l="1"/>
  <c r="F148" i="13"/>
  <c r="W163" i="5"/>
  <c r="F152" i="13"/>
  <c r="F151" i="13"/>
  <c r="F150" i="13"/>
  <c r="Q35" i="15"/>
  <c r="P35" i="15"/>
  <c r="O35" i="15"/>
  <c r="N35" i="15"/>
  <c r="M35" i="15"/>
  <c r="L35" i="15"/>
  <c r="K35" i="15"/>
  <c r="J35" i="15"/>
  <c r="I35" i="15"/>
  <c r="Q40" i="15"/>
  <c r="P40" i="15"/>
  <c r="O40" i="15"/>
  <c r="N40" i="15"/>
  <c r="M40" i="15"/>
  <c r="L40" i="15"/>
  <c r="K40" i="15"/>
  <c r="J40" i="15"/>
  <c r="I40" i="15"/>
  <c r="F185" i="9"/>
  <c r="W77" i="5"/>
  <c r="F189" i="9"/>
  <c r="F188" i="9"/>
  <c r="F187" i="9"/>
  <c r="F186" i="9"/>
  <c r="K149" i="13"/>
  <c r="F172" i="13"/>
  <c r="F29" i="6"/>
  <c r="R29" i="6" s="1"/>
  <c r="CJ56" i="18"/>
  <c r="H29" i="15"/>
  <c r="H34" i="15"/>
  <c r="H37" i="24"/>
  <c r="F173" i="13"/>
  <c r="H23" i="15"/>
  <c r="H28" i="15"/>
  <c r="G196" i="15"/>
  <c r="H196" i="15" s="1"/>
  <c r="J81" i="26" s="1"/>
  <c r="G203" i="15"/>
  <c r="H203" i="15" s="1"/>
  <c r="J88" i="26" s="1"/>
  <c r="G207" i="15"/>
  <c r="H207" i="15" s="1"/>
  <c r="J92" i="26" s="1"/>
  <c r="H92" i="26"/>
  <c r="V37" i="24"/>
  <c r="X32" i="4"/>
  <c r="K150" i="13"/>
  <c r="F31" i="6"/>
  <c r="L31" i="6" s="1"/>
  <c r="CJ55" i="18"/>
  <c r="CJ57" i="18"/>
  <c r="F33" i="6"/>
  <c r="U33" i="6" s="1"/>
  <c r="H16" i="15"/>
  <c r="I17" i="15"/>
  <c r="I22" i="15"/>
  <c r="G197" i="15"/>
  <c r="H197" i="15" s="1"/>
  <c r="J82" i="26" s="1"/>
  <c r="G204" i="15"/>
  <c r="H204" i="15" s="1"/>
  <c r="J89" i="26" s="1"/>
  <c r="L65" i="2"/>
  <c r="X33" i="4"/>
  <c r="K151" i="13"/>
  <c r="J73" i="6"/>
  <c r="H11" i="15"/>
  <c r="J17" i="15"/>
  <c r="J22" i="15"/>
  <c r="G191" i="15"/>
  <c r="H191" i="15" s="1"/>
  <c r="J76" i="26" s="1"/>
  <c r="S18" i="6"/>
  <c r="J83" i="6"/>
  <c r="K17" i="15"/>
  <c r="K22" i="15"/>
  <c r="G198" i="15"/>
  <c r="H198" i="15" s="1"/>
  <c r="J83" i="26" s="1"/>
  <c r="H10" i="15"/>
  <c r="L17" i="15"/>
  <c r="L22" i="15"/>
  <c r="G205" i="15"/>
  <c r="H205" i="15" s="1"/>
  <c r="J90" i="26" s="1"/>
  <c r="J60" i="2"/>
  <c r="N60" i="2" s="1"/>
  <c r="M17" i="15"/>
  <c r="M22" i="15"/>
  <c r="H59" i="15"/>
  <c r="G193" i="15"/>
  <c r="H193" i="15" s="1"/>
  <c r="J78" i="26" s="1"/>
  <c r="U4" i="23"/>
  <c r="S15" i="6"/>
  <c r="N17" i="15"/>
  <c r="N22" i="15"/>
  <c r="H53" i="15"/>
  <c r="H58" i="15"/>
  <c r="O17" i="15"/>
  <c r="O22" i="15"/>
  <c r="H47" i="15"/>
  <c r="H52" i="15"/>
  <c r="G194" i="15"/>
  <c r="H194" i="15" s="1"/>
  <c r="J79" i="26" s="1"/>
  <c r="G201" i="15"/>
  <c r="H201" i="15" s="1"/>
  <c r="J86" i="26" s="1"/>
  <c r="F170" i="13"/>
  <c r="CJ25" i="18"/>
  <c r="P17" i="15"/>
  <c r="P22" i="15"/>
  <c r="H41" i="15"/>
  <c r="H46" i="15"/>
  <c r="J55" i="2"/>
  <c r="W29" i="4"/>
  <c r="W33" i="4" s="1"/>
  <c r="G195" i="15"/>
  <c r="H195" i="15" s="1"/>
  <c r="J80" i="26" s="1"/>
  <c r="G202" i="15"/>
  <c r="H202" i="15" s="1"/>
  <c r="J87" i="26" s="1"/>
  <c r="G208" i="15"/>
  <c r="H208" i="15" s="1"/>
  <c r="J93" i="26" s="1"/>
  <c r="G52" i="13"/>
  <c r="F44" i="13" s="1"/>
  <c r="F48" i="13" s="1"/>
  <c r="G190" i="15"/>
  <c r="H190" i="15" s="1"/>
  <c r="J75" i="26" s="1"/>
  <c r="H75" i="26"/>
  <c r="H94" i="26" s="1"/>
  <c r="I78" i="6"/>
  <c r="I83" i="6"/>
  <c r="Q20" i="18"/>
  <c r="O50" i="14"/>
  <c r="N50" i="14"/>
  <c r="G76" i="9"/>
  <c r="G13" i="26"/>
  <c r="H98" i="26" s="1"/>
  <c r="K77" i="25"/>
  <c r="O21" i="25"/>
  <c r="I70" i="25"/>
  <c r="G47" i="26"/>
  <c r="J50" i="2"/>
  <c r="R4" i="23"/>
  <c r="S10" i="6"/>
  <c r="J38" i="6"/>
  <c r="I110" i="6"/>
  <c r="I47" i="6"/>
  <c r="H27" i="6"/>
  <c r="J47" i="6"/>
  <c r="J42" i="6"/>
  <c r="I27" i="6"/>
  <c r="J51" i="6"/>
  <c r="J27" i="6"/>
  <c r="J65" i="6"/>
  <c r="O11" i="6"/>
  <c r="H47" i="6"/>
  <c r="O47" i="6" s="1"/>
  <c r="O18" i="6"/>
  <c r="I70" i="6"/>
  <c r="F243" i="8"/>
  <c r="K187" i="8"/>
  <c r="F382" i="8"/>
  <c r="K192" i="8"/>
  <c r="Z97" i="5"/>
  <c r="AD182" i="23" s="1"/>
  <c r="AB65" i="5"/>
  <c r="S65" i="5" s="1"/>
  <c r="L65" i="18" s="1"/>
  <c r="AB159" i="5"/>
  <c r="S159" i="5" s="1"/>
  <c r="L159" i="18" s="1"/>
  <c r="AB47" i="5"/>
  <c r="S47" i="5" s="1"/>
  <c r="L47" i="18" s="1"/>
  <c r="AB96" i="5"/>
  <c r="AE118" i="23" s="1"/>
  <c r="AB11" i="5"/>
  <c r="S11" i="5" s="1"/>
  <c r="L11" i="18" s="1"/>
  <c r="AB84" i="5"/>
  <c r="S84" i="5" s="1"/>
  <c r="L84" i="18" s="1"/>
  <c r="AB147" i="5"/>
  <c r="AE48" i="23" s="1"/>
  <c r="Z16" i="5"/>
  <c r="Q16" i="5" s="1"/>
  <c r="K16" i="18" s="1"/>
  <c r="AB43" i="5"/>
  <c r="S43" i="5" s="1"/>
  <c r="L43" i="18" s="1"/>
  <c r="AB77" i="5"/>
  <c r="S77" i="5" s="1"/>
  <c r="R3" i="18"/>
  <c r="Z42" i="5"/>
  <c r="AD19" i="23" s="1"/>
  <c r="AB60" i="5"/>
  <c r="AE161" i="23" s="1"/>
  <c r="AB70" i="5"/>
  <c r="S70" i="5" s="1"/>
  <c r="L70" i="18" s="1"/>
  <c r="Z61" i="5"/>
  <c r="Q61" i="5" s="1"/>
  <c r="K61" i="18" s="1"/>
  <c r="AB109" i="5"/>
  <c r="AE151" i="23" s="1"/>
  <c r="AB129" i="5"/>
  <c r="S129" i="5" s="1"/>
  <c r="L129" i="18" s="1"/>
  <c r="Z37" i="5"/>
  <c r="Q37" i="5" s="1"/>
  <c r="K37" i="18" s="1"/>
  <c r="AB55" i="5"/>
  <c r="S55" i="5" s="1"/>
  <c r="L55" i="18" s="1"/>
  <c r="AB140" i="5"/>
  <c r="S140" i="5" s="1"/>
  <c r="L140" i="18" s="1"/>
  <c r="AB157" i="5"/>
  <c r="AE159" i="23" s="1"/>
  <c r="Z38" i="5"/>
  <c r="Q38" i="5" s="1"/>
  <c r="K38" i="18" s="1"/>
  <c r="Z57" i="5"/>
  <c r="Q57" i="5" s="1"/>
  <c r="K57" i="18" s="1"/>
  <c r="Z80" i="5"/>
  <c r="Q80" i="5" s="1"/>
  <c r="K80" i="18" s="1"/>
  <c r="AB95" i="5"/>
  <c r="AE180" i="23" s="1"/>
  <c r="Z103" i="5"/>
  <c r="Q103" i="5" s="1"/>
  <c r="K103" i="18" s="1"/>
  <c r="Y26" i="18"/>
  <c r="W152" i="5"/>
  <c r="Z152" i="5" s="1"/>
  <c r="F47" i="13"/>
  <c r="F91" i="9"/>
  <c r="F87" i="9"/>
  <c r="F90" i="9"/>
  <c r="F88" i="9"/>
  <c r="W75" i="5"/>
  <c r="Z75" i="5" s="1"/>
  <c r="Q75" i="5" s="1"/>
  <c r="K75" i="18" s="1"/>
  <c r="F89" i="9"/>
  <c r="G264" i="5"/>
  <c r="K72" i="9"/>
  <c r="K73" i="9"/>
  <c r="K71" i="9"/>
  <c r="K70" i="9"/>
  <c r="K69" i="9"/>
  <c r="X72" i="5"/>
  <c r="AB72" i="5" s="1"/>
  <c r="S72" i="5" s="1"/>
  <c r="L72" i="18" s="1"/>
  <c r="H261" i="5"/>
  <c r="AB194" i="18"/>
  <c r="P194" i="18"/>
  <c r="B194" i="18" s="1"/>
  <c r="B383" i="5" s="1"/>
  <c r="B571" i="5" s="1"/>
  <c r="W193" i="18"/>
  <c r="AD192" i="18"/>
  <c r="R192" i="18"/>
  <c r="C192" i="18" s="1"/>
  <c r="C381" i="5" s="1"/>
  <c r="C569" i="5" s="1"/>
  <c r="Y191" i="18"/>
  <c r="U190" i="18"/>
  <c r="AB189" i="18"/>
  <c r="P189" i="18"/>
  <c r="B189" i="18" s="1"/>
  <c r="B378" i="5" s="1"/>
  <c r="B566" i="5" s="1"/>
  <c r="W188" i="18"/>
  <c r="AD187" i="18"/>
  <c r="R187" i="18"/>
  <c r="C187" i="18" s="1"/>
  <c r="C376" i="5" s="1"/>
  <c r="C564" i="5" s="1"/>
  <c r="Y186" i="18"/>
  <c r="T185" i="18"/>
  <c r="AA184" i="18"/>
  <c r="AD183" i="18"/>
  <c r="R183" i="18"/>
  <c r="C183" i="18" s="1"/>
  <c r="C372" i="5" s="1"/>
  <c r="C560" i="5" s="1"/>
  <c r="X182" i="18"/>
  <c r="AE181" i="18"/>
  <c r="S181" i="18"/>
  <c r="Z180" i="18"/>
  <c r="U179" i="18"/>
  <c r="AB178" i="18"/>
  <c r="P178" i="18"/>
  <c r="B178" i="18" s="1"/>
  <c r="B367" i="5" s="1"/>
  <c r="B555" i="5" s="1"/>
  <c r="W177" i="18"/>
  <c r="AD176" i="18"/>
  <c r="R176" i="18"/>
  <c r="C176" i="18" s="1"/>
  <c r="C365" i="5" s="1"/>
  <c r="C553" i="5" s="1"/>
  <c r="Y175" i="18"/>
  <c r="AB174" i="18"/>
  <c r="P174" i="18"/>
  <c r="B174" i="18" s="1"/>
  <c r="B363" i="5" s="1"/>
  <c r="B551" i="5" s="1"/>
  <c r="AE173" i="18"/>
  <c r="S173" i="18"/>
  <c r="Z172" i="18"/>
  <c r="U171" i="18"/>
  <c r="AB170" i="18"/>
  <c r="P170" i="18"/>
  <c r="B170" i="18" s="1"/>
  <c r="B359" i="5" s="1"/>
  <c r="B547" i="5" s="1"/>
  <c r="W169" i="18"/>
  <c r="AD168" i="18"/>
  <c r="R168" i="18"/>
  <c r="C168" i="18" s="1"/>
  <c r="C357" i="5" s="1"/>
  <c r="C545" i="5" s="1"/>
  <c r="Y167" i="18"/>
  <c r="W166" i="18"/>
  <c r="U165" i="18"/>
  <c r="AD164" i="18"/>
  <c r="R164" i="18"/>
  <c r="C164" i="18" s="1"/>
  <c r="C353" i="5" s="1"/>
  <c r="C541" i="5" s="1"/>
  <c r="AA163" i="18"/>
  <c r="X162" i="18"/>
  <c r="U161" i="18"/>
  <c r="AD160" i="18"/>
  <c r="R160" i="18"/>
  <c r="C160" i="18" s="1"/>
  <c r="C349" i="5" s="1"/>
  <c r="C537" i="5" s="1"/>
  <c r="AA159" i="18"/>
  <c r="X158" i="18"/>
  <c r="U157" i="18"/>
  <c r="AD156" i="18"/>
  <c r="R156" i="18"/>
  <c r="C156" i="18" s="1"/>
  <c r="C345" i="5" s="1"/>
  <c r="C533" i="5" s="1"/>
  <c r="AB155" i="18"/>
  <c r="P155" i="18"/>
  <c r="B155" i="18" s="1"/>
  <c r="B344" i="5" s="1"/>
  <c r="B532" i="5" s="1"/>
  <c r="Y154" i="18"/>
  <c r="V153" i="18"/>
  <c r="AE152" i="18"/>
  <c r="S152" i="18"/>
  <c r="AB151" i="18"/>
  <c r="P151" i="18"/>
  <c r="B151" i="18" s="1"/>
  <c r="B340" i="5" s="1"/>
  <c r="B528" i="5" s="1"/>
  <c r="X150" i="18"/>
  <c r="T149" i="18"/>
  <c r="AB148" i="18"/>
  <c r="P148" i="18"/>
  <c r="B148" i="18" s="1"/>
  <c r="B337" i="5" s="1"/>
  <c r="B525" i="5" s="1"/>
  <c r="X147" i="18"/>
  <c r="U146" i="18"/>
  <c r="AD145" i="18"/>
  <c r="R145" i="18"/>
  <c r="C145" i="18" s="1"/>
  <c r="C334" i="5" s="1"/>
  <c r="C522" i="5" s="1"/>
  <c r="Z144" i="18"/>
  <c r="V143" i="18"/>
  <c r="AD142" i="18"/>
  <c r="AA194" i="18"/>
  <c r="V193" i="18"/>
  <c r="AC192" i="18"/>
  <c r="Q192" i="18"/>
  <c r="X191" i="18"/>
  <c r="T190" i="18"/>
  <c r="AA189" i="18"/>
  <c r="V188" i="18"/>
  <c r="AC187" i="18"/>
  <c r="Q187" i="18"/>
  <c r="X186" i="18"/>
  <c r="AE185" i="18"/>
  <c r="S185" i="18"/>
  <c r="Z184" i="18"/>
  <c r="AC183" i="18"/>
  <c r="Q183" i="18"/>
  <c r="W182" i="18"/>
  <c r="AD181" i="18"/>
  <c r="R181" i="18"/>
  <c r="C181" i="18" s="1"/>
  <c r="C370" i="5" s="1"/>
  <c r="C558" i="5" s="1"/>
  <c r="Y180" i="18"/>
  <c r="T179" i="18"/>
  <c r="AA178" i="18"/>
  <c r="V177" i="18"/>
  <c r="AC176" i="18"/>
  <c r="Q176" i="18"/>
  <c r="X175" i="18"/>
  <c r="AA174" i="18"/>
  <c r="AD173" i="18"/>
  <c r="R173" i="18"/>
  <c r="C173" i="18" s="1"/>
  <c r="C362" i="5" s="1"/>
  <c r="C550" i="5" s="1"/>
  <c r="Y172" i="18"/>
  <c r="T171" i="18"/>
  <c r="AA170" i="18"/>
  <c r="V169" i="18"/>
  <c r="AC168" i="18"/>
  <c r="Q168" i="18"/>
  <c r="X167" i="18"/>
  <c r="V166" i="18"/>
  <c r="T165" i="18"/>
  <c r="AC164" i="18"/>
  <c r="Q164" i="18"/>
  <c r="Z163" i="18"/>
  <c r="W162" i="18"/>
  <c r="T161" i="18"/>
  <c r="AC160" i="18"/>
  <c r="Q160" i="18"/>
  <c r="Z159" i="18"/>
  <c r="W158" i="18"/>
  <c r="T157" i="18"/>
  <c r="AC156" i="18"/>
  <c r="Q156" i="18"/>
  <c r="AA155" i="18"/>
  <c r="X154" i="18"/>
  <c r="U153" i="18"/>
  <c r="AD152" i="18"/>
  <c r="R152" i="18"/>
  <c r="C152" i="18" s="1"/>
  <c r="C341" i="5" s="1"/>
  <c r="C529" i="5" s="1"/>
  <c r="AA151" i="18"/>
  <c r="W150" i="18"/>
  <c r="AE149" i="18"/>
  <c r="S149" i="18"/>
  <c r="AA148" i="18"/>
  <c r="W147" i="18"/>
  <c r="T146" i="18"/>
  <c r="AC145" i="18"/>
  <c r="Q145" i="18"/>
  <c r="Y144" i="18"/>
  <c r="U143" i="18"/>
  <c r="AC142" i="18"/>
  <c r="Q142" i="18"/>
  <c r="Y141" i="18"/>
  <c r="Z194" i="18"/>
  <c r="U193" i="18"/>
  <c r="AB192" i="18"/>
  <c r="P192" i="18"/>
  <c r="B192" i="18" s="1"/>
  <c r="B381" i="5" s="1"/>
  <c r="B569" i="5" s="1"/>
  <c r="W191" i="18"/>
  <c r="AE190" i="18"/>
  <c r="S190" i="18"/>
  <c r="Z189" i="18"/>
  <c r="U188" i="18"/>
  <c r="AB187" i="18"/>
  <c r="P187" i="18"/>
  <c r="B187" i="18" s="1"/>
  <c r="B376" i="5" s="1"/>
  <c r="B564" i="5" s="1"/>
  <c r="W186" i="18"/>
  <c r="AD185" i="18"/>
  <c r="R185" i="18"/>
  <c r="C185" i="18" s="1"/>
  <c r="C374" i="5" s="1"/>
  <c r="C562" i="5" s="1"/>
  <c r="Y184" i="18"/>
  <c r="AB183" i="18"/>
  <c r="P183" i="18"/>
  <c r="B183" i="18" s="1"/>
  <c r="B372" i="5" s="1"/>
  <c r="B560" i="5" s="1"/>
  <c r="V182" i="18"/>
  <c r="AC181" i="18"/>
  <c r="Q181" i="18"/>
  <c r="X180" i="18"/>
  <c r="AE179" i="18"/>
  <c r="S179" i="18"/>
  <c r="Z178" i="18"/>
  <c r="U177" i="18"/>
  <c r="AB176" i="18"/>
  <c r="P176" i="18"/>
  <c r="B176" i="18" s="1"/>
  <c r="B365" i="5" s="1"/>
  <c r="B553" i="5" s="1"/>
  <c r="W175" i="18"/>
  <c r="Z174" i="18"/>
  <c r="AC173" i="18"/>
  <c r="Q173" i="18"/>
  <c r="X172" i="18"/>
  <c r="AE171" i="18"/>
  <c r="S171" i="18"/>
  <c r="Z170" i="18"/>
  <c r="U169" i="18"/>
  <c r="AB168" i="18"/>
  <c r="P168" i="18"/>
  <c r="B168" i="18" s="1"/>
  <c r="B357" i="5" s="1"/>
  <c r="B545" i="5" s="1"/>
  <c r="W167" i="18"/>
  <c r="U166" i="18"/>
  <c r="AE165" i="18"/>
  <c r="S165" i="18"/>
  <c r="AB164" i="18"/>
  <c r="P164" i="18"/>
  <c r="Y163" i="18"/>
  <c r="V162" i="18"/>
  <c r="AE161" i="18"/>
  <c r="S161" i="18"/>
  <c r="AB160" i="18"/>
  <c r="P160" i="18"/>
  <c r="Y159" i="18"/>
  <c r="V158" i="18"/>
  <c r="AE157" i="18"/>
  <c r="S157" i="18"/>
  <c r="AB156" i="18"/>
  <c r="P156" i="18"/>
  <c r="B156" i="18" s="1"/>
  <c r="B345" i="5" s="1"/>
  <c r="B533" i="5" s="1"/>
  <c r="Z155" i="18"/>
  <c r="W154" i="18"/>
  <c r="T153" i="18"/>
  <c r="AC152" i="18"/>
  <c r="Q152" i="18"/>
  <c r="Z151" i="18"/>
  <c r="V150" i="18"/>
  <c r="AD149" i="18"/>
  <c r="R149" i="18"/>
  <c r="C149" i="18" s="1"/>
  <c r="C338" i="5" s="1"/>
  <c r="C526" i="5" s="1"/>
  <c r="Z148" i="18"/>
  <c r="V147" i="18"/>
  <c r="AE146" i="18"/>
  <c r="S146" i="18"/>
  <c r="AB145" i="18"/>
  <c r="P145" i="18"/>
  <c r="B145" i="18" s="1"/>
  <c r="B334" i="5" s="1"/>
  <c r="B522" i="5" s="1"/>
  <c r="X144" i="18"/>
  <c r="T143" i="18"/>
  <c r="AB142" i="18"/>
  <c r="P142" i="18"/>
  <c r="B142" i="18" s="1"/>
  <c r="B331" i="5" s="1"/>
  <c r="B519" i="5" s="1"/>
  <c r="X141" i="18"/>
  <c r="Y194" i="18"/>
  <c r="T193" i="18"/>
  <c r="AA192" i="18"/>
  <c r="V191" i="18"/>
  <c r="AD190" i="18"/>
  <c r="R190" i="18"/>
  <c r="C190" i="18" s="1"/>
  <c r="C379" i="5" s="1"/>
  <c r="C567" i="5" s="1"/>
  <c r="Y189" i="18"/>
  <c r="T188" i="18"/>
  <c r="AA187" i="18"/>
  <c r="V186" i="18"/>
  <c r="AC185" i="18"/>
  <c r="Q185" i="18"/>
  <c r="X184" i="18"/>
  <c r="AA183" i="18"/>
  <c r="U182" i="18"/>
  <c r="AB181" i="18"/>
  <c r="P181" i="18"/>
  <c r="B181" i="18" s="1"/>
  <c r="B370" i="5" s="1"/>
  <c r="B558" i="5" s="1"/>
  <c r="W180" i="18"/>
  <c r="AD179" i="18"/>
  <c r="R179" i="18"/>
  <c r="C179" i="18" s="1"/>
  <c r="C368" i="5" s="1"/>
  <c r="C556" i="5" s="1"/>
  <c r="Y178" i="18"/>
  <c r="T177" i="18"/>
  <c r="AA176" i="18"/>
  <c r="V175" i="18"/>
  <c r="Y174" i="18"/>
  <c r="AB173" i="18"/>
  <c r="P173" i="18"/>
  <c r="B173" i="18" s="1"/>
  <c r="B362" i="5" s="1"/>
  <c r="B550" i="5" s="1"/>
  <c r="W172" i="18"/>
  <c r="AD171" i="18"/>
  <c r="R171" i="18"/>
  <c r="C171" i="18" s="1"/>
  <c r="C360" i="5" s="1"/>
  <c r="C548" i="5" s="1"/>
  <c r="Y170" i="18"/>
  <c r="T169" i="18"/>
  <c r="AA168" i="18"/>
  <c r="V167" i="18"/>
  <c r="T166" i="18"/>
  <c r="AD165" i="18"/>
  <c r="R165" i="18"/>
  <c r="C165" i="18" s="1"/>
  <c r="C354" i="5" s="1"/>
  <c r="C542" i="5" s="1"/>
  <c r="AA164" i="18"/>
  <c r="X163" i="18"/>
  <c r="U162" i="18"/>
  <c r="AD161" i="18"/>
  <c r="R161" i="18"/>
  <c r="C161" i="18" s="1"/>
  <c r="C350" i="5" s="1"/>
  <c r="C538" i="5" s="1"/>
  <c r="AA160" i="18"/>
  <c r="X159" i="18"/>
  <c r="U158" i="18"/>
  <c r="AD157" i="18"/>
  <c r="R157" i="18"/>
  <c r="C157" i="18" s="1"/>
  <c r="C346" i="5" s="1"/>
  <c r="C534" i="5" s="1"/>
  <c r="AA156" i="18"/>
  <c r="Y155" i="18"/>
  <c r="V154" i="18"/>
  <c r="AE153" i="18"/>
  <c r="S153" i="18"/>
  <c r="AB152" i="18"/>
  <c r="P152" i="18"/>
  <c r="B152" i="18" s="1"/>
  <c r="B341" i="5" s="1"/>
  <c r="B529" i="5" s="1"/>
  <c r="Y151" i="18"/>
  <c r="U150" i="18"/>
  <c r="AC149" i="18"/>
  <c r="Q149" i="18"/>
  <c r="Y148" i="18"/>
  <c r="U147" i="18"/>
  <c r="AD146" i="18"/>
  <c r="R146" i="18"/>
  <c r="C146" i="18" s="1"/>
  <c r="C335" i="5" s="1"/>
  <c r="C523" i="5" s="1"/>
  <c r="AA145" i="18"/>
  <c r="W144" i="18"/>
  <c r="AE143" i="18"/>
  <c r="S143" i="18"/>
  <c r="AA142" i="18"/>
  <c r="X194" i="18"/>
  <c r="AE193" i="18"/>
  <c r="S193" i="18"/>
  <c r="Z192" i="18"/>
  <c r="U191" i="18"/>
  <c r="AC190" i="18"/>
  <c r="Q190" i="18"/>
  <c r="X189" i="18"/>
  <c r="AE188" i="18"/>
  <c r="S188" i="18"/>
  <c r="Z187" i="18"/>
  <c r="U186" i="18"/>
  <c r="AB185" i="18"/>
  <c r="P185" i="18"/>
  <c r="B185" i="18" s="1"/>
  <c r="B374" i="5" s="1"/>
  <c r="B562" i="5" s="1"/>
  <c r="W184" i="18"/>
  <c r="Z183" i="18"/>
  <c r="T182" i="18"/>
  <c r="AA181" i="18"/>
  <c r="V180" i="18"/>
  <c r="AC179" i="18"/>
  <c r="Q179" i="18"/>
  <c r="X178" i="18"/>
  <c r="AE177" i="18"/>
  <c r="S177" i="18"/>
  <c r="Z176" i="18"/>
  <c r="U175" i="18"/>
  <c r="X174" i="18"/>
  <c r="AA173" i="18"/>
  <c r="V172" i="18"/>
  <c r="AC171" i="18"/>
  <c r="Q171" i="18"/>
  <c r="X170" i="18"/>
  <c r="AE169" i="18"/>
  <c r="S169" i="18"/>
  <c r="Z168" i="18"/>
  <c r="U167" i="18"/>
  <c r="AE166" i="18"/>
  <c r="S166" i="18"/>
  <c r="AC165" i="18"/>
  <c r="Q165" i="18"/>
  <c r="Z164" i="18"/>
  <c r="W163" i="18"/>
  <c r="T162" i="18"/>
  <c r="AC161" i="18"/>
  <c r="Q161" i="18"/>
  <c r="Z160" i="18"/>
  <c r="W159" i="18"/>
  <c r="T158" i="18"/>
  <c r="AC157" i="18"/>
  <c r="Q157" i="18"/>
  <c r="Z156" i="18"/>
  <c r="X155" i="18"/>
  <c r="U154" i="18"/>
  <c r="AD153" i="18"/>
  <c r="R153" i="18"/>
  <c r="C153" i="18" s="1"/>
  <c r="C342" i="5" s="1"/>
  <c r="C530" i="5" s="1"/>
  <c r="AA152" i="18"/>
  <c r="X151" i="18"/>
  <c r="T150" i="18"/>
  <c r="AB149" i="18"/>
  <c r="P149" i="18"/>
  <c r="B149" i="18" s="1"/>
  <c r="B338" i="5" s="1"/>
  <c r="B526" i="5" s="1"/>
  <c r="X148" i="18"/>
  <c r="T147" i="18"/>
  <c r="AC146" i="18"/>
  <c r="W194" i="18"/>
  <c r="AD193" i="18"/>
  <c r="R193" i="18"/>
  <c r="C193" i="18" s="1"/>
  <c r="C382" i="5" s="1"/>
  <c r="C570" i="5" s="1"/>
  <c r="Y192" i="18"/>
  <c r="T191" i="18"/>
  <c r="AB190" i="18"/>
  <c r="P190" i="18"/>
  <c r="B190" i="18" s="1"/>
  <c r="B379" i="5" s="1"/>
  <c r="B567" i="5" s="1"/>
  <c r="W189" i="18"/>
  <c r="AD188" i="18"/>
  <c r="R188" i="18"/>
  <c r="C188" i="18" s="1"/>
  <c r="C377" i="5" s="1"/>
  <c r="C565" i="5" s="1"/>
  <c r="Y187" i="18"/>
  <c r="T186" i="18"/>
  <c r="AA185" i="18"/>
  <c r="V184" i="18"/>
  <c r="Y183" i="18"/>
  <c r="AE182" i="18"/>
  <c r="S182" i="18"/>
  <c r="Z181" i="18"/>
  <c r="U180" i="18"/>
  <c r="AB179" i="18"/>
  <c r="P179" i="18"/>
  <c r="B179" i="18" s="1"/>
  <c r="B368" i="5" s="1"/>
  <c r="B556" i="5" s="1"/>
  <c r="W178" i="18"/>
  <c r="AD177" i="18"/>
  <c r="R177" i="18"/>
  <c r="C177" i="18" s="1"/>
  <c r="C366" i="5" s="1"/>
  <c r="C554" i="5" s="1"/>
  <c r="Y176" i="18"/>
  <c r="T175" i="18"/>
  <c r="W174" i="18"/>
  <c r="Z173" i="18"/>
  <c r="U172" i="18"/>
  <c r="AB171" i="18"/>
  <c r="P171" i="18"/>
  <c r="B171" i="18" s="1"/>
  <c r="B360" i="5" s="1"/>
  <c r="B548" i="5" s="1"/>
  <c r="W170" i="18"/>
  <c r="AD169" i="18"/>
  <c r="R169" i="18"/>
  <c r="C169" i="18" s="1"/>
  <c r="C358" i="5" s="1"/>
  <c r="C546" i="5" s="1"/>
  <c r="Y168" i="18"/>
  <c r="T167" i="18"/>
  <c r="AD166" i="18"/>
  <c r="R166" i="18"/>
  <c r="C166" i="18" s="1"/>
  <c r="C355" i="5" s="1"/>
  <c r="C543" i="5" s="1"/>
  <c r="AB165" i="18"/>
  <c r="P165" i="18"/>
  <c r="Y164" i="18"/>
  <c r="V163" i="18"/>
  <c r="AE162" i="18"/>
  <c r="S162" i="18"/>
  <c r="AB161" i="18"/>
  <c r="P161" i="18"/>
  <c r="Y160" i="18"/>
  <c r="U194" i="18"/>
  <c r="AB193" i="18"/>
  <c r="P193" i="18"/>
  <c r="B193" i="18" s="1"/>
  <c r="B382" i="5" s="1"/>
  <c r="B570" i="5" s="1"/>
  <c r="W192" i="18"/>
  <c r="AD191" i="18"/>
  <c r="R191" i="18"/>
  <c r="C191" i="18" s="1"/>
  <c r="C380" i="5" s="1"/>
  <c r="C568" i="5" s="1"/>
  <c r="Z190" i="18"/>
  <c r="U189" i="18"/>
  <c r="AB188" i="18"/>
  <c r="P188" i="18"/>
  <c r="B188" i="18" s="1"/>
  <c r="B377" i="5" s="1"/>
  <c r="B565" i="5" s="1"/>
  <c r="W187" i="18"/>
  <c r="AD186" i="18"/>
  <c r="R186" i="18"/>
  <c r="C186" i="18" s="1"/>
  <c r="C375" i="5" s="1"/>
  <c r="C563" i="5" s="1"/>
  <c r="Y185" i="18"/>
  <c r="T184" i="18"/>
  <c r="W183" i="18"/>
  <c r="AC182" i="18"/>
  <c r="Q182" i="18"/>
  <c r="X181" i="18"/>
  <c r="AE180" i="18"/>
  <c r="S180" i="18"/>
  <c r="Z179" i="18"/>
  <c r="U178" i="18"/>
  <c r="AB177" i="18"/>
  <c r="P177" i="18"/>
  <c r="B177" i="18" s="1"/>
  <c r="B366" i="5" s="1"/>
  <c r="B554" i="5" s="1"/>
  <c r="W176" i="18"/>
  <c r="AD175" i="18"/>
  <c r="R175" i="18"/>
  <c r="C175" i="18" s="1"/>
  <c r="C364" i="5" s="1"/>
  <c r="C552" i="5" s="1"/>
  <c r="U174" i="18"/>
  <c r="X173" i="18"/>
  <c r="AE172" i="18"/>
  <c r="S172" i="18"/>
  <c r="Z171" i="18"/>
  <c r="U170" i="18"/>
  <c r="AB169" i="18"/>
  <c r="P169" i="18"/>
  <c r="B169" i="18" s="1"/>
  <c r="B358" i="5" s="1"/>
  <c r="B546" i="5" s="1"/>
  <c r="W168" i="18"/>
  <c r="AD167" i="18"/>
  <c r="R167" i="18"/>
  <c r="C167" i="18" s="1"/>
  <c r="C356" i="5" s="1"/>
  <c r="C544" i="5" s="1"/>
  <c r="AB166" i="18"/>
  <c r="P166" i="18"/>
  <c r="B166" i="18" s="1"/>
  <c r="B355" i="5" s="1"/>
  <c r="B543" i="5" s="1"/>
  <c r="Z165" i="18"/>
  <c r="W164" i="18"/>
  <c r="T163" i="18"/>
  <c r="AC162" i="18"/>
  <c r="Q162" i="18"/>
  <c r="Z161" i="18"/>
  <c r="W160" i="18"/>
  <c r="T159" i="18"/>
  <c r="AC158" i="18"/>
  <c r="Q158" i="18"/>
  <c r="Z157" i="18"/>
  <c r="W156" i="18"/>
  <c r="U155" i="18"/>
  <c r="AD154" i="18"/>
  <c r="R154" i="18"/>
  <c r="C154" i="18" s="1"/>
  <c r="C343" i="5" s="1"/>
  <c r="C531" i="5" s="1"/>
  <c r="AA153" i="18"/>
  <c r="X152" i="18"/>
  <c r="U151" i="18"/>
  <c r="AC150" i="18"/>
  <c r="Q150" i="18"/>
  <c r="Y149" i="18"/>
  <c r="U148" i="18"/>
  <c r="AC147" i="18"/>
  <c r="Q147" i="18"/>
  <c r="Z146" i="18"/>
  <c r="W145" i="18"/>
  <c r="AE144" i="18"/>
  <c r="S144" i="18"/>
  <c r="T194" i="18"/>
  <c r="AA193" i="18"/>
  <c r="V192" i="18"/>
  <c r="AC191" i="18"/>
  <c r="Q191" i="18"/>
  <c r="Y190" i="18"/>
  <c r="T189" i="18"/>
  <c r="AA188" i="18"/>
  <c r="V187" i="18"/>
  <c r="AC186" i="18"/>
  <c r="Q186" i="18"/>
  <c r="X185" i="18"/>
  <c r="AE184" i="18"/>
  <c r="S184" i="18"/>
  <c r="V183" i="18"/>
  <c r="AB182" i="18"/>
  <c r="P182" i="18"/>
  <c r="B182" i="18" s="1"/>
  <c r="B371" i="5" s="1"/>
  <c r="B559" i="5" s="1"/>
  <c r="W181" i="18"/>
  <c r="AD180" i="18"/>
  <c r="R180" i="18"/>
  <c r="C180" i="18" s="1"/>
  <c r="C369" i="5" s="1"/>
  <c r="C557" i="5" s="1"/>
  <c r="Y179" i="18"/>
  <c r="T178" i="18"/>
  <c r="AA177" i="18"/>
  <c r="V176" i="18"/>
  <c r="AC175" i="18"/>
  <c r="Q175" i="18"/>
  <c r="T174" i="18"/>
  <c r="W173" i="18"/>
  <c r="AD172" i="18"/>
  <c r="R172" i="18"/>
  <c r="C172" i="18" s="1"/>
  <c r="C361" i="5" s="1"/>
  <c r="C549" i="5" s="1"/>
  <c r="Y171" i="18"/>
  <c r="V194" i="18"/>
  <c r="AE192" i="18"/>
  <c r="AC189" i="18"/>
  <c r="P186" i="18"/>
  <c r="B186" i="18" s="1"/>
  <c r="B375" i="5" s="1"/>
  <c r="B563" i="5" s="1"/>
  <c r="AB184" i="18"/>
  <c r="Q180" i="18"/>
  <c r="AC178" i="18"/>
  <c r="P175" i="18"/>
  <c r="B175" i="18" s="1"/>
  <c r="B364" i="5" s="1"/>
  <c r="B552" i="5" s="1"/>
  <c r="AE174" i="18"/>
  <c r="T172" i="18"/>
  <c r="AD170" i="18"/>
  <c r="X169" i="18"/>
  <c r="AE167" i="18"/>
  <c r="AE164" i="18"/>
  <c r="AC163" i="18"/>
  <c r="AB162" i="18"/>
  <c r="Y161" i="18"/>
  <c r="U160" i="18"/>
  <c r="U159" i="18"/>
  <c r="AA158" i="18"/>
  <c r="AA157" i="18"/>
  <c r="X156" i="18"/>
  <c r="W155" i="18"/>
  <c r="AA154" i="18"/>
  <c r="AB153" i="18"/>
  <c r="Y152" i="18"/>
  <c r="W151" i="18"/>
  <c r="Z150" i="18"/>
  <c r="W149" i="18"/>
  <c r="T148" i="18"/>
  <c r="S147" i="18"/>
  <c r="W146" i="18"/>
  <c r="V145" i="18"/>
  <c r="U144" i="18"/>
  <c r="Z143" i="18"/>
  <c r="Z142" i="18"/>
  <c r="AE141" i="18"/>
  <c r="Q141" i="18"/>
  <c r="Y140" i="18"/>
  <c r="V139" i="18"/>
  <c r="AE138" i="18"/>
  <c r="S138" i="18"/>
  <c r="AB137" i="18"/>
  <c r="P137" i="18"/>
  <c r="B137" i="18" s="1"/>
  <c r="B326" i="5" s="1"/>
  <c r="B514" i="5" s="1"/>
  <c r="Y136" i="18"/>
  <c r="V135" i="18"/>
  <c r="AE134" i="18"/>
  <c r="S134" i="18"/>
  <c r="AB133" i="18"/>
  <c r="P133" i="18"/>
  <c r="B133" i="18" s="1"/>
  <c r="B322" i="5" s="1"/>
  <c r="B510" i="5" s="1"/>
  <c r="Y132" i="18"/>
  <c r="U131" i="18"/>
  <c r="AC130" i="18"/>
  <c r="Q130" i="18"/>
  <c r="Y129" i="18"/>
  <c r="U128" i="18"/>
  <c r="AC127" i="18"/>
  <c r="Q127" i="18"/>
  <c r="Y126" i="18"/>
  <c r="U125" i="18"/>
  <c r="AC124" i="18"/>
  <c r="Q124" i="18"/>
  <c r="Y123" i="18"/>
  <c r="V122" i="18"/>
  <c r="AD121" i="18"/>
  <c r="R121" i="18"/>
  <c r="C121" i="18" s="1"/>
  <c r="C310" i="5" s="1"/>
  <c r="C498" i="5" s="1"/>
  <c r="AA120" i="18"/>
  <c r="W119" i="18"/>
  <c r="AD118" i="18"/>
  <c r="R118" i="18"/>
  <c r="C118" i="18" s="1"/>
  <c r="C307" i="5" s="1"/>
  <c r="C495" i="5" s="1"/>
  <c r="Y117" i="18"/>
  <c r="T116" i="18"/>
  <c r="Z115" i="18"/>
  <c r="AE114" i="18"/>
  <c r="S114" i="18"/>
  <c r="Y113" i="18"/>
  <c r="V112" i="18"/>
  <c r="AC111" i="18"/>
  <c r="Q111" i="18"/>
  <c r="X110" i="18"/>
  <c r="AE109" i="18"/>
  <c r="S109" i="18"/>
  <c r="Z108" i="18"/>
  <c r="S194" i="18"/>
  <c r="X192" i="18"/>
  <c r="V189" i="18"/>
  <c r="AE187" i="18"/>
  <c r="U184" i="18"/>
  <c r="P180" i="18"/>
  <c r="B180" i="18" s="1"/>
  <c r="B369" i="5" s="1"/>
  <c r="B557" i="5" s="1"/>
  <c r="V178" i="18"/>
  <c r="AE176" i="18"/>
  <c r="AD174" i="18"/>
  <c r="Q172" i="18"/>
  <c r="AC170" i="18"/>
  <c r="Q169" i="18"/>
  <c r="AC167" i="18"/>
  <c r="X164" i="18"/>
  <c r="AB163" i="18"/>
  <c r="AA162" i="18"/>
  <c r="X161" i="18"/>
  <c r="T160" i="18"/>
  <c r="S159" i="18"/>
  <c r="Z158" i="18"/>
  <c r="Y157" i="18"/>
  <c r="V156" i="18"/>
  <c r="V155" i="18"/>
  <c r="Z154" i="18"/>
  <c r="Z153" i="18"/>
  <c r="W152" i="18"/>
  <c r="V151" i="18"/>
  <c r="Y150" i="18"/>
  <c r="V149" i="18"/>
  <c r="S148" i="18"/>
  <c r="R147" i="18"/>
  <c r="C147" i="18" s="1"/>
  <c r="C336" i="5" s="1"/>
  <c r="C524" i="5" s="1"/>
  <c r="V146" i="18"/>
  <c r="U145" i="18"/>
  <c r="T144" i="18"/>
  <c r="Y143" i="18"/>
  <c r="Y142" i="18"/>
  <c r="AD141" i="18"/>
  <c r="P141" i="18"/>
  <c r="B141" i="18" s="1"/>
  <c r="B330" i="5" s="1"/>
  <c r="B518" i="5" s="1"/>
  <c r="X140" i="18"/>
  <c r="U139" i="18"/>
  <c r="AD138" i="18"/>
  <c r="R138" i="18"/>
  <c r="C138" i="18" s="1"/>
  <c r="C327" i="5" s="1"/>
  <c r="C515" i="5" s="1"/>
  <c r="AA137" i="18"/>
  <c r="X136" i="18"/>
  <c r="U135" i="18"/>
  <c r="AD134" i="18"/>
  <c r="R134" i="18"/>
  <c r="C134" i="18" s="1"/>
  <c r="C323" i="5" s="1"/>
  <c r="C511" i="5" s="1"/>
  <c r="AA133" i="18"/>
  <c r="X132" i="18"/>
  <c r="T131" i="18"/>
  <c r="AB130" i="18"/>
  <c r="P130" i="18"/>
  <c r="B130" i="18" s="1"/>
  <c r="B319" i="5" s="1"/>
  <c r="B507" i="5" s="1"/>
  <c r="X129" i="18"/>
  <c r="T128" i="18"/>
  <c r="AB127" i="18"/>
  <c r="R194" i="18"/>
  <c r="C194" i="18" s="1"/>
  <c r="C383" i="5" s="1"/>
  <c r="C571" i="5" s="1"/>
  <c r="U192" i="18"/>
  <c r="S189" i="18"/>
  <c r="X187" i="18"/>
  <c r="R184" i="18"/>
  <c r="C184" i="18" s="1"/>
  <c r="C373" i="5" s="1"/>
  <c r="C561" i="5" s="1"/>
  <c r="AE183" i="18"/>
  <c r="S178" i="18"/>
  <c r="X176" i="18"/>
  <c r="AC174" i="18"/>
  <c r="P172" i="18"/>
  <c r="B172" i="18" s="1"/>
  <c r="B361" i="5" s="1"/>
  <c r="B549" i="5" s="1"/>
  <c r="V170" i="18"/>
  <c r="AB167" i="18"/>
  <c r="AC166" i="18"/>
  <c r="AA165" i="18"/>
  <c r="V164" i="18"/>
  <c r="U163" i="18"/>
  <c r="Z162" i="18"/>
  <c r="W161" i="18"/>
  <c r="S160" i="18"/>
  <c r="R159" i="18"/>
  <c r="C159" i="18" s="1"/>
  <c r="C348" i="5" s="1"/>
  <c r="C536" i="5" s="1"/>
  <c r="Y158" i="18"/>
  <c r="X157" i="18"/>
  <c r="U156" i="18"/>
  <c r="T155" i="18"/>
  <c r="T154" i="18"/>
  <c r="Y153" i="18"/>
  <c r="V152" i="18"/>
  <c r="T151" i="18"/>
  <c r="S150" i="18"/>
  <c r="U149" i="18"/>
  <c r="R148" i="18"/>
  <c r="C148" i="18" s="1"/>
  <c r="C337" i="5" s="1"/>
  <c r="C525" i="5" s="1"/>
  <c r="P147" i="18"/>
  <c r="B147" i="18" s="1"/>
  <c r="B336" i="5" s="1"/>
  <c r="B524" i="5" s="1"/>
  <c r="Q146" i="18"/>
  <c r="T145" i="18"/>
  <c r="R144" i="18"/>
  <c r="C144" i="18" s="1"/>
  <c r="C333" i="5" s="1"/>
  <c r="C521" i="5" s="1"/>
  <c r="X143" i="18"/>
  <c r="X142" i="18"/>
  <c r="AC141" i="18"/>
  <c r="W140" i="18"/>
  <c r="T139" i="18"/>
  <c r="AC138" i="18"/>
  <c r="Q138" i="18"/>
  <c r="Z137" i="18"/>
  <c r="W136" i="18"/>
  <c r="T135" i="18"/>
  <c r="AC134" i="18"/>
  <c r="Q134" i="18"/>
  <c r="Z133" i="18"/>
  <c r="W132" i="18"/>
  <c r="AE131" i="18"/>
  <c r="S131" i="18"/>
  <c r="AA130" i="18"/>
  <c r="W129" i="18"/>
  <c r="Q194" i="18"/>
  <c r="T192" i="18"/>
  <c r="R189" i="18"/>
  <c r="C189" i="18" s="1"/>
  <c r="C378" i="5" s="1"/>
  <c r="C566" i="5" s="1"/>
  <c r="U187" i="18"/>
  <c r="Q184" i="18"/>
  <c r="X183" i="18"/>
  <c r="Y181" i="18"/>
  <c r="R178" i="18"/>
  <c r="C178" i="18" s="1"/>
  <c r="C367" i="5" s="1"/>
  <c r="C555" i="5" s="1"/>
  <c r="U176" i="18"/>
  <c r="V174" i="18"/>
  <c r="T170" i="18"/>
  <c r="AA167" i="18"/>
  <c r="AA166" i="18"/>
  <c r="Y165" i="18"/>
  <c r="U164" i="18"/>
  <c r="S163" i="18"/>
  <c r="Y162" i="18"/>
  <c r="V161" i="18"/>
  <c r="Q159" i="18"/>
  <c r="S158" i="18"/>
  <c r="W157" i="18"/>
  <c r="T156" i="18"/>
  <c r="S155" i="18"/>
  <c r="S154" i="18"/>
  <c r="X153" i="18"/>
  <c r="U152" i="18"/>
  <c r="S151" i="18"/>
  <c r="R150" i="18"/>
  <c r="C150" i="18" s="1"/>
  <c r="C339" i="5" s="1"/>
  <c r="C527" i="5" s="1"/>
  <c r="Q148" i="18"/>
  <c r="P146" i="18"/>
  <c r="B146" i="18" s="1"/>
  <c r="B335" i="5" s="1"/>
  <c r="B523" i="5" s="1"/>
  <c r="S145" i="18"/>
  <c r="Q144" i="18"/>
  <c r="W143" i="18"/>
  <c r="W142" i="18"/>
  <c r="AB141" i="18"/>
  <c r="V140" i="18"/>
  <c r="AE139" i="18"/>
  <c r="S139" i="18"/>
  <c r="AB138" i="18"/>
  <c r="P138" i="18"/>
  <c r="B138" i="18" s="1"/>
  <c r="B327" i="5" s="1"/>
  <c r="B515" i="5" s="1"/>
  <c r="Y137" i="18"/>
  <c r="V136" i="18"/>
  <c r="AE135" i="18"/>
  <c r="S135" i="18"/>
  <c r="AB134" i="18"/>
  <c r="P134" i="18"/>
  <c r="B134" i="18" s="1"/>
  <c r="B323" i="5" s="1"/>
  <c r="B511" i="5" s="1"/>
  <c r="Y133" i="18"/>
  <c r="V132" i="18"/>
  <c r="AD131" i="18"/>
  <c r="R131" i="18"/>
  <c r="C131" i="18" s="1"/>
  <c r="C320" i="5" s="1"/>
  <c r="C508" i="5" s="1"/>
  <c r="Z130" i="18"/>
  <c r="V129" i="18"/>
  <c r="AD128" i="18"/>
  <c r="R128" i="18"/>
  <c r="C128" i="18" s="1"/>
  <c r="C317" i="5" s="1"/>
  <c r="C505" i="5" s="1"/>
  <c r="Z127" i="18"/>
  <c r="S192" i="18"/>
  <c r="AA190" i="18"/>
  <c r="Q189" i="18"/>
  <c r="T187" i="18"/>
  <c r="Z185" i="18"/>
  <c r="P184" i="18"/>
  <c r="B184" i="18" s="1"/>
  <c r="B373" i="5" s="1"/>
  <c r="B561" i="5" s="1"/>
  <c r="U183" i="18"/>
  <c r="V181" i="18"/>
  <c r="AA179" i="18"/>
  <c r="Q178" i="18"/>
  <c r="T176" i="18"/>
  <c r="S174" i="18"/>
  <c r="Y173" i="18"/>
  <c r="S170" i="18"/>
  <c r="Z167" i="18"/>
  <c r="Z166" i="18"/>
  <c r="X165" i="18"/>
  <c r="T164" i="18"/>
  <c r="R163" i="18"/>
  <c r="C163" i="18" s="1"/>
  <c r="C352" i="5" s="1"/>
  <c r="C540" i="5" s="1"/>
  <c r="R162" i="18"/>
  <c r="C162" i="18" s="1"/>
  <c r="C351" i="5" s="1"/>
  <c r="C539" i="5" s="1"/>
  <c r="P159" i="18"/>
  <c r="R158" i="18"/>
  <c r="C158" i="18" s="1"/>
  <c r="C347" i="5" s="1"/>
  <c r="C535" i="5" s="1"/>
  <c r="V157" i="18"/>
  <c r="S156" i="18"/>
  <c r="R155" i="18"/>
  <c r="C155" i="18" s="1"/>
  <c r="C344" i="5" s="1"/>
  <c r="C532" i="5" s="1"/>
  <c r="Q154" i="18"/>
  <c r="W153" i="18"/>
  <c r="T152" i="18"/>
  <c r="R151" i="18"/>
  <c r="C151" i="18" s="1"/>
  <c r="C340" i="5" s="1"/>
  <c r="C528" i="5" s="1"/>
  <c r="P150" i="18"/>
  <c r="B150" i="18" s="1"/>
  <c r="B339" i="5" s="1"/>
  <c r="B527" i="5" s="1"/>
  <c r="P144" i="18"/>
  <c r="B144" i="18" s="1"/>
  <c r="B333" i="5" s="1"/>
  <c r="B521" i="5" s="1"/>
  <c r="R143" i="18"/>
  <c r="C143" i="18" s="1"/>
  <c r="C332" i="5" s="1"/>
  <c r="C520" i="5" s="1"/>
  <c r="V142" i="18"/>
  <c r="AA141" i="18"/>
  <c r="U140" i="18"/>
  <c r="AD139" i="18"/>
  <c r="R139" i="18"/>
  <c r="C139" i="18" s="1"/>
  <c r="C328" i="5" s="1"/>
  <c r="C516" i="5" s="1"/>
  <c r="AA138" i="18"/>
  <c r="X137" i="18"/>
  <c r="U136" i="18"/>
  <c r="AD135" i="18"/>
  <c r="R135" i="18"/>
  <c r="C135" i="18" s="1"/>
  <c r="C324" i="5" s="1"/>
  <c r="C512" i="5" s="1"/>
  <c r="AA134" i="18"/>
  <c r="X133" i="18"/>
  <c r="AC193" i="18"/>
  <c r="X190" i="18"/>
  <c r="S187" i="18"/>
  <c r="W185" i="18"/>
  <c r="T183" i="18"/>
  <c r="U181" i="18"/>
  <c r="X179" i="18"/>
  <c r="S176" i="18"/>
  <c r="R174" i="18"/>
  <c r="C174" i="18" s="1"/>
  <c r="C363" i="5" s="1"/>
  <c r="C551" i="5" s="1"/>
  <c r="V173" i="18"/>
  <c r="Y193" i="18"/>
  <c r="AB191" i="18"/>
  <c r="V190" i="18"/>
  <c r="Z188" i="18"/>
  <c r="AE186" i="18"/>
  <c r="U185" i="18"/>
  <c r="AD182" i="18"/>
  <c r="V179" i="18"/>
  <c r="Z177" i="18"/>
  <c r="AE175" i="18"/>
  <c r="T173" i="18"/>
  <c r="Z193" i="18"/>
  <c r="Y182" i="18"/>
  <c r="AA175" i="18"/>
  <c r="Q174" i="18"/>
  <c r="AC172" i="18"/>
  <c r="Q170" i="18"/>
  <c r="S168" i="18"/>
  <c r="X166" i="18"/>
  <c r="AD159" i="18"/>
  <c r="Y156" i="18"/>
  <c r="AE154" i="18"/>
  <c r="Q151" i="18"/>
  <c r="Z149" i="18"/>
  <c r="AD147" i="18"/>
  <c r="AA144" i="18"/>
  <c r="W141" i="18"/>
  <c r="AA140" i="18"/>
  <c r="AC139" i="18"/>
  <c r="P136" i="18"/>
  <c r="B136" i="18" s="1"/>
  <c r="B325" i="5" s="1"/>
  <c r="B513" i="5" s="1"/>
  <c r="W135" i="18"/>
  <c r="V134" i="18"/>
  <c r="U133" i="18"/>
  <c r="AA132" i="18"/>
  <c r="AC131" i="18"/>
  <c r="Q129" i="18"/>
  <c r="X128" i="18"/>
  <c r="AA127" i="18"/>
  <c r="T126" i="18"/>
  <c r="AB125" i="18"/>
  <c r="V124" i="18"/>
  <c r="AC123" i="18"/>
  <c r="P123" i="18"/>
  <c r="B123" i="18" s="1"/>
  <c r="B312" i="5" s="1"/>
  <c r="B500" i="5" s="1"/>
  <c r="Y122" i="18"/>
  <c r="S121" i="18"/>
  <c r="Z120" i="18"/>
  <c r="U119" i="18"/>
  <c r="AA118" i="18"/>
  <c r="T117" i="18"/>
  <c r="AA116" i="18"/>
  <c r="S115" i="18"/>
  <c r="W114" i="18"/>
  <c r="AB113" i="18"/>
  <c r="X193" i="18"/>
  <c r="W190" i="18"/>
  <c r="R182" i="18"/>
  <c r="C182" i="18" s="1"/>
  <c r="C371" i="5" s="1"/>
  <c r="C559" i="5" s="1"/>
  <c r="AE178" i="18"/>
  <c r="Z175" i="18"/>
  <c r="AB172" i="18"/>
  <c r="Q166" i="18"/>
  <c r="AC159" i="18"/>
  <c r="AC154" i="18"/>
  <c r="X149" i="18"/>
  <c r="AB147" i="18"/>
  <c r="V144" i="18"/>
  <c r="V141" i="18"/>
  <c r="Z140" i="18"/>
  <c r="AB139" i="18"/>
  <c r="AE137" i="18"/>
  <c r="Q135" i="18"/>
  <c r="U134" i="18"/>
  <c r="T133" i="18"/>
  <c r="Z132" i="18"/>
  <c r="AB131" i="18"/>
  <c r="P129" i="18"/>
  <c r="B129" i="18" s="1"/>
  <c r="B318" i="5" s="1"/>
  <c r="B506" i="5" s="1"/>
  <c r="W128" i="18"/>
  <c r="Y127" i="18"/>
  <c r="S126" i="18"/>
  <c r="AA125" i="18"/>
  <c r="U124" i="18"/>
  <c r="AB123" i="18"/>
  <c r="X122" i="18"/>
  <c r="AE121" i="18"/>
  <c r="Q121" i="18"/>
  <c r="Y120" i="18"/>
  <c r="T119" i="18"/>
  <c r="Z118" i="18"/>
  <c r="S117" i="18"/>
  <c r="Z116" i="18"/>
  <c r="AE115" i="18"/>
  <c r="R115" i="18"/>
  <c r="C115" i="18" s="1"/>
  <c r="C304" i="5" s="1"/>
  <c r="C492" i="5" s="1"/>
  <c r="V114" i="18"/>
  <c r="AA113" i="18"/>
  <c r="W112" i="18"/>
  <c r="AB111" i="18"/>
  <c r="Q193" i="18"/>
  <c r="AB186" i="18"/>
  <c r="AD178" i="18"/>
  <c r="S175" i="18"/>
  <c r="AA172" i="18"/>
  <c r="AC169" i="18"/>
  <c r="S167" i="18"/>
  <c r="AB159" i="18"/>
  <c r="AB154" i="18"/>
  <c r="AA147" i="18"/>
  <c r="U141" i="18"/>
  <c r="T140" i="18"/>
  <c r="AA139" i="18"/>
  <c r="Z138" i="18"/>
  <c r="AD137" i="18"/>
  <c r="AE136" i="18"/>
  <c r="P135" i="18"/>
  <c r="B135" i="18" s="1"/>
  <c r="B324" i="5" s="1"/>
  <c r="B512" i="5" s="1"/>
  <c r="T134" i="18"/>
  <c r="S133" i="18"/>
  <c r="U132" i="18"/>
  <c r="AA131" i="18"/>
  <c r="AE130" i="18"/>
  <c r="AE129" i="18"/>
  <c r="V128" i="18"/>
  <c r="X127" i="18"/>
  <c r="AE126" i="18"/>
  <c r="R126" i="18"/>
  <c r="C126" i="18" s="1"/>
  <c r="C315" i="5" s="1"/>
  <c r="C503" i="5" s="1"/>
  <c r="Z125" i="18"/>
  <c r="T124" i="18"/>
  <c r="AA123" i="18"/>
  <c r="W122" i="18"/>
  <c r="AC121" i="18"/>
  <c r="P121" i="18"/>
  <c r="B121" i="18" s="1"/>
  <c r="B310" i="5" s="1"/>
  <c r="B498" i="5" s="1"/>
  <c r="X120" i="18"/>
  <c r="S119" i="18"/>
  <c r="Y118" i="18"/>
  <c r="AE117" i="18"/>
  <c r="R117" i="18"/>
  <c r="C117" i="18" s="1"/>
  <c r="C306" i="5" s="1"/>
  <c r="C494" i="5" s="1"/>
  <c r="Y116" i="18"/>
  <c r="AD115" i="18"/>
  <c r="Q115" i="18"/>
  <c r="U114" i="18"/>
  <c r="Z113" i="18"/>
  <c r="U112" i="18"/>
  <c r="AA111" i="18"/>
  <c r="T110" i="18"/>
  <c r="Z109" i="18"/>
  <c r="S108" i="18"/>
  <c r="Y107" i="18"/>
  <c r="AE106" i="18"/>
  <c r="S106" i="18"/>
  <c r="Z105" i="18"/>
  <c r="U104" i="18"/>
  <c r="AA103" i="18"/>
  <c r="U102" i="18"/>
  <c r="AB101" i="18"/>
  <c r="P101" i="18"/>
  <c r="B101" i="18" s="1"/>
  <c r="B290" i="5" s="1"/>
  <c r="B478" i="5" s="1"/>
  <c r="Y100" i="18"/>
  <c r="U99" i="18"/>
  <c r="AE98" i="18"/>
  <c r="S98" i="18"/>
  <c r="AB97" i="18"/>
  <c r="P97" i="18"/>
  <c r="B97" i="18" s="1"/>
  <c r="B286" i="5" s="1"/>
  <c r="B474" i="5" s="1"/>
  <c r="Y96" i="18"/>
  <c r="V95" i="18"/>
  <c r="AE94" i="18"/>
  <c r="S94" i="18"/>
  <c r="AB93" i="18"/>
  <c r="P93" i="18"/>
  <c r="B93" i="18" s="1"/>
  <c r="B282" i="5" s="1"/>
  <c r="B470" i="5" s="1"/>
  <c r="X92" i="18"/>
  <c r="T91" i="18"/>
  <c r="AB90" i="18"/>
  <c r="P90" i="18"/>
  <c r="B90" i="18" s="1"/>
  <c r="B279" i="5" s="1"/>
  <c r="B467" i="5" s="1"/>
  <c r="X89" i="18"/>
  <c r="T88" i="18"/>
  <c r="AB87" i="18"/>
  <c r="P87" i="18"/>
  <c r="B87" i="18" s="1"/>
  <c r="B276" i="5" s="1"/>
  <c r="B464" i="5" s="1"/>
  <c r="X86" i="18"/>
  <c r="T85" i="18"/>
  <c r="AB84" i="18"/>
  <c r="P84" i="18"/>
  <c r="B84" i="18" s="1"/>
  <c r="B273" i="5" s="1"/>
  <c r="B461" i="5" s="1"/>
  <c r="X83" i="18"/>
  <c r="U82" i="18"/>
  <c r="AE81" i="18"/>
  <c r="S81" i="18"/>
  <c r="AC80" i="18"/>
  <c r="Q80" i="18"/>
  <c r="Z79" i="18"/>
  <c r="W78" i="18"/>
  <c r="AE77" i="18"/>
  <c r="S77" i="18"/>
  <c r="AA186" i="18"/>
  <c r="T181" i="18"/>
  <c r="AA169" i="18"/>
  <c r="Q167" i="18"/>
  <c r="S164" i="18"/>
  <c r="V159" i="18"/>
  <c r="P154" i="18"/>
  <c r="B154" i="18" s="1"/>
  <c r="B343" i="5" s="1"/>
  <c r="B531" i="5" s="1"/>
  <c r="AE150" i="18"/>
  <c r="Z147" i="18"/>
  <c r="AE145" i="18"/>
  <c r="AE142" i="18"/>
  <c r="T141" i="18"/>
  <c r="S140" i="18"/>
  <c r="Z139" i="18"/>
  <c r="Y138" i="18"/>
  <c r="AC137" i="18"/>
  <c r="AD136" i="18"/>
  <c r="R133" i="18"/>
  <c r="C133" i="18" s="1"/>
  <c r="C322" i="5" s="1"/>
  <c r="C510" i="5" s="1"/>
  <c r="T132" i="18"/>
  <c r="Z131" i="18"/>
  <c r="AD130" i="18"/>
  <c r="AD129" i="18"/>
  <c r="S128" i="18"/>
  <c r="W127" i="18"/>
  <c r="AD126" i="18"/>
  <c r="Q126" i="18"/>
  <c r="Y125" i="18"/>
  <c r="S124" i="18"/>
  <c r="Z123" i="18"/>
  <c r="U122" i="18"/>
  <c r="AB121" i="18"/>
  <c r="W120" i="18"/>
  <c r="AE119" i="18"/>
  <c r="R119" i="18"/>
  <c r="C119" i="18" s="1"/>
  <c r="C308" i="5" s="1"/>
  <c r="C496" i="5" s="1"/>
  <c r="X118" i="18"/>
  <c r="AD117" i="18"/>
  <c r="Q117" i="18"/>
  <c r="AE189" i="18"/>
  <c r="Z186" i="18"/>
  <c r="AC177" i="18"/>
  <c r="AA171" i="18"/>
  <c r="Z169" i="18"/>
  <c r="P167" i="18"/>
  <c r="B167" i="18" s="1"/>
  <c r="B356" i="5" s="1"/>
  <c r="B544" i="5" s="1"/>
  <c r="AD162" i="18"/>
  <c r="AE160" i="18"/>
  <c r="Z152" i="18"/>
  <c r="AD150" i="18"/>
  <c r="AE148" i="18"/>
  <c r="Y147" i="18"/>
  <c r="Z145" i="18"/>
  <c r="U142" i="18"/>
  <c r="S141" i="18"/>
  <c r="R140" i="18"/>
  <c r="C140" i="18" s="1"/>
  <c r="C329" i="5" s="1"/>
  <c r="C517" i="5" s="1"/>
  <c r="Y139" i="18"/>
  <c r="X138" i="18"/>
  <c r="W137" i="18"/>
  <c r="AC136" i="18"/>
  <c r="Q133" i="18"/>
  <c r="S132" i="18"/>
  <c r="Y131" i="18"/>
  <c r="Y130" i="18"/>
  <c r="AC129" i="18"/>
  <c r="Q128" i="18"/>
  <c r="V127" i="18"/>
  <c r="AC126" i="18"/>
  <c r="P126" i="18"/>
  <c r="B126" i="18" s="1"/>
  <c r="B315" i="5" s="1"/>
  <c r="B503" i="5" s="1"/>
  <c r="X125" i="18"/>
  <c r="AE124" i="18"/>
  <c r="R124" i="18"/>
  <c r="C124" i="18" s="1"/>
  <c r="C313" i="5" s="1"/>
  <c r="C501" i="5" s="1"/>
  <c r="X123" i="18"/>
  <c r="T122" i="18"/>
  <c r="AA121" i="18"/>
  <c r="V120" i="18"/>
  <c r="AD189" i="18"/>
  <c r="S186" i="18"/>
  <c r="AC180" i="18"/>
  <c r="Y177" i="18"/>
  <c r="X171" i="18"/>
  <c r="Y169" i="18"/>
  <c r="P162" i="18"/>
  <c r="X160" i="18"/>
  <c r="AB157" i="18"/>
  <c r="AE155" i="18"/>
  <c r="AB150" i="18"/>
  <c r="AD148" i="18"/>
  <c r="Y145" i="18"/>
  <c r="AD143" i="18"/>
  <c r="T142" i="18"/>
  <c r="R141" i="18"/>
  <c r="C141" i="18" s="1"/>
  <c r="C330" i="5" s="1"/>
  <c r="C518" i="5" s="1"/>
  <c r="Q140" i="18"/>
  <c r="X139" i="18"/>
  <c r="W138" i="18"/>
  <c r="V137" i="18"/>
  <c r="AB136" i="18"/>
  <c r="R132" i="18"/>
  <c r="C132" i="18" s="1"/>
  <c r="C321" i="5" s="1"/>
  <c r="C509" i="5" s="1"/>
  <c r="X131" i="18"/>
  <c r="X130" i="18"/>
  <c r="AB129" i="18"/>
  <c r="P128" i="18"/>
  <c r="B128" i="18" s="1"/>
  <c r="B317" i="5" s="1"/>
  <c r="B505" i="5" s="1"/>
  <c r="U127" i="18"/>
  <c r="AB126" i="18"/>
  <c r="W125" i="18"/>
  <c r="AD124" i="18"/>
  <c r="P124" i="18"/>
  <c r="B124" i="18" s="1"/>
  <c r="B313" i="5" s="1"/>
  <c r="B501" i="5" s="1"/>
  <c r="W123" i="18"/>
  <c r="S122" i="18"/>
  <c r="Z121" i="18"/>
  <c r="U120" i="18"/>
  <c r="AC119" i="18"/>
  <c r="P119" i="18"/>
  <c r="B119" i="18" s="1"/>
  <c r="B308" i="5" s="1"/>
  <c r="B496" i="5" s="1"/>
  <c r="V118" i="18"/>
  <c r="AB117" i="18"/>
  <c r="V116" i="18"/>
  <c r="AA115" i="18"/>
  <c r="AD114" i="18"/>
  <c r="Q114" i="18"/>
  <c r="V113" i="18"/>
  <c r="AE112" i="18"/>
  <c r="R112" i="18"/>
  <c r="C112" i="18" s="1"/>
  <c r="C301" i="5" s="1"/>
  <c r="C489" i="5" s="1"/>
  <c r="X111" i="18"/>
  <c r="AD110" i="18"/>
  <c r="Q110" i="18"/>
  <c r="W109" i="18"/>
  <c r="AC108" i="18"/>
  <c r="P108" i="18"/>
  <c r="B108" i="18" s="1"/>
  <c r="B297" i="5" s="1"/>
  <c r="B485" i="5" s="1"/>
  <c r="V107" i="18"/>
  <c r="AB106" i="18"/>
  <c r="P106" i="18"/>
  <c r="B106" i="18" s="1"/>
  <c r="B295" i="5" s="1"/>
  <c r="B483" i="5" s="1"/>
  <c r="W105" i="18"/>
  <c r="AD104" i="18"/>
  <c r="R104" i="18"/>
  <c r="C104" i="18" s="1"/>
  <c r="C293" i="5" s="1"/>
  <c r="C481" i="5" s="1"/>
  <c r="X103" i="18"/>
  <c r="AD102" i="18"/>
  <c r="R102" i="18"/>
  <c r="C102" i="18" s="1"/>
  <c r="C291" i="5" s="1"/>
  <c r="C479" i="5" s="1"/>
  <c r="Y101" i="18"/>
  <c r="V100" i="18"/>
  <c r="AD99" i="18"/>
  <c r="R99" i="18"/>
  <c r="C99" i="18" s="1"/>
  <c r="C288" i="5" s="1"/>
  <c r="C476" i="5" s="1"/>
  <c r="AB98" i="18"/>
  <c r="P98" i="18"/>
  <c r="B98" i="18" s="1"/>
  <c r="B287" i="5" s="1"/>
  <c r="B475" i="5" s="1"/>
  <c r="Y97" i="18"/>
  <c r="V96" i="18"/>
  <c r="AE95" i="18"/>
  <c r="S95" i="18"/>
  <c r="AB94" i="18"/>
  <c r="P94" i="18"/>
  <c r="B94" i="18" s="1"/>
  <c r="B283" i="5" s="1"/>
  <c r="B471" i="5" s="1"/>
  <c r="Y93" i="18"/>
  <c r="U92" i="18"/>
  <c r="AC91" i="18"/>
  <c r="Q91" i="18"/>
  <c r="Y90" i="18"/>
  <c r="U89" i="18"/>
  <c r="AA191" i="18"/>
  <c r="AC188" i="18"/>
  <c r="V185" i="18"/>
  <c r="AA180" i="18"/>
  <c r="Q177" i="18"/>
  <c r="V171" i="18"/>
  <c r="AE168" i="18"/>
  <c r="AC155" i="18"/>
  <c r="W148" i="18"/>
  <c r="AB143" i="18"/>
  <c r="R142" i="18"/>
  <c r="C142" i="18" s="1"/>
  <c r="C331" i="5" s="1"/>
  <c r="C519" i="5" s="1"/>
  <c r="Q139" i="18"/>
  <c r="U138" i="18"/>
  <c r="T137" i="18"/>
  <c r="Z136" i="18"/>
  <c r="AB135" i="18"/>
  <c r="AE133" i="18"/>
  <c r="P132" i="18"/>
  <c r="B132" i="18" s="1"/>
  <c r="B321" i="5" s="1"/>
  <c r="B509" i="5" s="1"/>
  <c r="V131" i="18"/>
  <c r="V130" i="18"/>
  <c r="Z129" i="18"/>
  <c r="AC128" i="18"/>
  <c r="S127" i="18"/>
  <c r="Z126" i="18"/>
  <c r="T125" i="18"/>
  <c r="AA124" i="18"/>
  <c r="U123" i="18"/>
  <c r="AD122" i="18"/>
  <c r="Q122" i="18"/>
  <c r="X121" i="18"/>
  <c r="S120" i="18"/>
  <c r="AA119" i="18"/>
  <c r="Q188" i="18"/>
  <c r="T180" i="18"/>
  <c r="R170" i="18"/>
  <c r="C170" i="18" s="1"/>
  <c r="C359" i="5" s="1"/>
  <c r="C547" i="5" s="1"/>
  <c r="P158" i="18"/>
  <c r="B158" i="18" s="1"/>
  <c r="B347" i="5" s="1"/>
  <c r="B535" i="5" s="1"/>
  <c r="AD144" i="18"/>
  <c r="S142" i="18"/>
  <c r="T138" i="18"/>
  <c r="AA136" i="18"/>
  <c r="X135" i="18"/>
  <c r="AC133" i="18"/>
  <c r="T130" i="18"/>
  <c r="AE128" i="18"/>
  <c r="P127" i="18"/>
  <c r="B127" i="18" s="1"/>
  <c r="B316" i="5" s="1"/>
  <c r="B504" i="5" s="1"/>
  <c r="Z124" i="18"/>
  <c r="R123" i="18"/>
  <c r="C123" i="18" s="1"/>
  <c r="C312" i="5" s="1"/>
  <c r="C500" i="5" s="1"/>
  <c r="AE120" i="18"/>
  <c r="Z119" i="18"/>
  <c r="T118" i="18"/>
  <c r="U117" i="18"/>
  <c r="R116" i="18"/>
  <c r="C116" i="18" s="1"/>
  <c r="C305" i="5" s="1"/>
  <c r="C493" i="5" s="1"/>
  <c r="P115" i="18"/>
  <c r="S112" i="18"/>
  <c r="U111" i="18"/>
  <c r="Y110" i="18"/>
  <c r="AB109" i="18"/>
  <c r="Q108" i="18"/>
  <c r="T107" i="18"/>
  <c r="X106" i="18"/>
  <c r="AC105" i="18"/>
  <c r="S104" i="18"/>
  <c r="V103" i="18"/>
  <c r="Z102" i="18"/>
  <c r="AE101" i="18"/>
  <c r="Q101" i="18"/>
  <c r="X100" i="18"/>
  <c r="AE99" i="18"/>
  <c r="P99" i="18"/>
  <c r="B99" i="18" s="1"/>
  <c r="B288" i="5" s="1"/>
  <c r="B476" i="5" s="1"/>
  <c r="X98" i="18"/>
  <c r="AE97" i="18"/>
  <c r="Q97" i="18"/>
  <c r="X96" i="18"/>
  <c r="Q95" i="18"/>
  <c r="X94" i="18"/>
  <c r="AE93" i="18"/>
  <c r="Q93" i="18"/>
  <c r="W92" i="18"/>
  <c r="AD91" i="18"/>
  <c r="U90" i="18"/>
  <c r="AB89" i="18"/>
  <c r="V88" i="18"/>
  <c r="AC87" i="18"/>
  <c r="V86" i="18"/>
  <c r="AD85" i="18"/>
  <c r="Q85" i="18"/>
  <c r="X84" i="18"/>
  <c r="AE83" i="18"/>
  <c r="R83" i="18"/>
  <c r="C83" i="18" s="1"/>
  <c r="C272" i="5" s="1"/>
  <c r="C460" i="5" s="1"/>
  <c r="AA82" i="18"/>
  <c r="W81" i="18"/>
  <c r="S80" i="18"/>
  <c r="AA79" i="18"/>
  <c r="U78" i="18"/>
  <c r="AB77" i="18"/>
  <c r="V76" i="18"/>
  <c r="AC75" i="18"/>
  <c r="Q75" i="18"/>
  <c r="X74" i="18"/>
  <c r="AD73" i="18"/>
  <c r="R73" i="18"/>
  <c r="C73" i="18" s="1"/>
  <c r="C262" i="5" s="1"/>
  <c r="C450" i="5" s="1"/>
  <c r="X72" i="18"/>
  <c r="AE71" i="18"/>
  <c r="S71" i="18"/>
  <c r="Y70" i="18"/>
  <c r="AE69" i="18"/>
  <c r="S69" i="18"/>
  <c r="Z68" i="18"/>
  <c r="V67" i="18"/>
  <c r="AD66" i="18"/>
  <c r="R66" i="18"/>
  <c r="C66" i="18" s="1"/>
  <c r="C255" i="5" s="1"/>
  <c r="C443" i="5" s="1"/>
  <c r="Z65" i="18"/>
  <c r="V64" i="18"/>
  <c r="AE63" i="18"/>
  <c r="R63" i="18"/>
  <c r="C63" i="18" s="1"/>
  <c r="C252" i="5" s="1"/>
  <c r="C440" i="5" s="1"/>
  <c r="AA62" i="18"/>
  <c r="W61" i="18"/>
  <c r="AE60" i="18"/>
  <c r="S60" i="18"/>
  <c r="AA59" i="18"/>
  <c r="U58" i="18"/>
  <c r="AC57" i="18"/>
  <c r="Q57" i="18"/>
  <c r="U56" i="18"/>
  <c r="AC55" i="18"/>
  <c r="Q55" i="18"/>
  <c r="Y54" i="18"/>
  <c r="U53" i="18"/>
  <c r="AD52" i="18"/>
  <c r="R52" i="18"/>
  <c r="C52" i="18" s="1"/>
  <c r="C241" i="5" s="1"/>
  <c r="C429" i="5" s="1"/>
  <c r="X51" i="18"/>
  <c r="T50" i="18"/>
  <c r="AB49" i="18"/>
  <c r="P49" i="18"/>
  <c r="B49" i="18" s="1"/>
  <c r="B238" i="5" s="1"/>
  <c r="B426" i="5" s="1"/>
  <c r="X48" i="18"/>
  <c r="T47" i="18"/>
  <c r="AB46" i="18"/>
  <c r="P46" i="18"/>
  <c r="B46" i="18" s="1"/>
  <c r="B235" i="5" s="1"/>
  <c r="B423" i="5" s="1"/>
  <c r="X45" i="18"/>
  <c r="T44" i="18"/>
  <c r="Z43" i="18"/>
  <c r="T42" i="18"/>
  <c r="AA41" i="18"/>
  <c r="W40" i="18"/>
  <c r="AE39" i="18"/>
  <c r="S39" i="18"/>
  <c r="AA38" i="18"/>
  <c r="W37" i="18"/>
  <c r="AE36" i="18"/>
  <c r="S36" i="18"/>
  <c r="AA35" i="18"/>
  <c r="V34" i="18"/>
  <c r="AC33" i="18"/>
  <c r="Q33" i="18"/>
  <c r="X32" i="18"/>
  <c r="T31" i="18"/>
  <c r="AB30" i="18"/>
  <c r="P30" i="18"/>
  <c r="B30" i="18" s="1"/>
  <c r="B219" i="5" s="1"/>
  <c r="B407" i="5" s="1"/>
  <c r="X29" i="18"/>
  <c r="T28" i="18"/>
  <c r="AB27" i="18"/>
  <c r="P27" i="18"/>
  <c r="B27" i="18" s="1"/>
  <c r="B216" i="5" s="1"/>
  <c r="B404" i="5" s="1"/>
  <c r="X26" i="18"/>
  <c r="AA25" i="18"/>
  <c r="X24" i="18"/>
  <c r="T23" i="18"/>
  <c r="AC22" i="18"/>
  <c r="Q22" i="18"/>
  <c r="Y21" i="18"/>
  <c r="U20" i="18"/>
  <c r="AC19" i="18"/>
  <c r="Q19" i="18"/>
  <c r="X18" i="18"/>
  <c r="T17" i="18"/>
  <c r="AA16" i="18"/>
  <c r="V15" i="18"/>
  <c r="AB14" i="18"/>
  <c r="P14" i="18"/>
  <c r="B14" i="18" s="1"/>
  <c r="B203" i="5" s="1"/>
  <c r="B391" i="5" s="1"/>
  <c r="W13" i="18"/>
  <c r="AD12" i="18"/>
  <c r="R12" i="18"/>
  <c r="C12" i="18" s="1"/>
  <c r="C201" i="5" s="1"/>
  <c r="C389" i="5" s="1"/>
  <c r="X11" i="18"/>
  <c r="Y166" i="18"/>
  <c r="AD155" i="18"/>
  <c r="AC144" i="18"/>
  <c r="T136" i="18"/>
  <c r="W133" i="18"/>
  <c r="S130" i="18"/>
  <c r="AB128" i="18"/>
  <c r="AE125" i="18"/>
  <c r="Y124" i="18"/>
  <c r="Q123" i="18"/>
  <c r="AD120" i="18"/>
  <c r="Y119" i="18"/>
  <c r="S118" i="18"/>
  <c r="P117" i="18"/>
  <c r="B117" i="18" s="1"/>
  <c r="B306" i="5" s="1"/>
  <c r="B494" i="5" s="1"/>
  <c r="Q116" i="18"/>
  <c r="AE113" i="18"/>
  <c r="Q112" i="18"/>
  <c r="T111" i="18"/>
  <c r="W110" i="18"/>
  <c r="AA109" i="18"/>
  <c r="AE108" i="18"/>
  <c r="S107" i="18"/>
  <c r="W106" i="18"/>
  <c r="AB105" i="18"/>
  <c r="Q104" i="18"/>
  <c r="U103" i="18"/>
  <c r="Y102" i="18"/>
  <c r="AD101" i="18"/>
  <c r="W100" i="18"/>
  <c r="AC99" i="18"/>
  <c r="W98" i="18"/>
  <c r="AD97" i="18"/>
  <c r="W96" i="18"/>
  <c r="AD95" i="18"/>
  <c r="P95" i="18"/>
  <c r="B95" i="18" s="1"/>
  <c r="B284" i="5" s="1"/>
  <c r="B472" i="5" s="1"/>
  <c r="W94" i="18"/>
  <c r="AD93" i="18"/>
  <c r="V92" i="18"/>
  <c r="AB91" i="18"/>
  <c r="T90" i="18"/>
  <c r="AA89" i="18"/>
  <c r="U88" i="18"/>
  <c r="AA87" i="18"/>
  <c r="U86" i="18"/>
  <c r="AC85" i="18"/>
  <c r="P85" i="18"/>
  <c r="B85" i="18" s="1"/>
  <c r="B274" i="5" s="1"/>
  <c r="B462" i="5" s="1"/>
  <c r="W84" i="18"/>
  <c r="AD83" i="18"/>
  <c r="Q83" i="18"/>
  <c r="Z82" i="18"/>
  <c r="V81" i="18"/>
  <c r="AE80" i="18"/>
  <c r="R80" i="18"/>
  <c r="C80" i="18" s="1"/>
  <c r="C269" i="5" s="1"/>
  <c r="C457" i="5" s="1"/>
  <c r="Y79" i="18"/>
  <c r="T78" i="18"/>
  <c r="AA77" i="18"/>
  <c r="AE191" i="18"/>
  <c r="W179" i="18"/>
  <c r="Q155" i="18"/>
  <c r="AB146" i="18"/>
  <c r="AB144" i="18"/>
  <c r="S136" i="18"/>
  <c r="V133" i="18"/>
  <c r="R130" i="18"/>
  <c r="C130" i="18" s="1"/>
  <c r="C319" i="5" s="1"/>
  <c r="C507" i="5" s="1"/>
  <c r="AA128" i="18"/>
  <c r="AD125" i="18"/>
  <c r="X124" i="18"/>
  <c r="AC120" i="18"/>
  <c r="X119" i="18"/>
  <c r="Q118" i="18"/>
  <c r="P116" i="18"/>
  <c r="B116" i="18" s="1"/>
  <c r="B305" i="5" s="1"/>
  <c r="B493" i="5" s="1"/>
  <c r="AC114" i="18"/>
  <c r="AD113" i="18"/>
  <c r="P112" i="18"/>
  <c r="B112" i="18" s="1"/>
  <c r="B301" i="5" s="1"/>
  <c r="B489" i="5" s="1"/>
  <c r="S111" i="18"/>
  <c r="V110" i="18"/>
  <c r="Y109" i="18"/>
  <c r="AD108" i="18"/>
  <c r="R107" i="18"/>
  <c r="C107" i="18" s="1"/>
  <c r="C296" i="5" s="1"/>
  <c r="C484" i="5" s="1"/>
  <c r="V106" i="18"/>
  <c r="AA105" i="18"/>
  <c r="AE104" i="18"/>
  <c r="P104" i="18"/>
  <c r="B104" i="18" s="1"/>
  <c r="B293" i="5" s="1"/>
  <c r="B481" i="5" s="1"/>
  <c r="T103" i="18"/>
  <c r="X102" i="18"/>
  <c r="AC101" i="18"/>
  <c r="U100" i="18"/>
  <c r="AB99" i="18"/>
  <c r="V98" i="18"/>
  <c r="AC97" i="18"/>
  <c r="U96" i="18"/>
  <c r="AC95" i="18"/>
  <c r="V94" i="18"/>
  <c r="AC93" i="18"/>
  <c r="T92" i="18"/>
  <c r="AA91" i="18"/>
  <c r="S90" i="18"/>
  <c r="Z89" i="18"/>
  <c r="S88" i="18"/>
  <c r="Z87" i="18"/>
  <c r="T86" i="18"/>
  <c r="AB85" i="18"/>
  <c r="V84" i="18"/>
  <c r="AC83" i="18"/>
  <c r="P83" i="18"/>
  <c r="B83" i="18" s="1"/>
  <c r="B272" i="5" s="1"/>
  <c r="B460" i="5" s="1"/>
  <c r="Y82" i="18"/>
  <c r="U81" i="18"/>
  <c r="AD80" i="18"/>
  <c r="P80" i="18"/>
  <c r="B80" i="18" s="1"/>
  <c r="B269" i="5" s="1"/>
  <c r="B457" i="5" s="1"/>
  <c r="X79" i="18"/>
  <c r="S78" i="18"/>
  <c r="Z77" i="18"/>
  <c r="T76" i="18"/>
  <c r="AA75" i="18"/>
  <c r="V74" i="18"/>
  <c r="AB73" i="18"/>
  <c r="P73" i="18"/>
  <c r="V72" i="18"/>
  <c r="AC71" i="18"/>
  <c r="Q71" i="18"/>
  <c r="W70" i="18"/>
  <c r="AC69" i="18"/>
  <c r="Q69" i="18"/>
  <c r="X68" i="18"/>
  <c r="T67" i="18"/>
  <c r="AB66" i="18"/>
  <c r="P66" i="18"/>
  <c r="B66" i="18" s="1"/>
  <c r="B255" i="5" s="1"/>
  <c r="B443" i="5" s="1"/>
  <c r="X65" i="18"/>
  <c r="T64" i="18"/>
  <c r="AC63" i="18"/>
  <c r="P63" i="18"/>
  <c r="B63" i="18" s="1"/>
  <c r="B252" i="5" s="1"/>
  <c r="B440" i="5" s="1"/>
  <c r="Y62" i="18"/>
  <c r="U61" i="18"/>
  <c r="AC60" i="18"/>
  <c r="Q60" i="18"/>
  <c r="Y59" i="18"/>
  <c r="AE58" i="18"/>
  <c r="Z191" i="18"/>
  <c r="X168" i="18"/>
  <c r="AA149" i="18"/>
  <c r="AA146" i="18"/>
  <c r="R136" i="18"/>
  <c r="C136" i="18" s="1"/>
  <c r="C325" i="5" s="1"/>
  <c r="C513" i="5" s="1"/>
  <c r="W131" i="18"/>
  <c r="Z128" i="18"/>
  <c r="AC125" i="18"/>
  <c r="W124" i="18"/>
  <c r="AB120" i="18"/>
  <c r="V119" i="18"/>
  <c r="P118" i="18"/>
  <c r="B118" i="18" s="1"/>
  <c r="B307" i="5" s="1"/>
  <c r="B495" i="5" s="1"/>
  <c r="AB114" i="18"/>
  <c r="AC113" i="18"/>
  <c r="R111" i="18"/>
  <c r="C111" i="18" s="1"/>
  <c r="C300" i="5" s="1"/>
  <c r="C488" i="5" s="1"/>
  <c r="U110" i="18"/>
  <c r="X109" i="18"/>
  <c r="AB108" i="18"/>
  <c r="AE107" i="18"/>
  <c r="Q107" i="18"/>
  <c r="U106" i="18"/>
  <c r="Y105" i="18"/>
  <c r="AC104" i="18"/>
  <c r="S103" i="18"/>
  <c r="W102" i="18"/>
  <c r="AA101" i="18"/>
  <c r="T100" i="18"/>
  <c r="AA99" i="18"/>
  <c r="U98" i="18"/>
  <c r="AA97" i="18"/>
  <c r="T96" i="18"/>
  <c r="AB95" i="18"/>
  <c r="U94" i="18"/>
  <c r="AA93" i="18"/>
  <c r="S92" i="18"/>
  <c r="Z91" i="18"/>
  <c r="R90" i="18"/>
  <c r="C90" i="18" s="1"/>
  <c r="C279" i="5" s="1"/>
  <c r="C467" i="5" s="1"/>
  <c r="Y89" i="18"/>
  <c r="AE88" i="18"/>
  <c r="R88" i="18"/>
  <c r="C88" i="18" s="1"/>
  <c r="C277" i="5" s="1"/>
  <c r="C465" i="5" s="1"/>
  <c r="Y87" i="18"/>
  <c r="S86" i="18"/>
  <c r="AA85" i="18"/>
  <c r="U84" i="18"/>
  <c r="AB83" i="18"/>
  <c r="X82" i="18"/>
  <c r="T81" i="18"/>
  <c r="AB80" i="18"/>
  <c r="W79" i="18"/>
  <c r="AE78" i="18"/>
  <c r="R78" i="18"/>
  <c r="C78" i="18" s="1"/>
  <c r="C267" i="5" s="1"/>
  <c r="C455" i="5" s="1"/>
  <c r="Y77" i="18"/>
  <c r="AE76" i="18"/>
  <c r="S76" i="18"/>
  <c r="Z75" i="18"/>
  <c r="U74" i="18"/>
  <c r="AA73" i="18"/>
  <c r="U72" i="18"/>
  <c r="AB71" i="18"/>
  <c r="P71" i="18"/>
  <c r="B71" i="18" s="1"/>
  <c r="B260" i="5" s="1"/>
  <c r="B448" i="5" s="1"/>
  <c r="V70" i="18"/>
  <c r="AB69" i="18"/>
  <c r="P69" i="18"/>
  <c r="B69" i="18" s="1"/>
  <c r="B258" i="5" s="1"/>
  <c r="B446" i="5" s="1"/>
  <c r="W68" i="18"/>
  <c r="AE67" i="18"/>
  <c r="S67" i="18"/>
  <c r="AA66" i="18"/>
  <c r="W65" i="18"/>
  <c r="AE64" i="18"/>
  <c r="S64" i="18"/>
  <c r="AB63" i="18"/>
  <c r="S191" i="18"/>
  <c r="V168" i="18"/>
  <c r="AE159" i="18"/>
  <c r="P157" i="18"/>
  <c r="B157" i="18" s="1"/>
  <c r="B346" i="5" s="1"/>
  <c r="B534" i="5" s="1"/>
  <c r="Y146" i="18"/>
  <c r="Z141" i="18"/>
  <c r="W139" i="18"/>
  <c r="Q136" i="18"/>
  <c r="Z134" i="18"/>
  <c r="Q131" i="18"/>
  <c r="Y128" i="18"/>
  <c r="V125" i="18"/>
  <c r="Y121" i="18"/>
  <c r="T120" i="18"/>
  <c r="Q119" i="18"/>
  <c r="AE116" i="18"/>
  <c r="AC115" i="18"/>
  <c r="AA114" i="18"/>
  <c r="X113" i="18"/>
  <c r="AD112" i="18"/>
  <c r="P111" i="18"/>
  <c r="B111" i="18" s="1"/>
  <c r="B300" i="5" s="1"/>
  <c r="B488" i="5" s="1"/>
  <c r="S110" i="18"/>
  <c r="V109" i="18"/>
  <c r="AA108" i="18"/>
  <c r="AD107" i="18"/>
  <c r="P107" i="18"/>
  <c r="B107" i="18" s="1"/>
  <c r="B296" i="5" s="1"/>
  <c r="B484" i="5" s="1"/>
  <c r="T106" i="18"/>
  <c r="X105" i="18"/>
  <c r="AB104" i="18"/>
  <c r="R103" i="18"/>
  <c r="C103" i="18" s="1"/>
  <c r="C292" i="5" s="1"/>
  <c r="C480" i="5" s="1"/>
  <c r="V102" i="18"/>
  <c r="Z101" i="18"/>
  <c r="S100" i="18"/>
  <c r="Z99" i="18"/>
  <c r="T98" i="18"/>
  <c r="Z97" i="18"/>
  <c r="S96" i="18"/>
  <c r="AA95" i="18"/>
  <c r="T94" i="18"/>
  <c r="Z93" i="18"/>
  <c r="R92" i="18"/>
  <c r="C92" i="18" s="1"/>
  <c r="C281" i="5" s="1"/>
  <c r="C469" i="5" s="1"/>
  <c r="Y91" i="18"/>
  <c r="AE90" i="18"/>
  <c r="Q90" i="18"/>
  <c r="W89" i="18"/>
  <c r="AD88" i="18"/>
  <c r="Q88" i="18"/>
  <c r="X87" i="18"/>
  <c r="AE86" i="18"/>
  <c r="R86" i="18"/>
  <c r="C86" i="18" s="1"/>
  <c r="C275" i="5" s="1"/>
  <c r="C463" i="5" s="1"/>
  <c r="Z85" i="18"/>
  <c r="T84" i="18"/>
  <c r="AA83" i="18"/>
  <c r="W82" i="18"/>
  <c r="R81" i="18"/>
  <c r="C81" i="18" s="1"/>
  <c r="C270" i="5" s="1"/>
  <c r="C458" i="5" s="1"/>
  <c r="AA80" i="18"/>
  <c r="V79" i="18"/>
  <c r="AD78" i="18"/>
  <c r="Q78" i="18"/>
  <c r="X77" i="18"/>
  <c r="AD76" i="18"/>
  <c r="R76" i="18"/>
  <c r="C76" i="18" s="1"/>
  <c r="C265" i="5" s="1"/>
  <c r="C453" i="5" s="1"/>
  <c r="Y75" i="18"/>
  <c r="T74" i="18"/>
  <c r="Z73" i="18"/>
  <c r="T72" i="18"/>
  <c r="AA71" i="18"/>
  <c r="U70" i="18"/>
  <c r="AA69" i="18"/>
  <c r="V68" i="18"/>
  <c r="AD67" i="18"/>
  <c r="R67" i="18"/>
  <c r="C67" i="18" s="1"/>
  <c r="C256" i="5" s="1"/>
  <c r="C444" i="5" s="1"/>
  <c r="Z66" i="18"/>
  <c r="V65" i="18"/>
  <c r="AD184" i="18"/>
  <c r="AA182" i="18"/>
  <c r="V165" i="18"/>
  <c r="Q163" i="18"/>
  <c r="AD151" i="18"/>
  <c r="V148" i="18"/>
  <c r="Q143" i="18"/>
  <c r="AE140" i="18"/>
  <c r="R137" i="18"/>
  <c r="C137" i="18" s="1"/>
  <c r="C326" i="5" s="1"/>
  <c r="C514" i="5" s="1"/>
  <c r="W134" i="18"/>
  <c r="AD132" i="18"/>
  <c r="T129" i="18"/>
  <c r="W126" i="18"/>
  <c r="Q125" i="18"/>
  <c r="AE123" i="18"/>
  <c r="AB122" i="18"/>
  <c r="U121" i="18"/>
  <c r="P120" i="18"/>
  <c r="B120" i="18" s="1"/>
  <c r="B309" i="5" s="1"/>
  <c r="B497" i="5" s="1"/>
  <c r="AE118" i="18"/>
  <c r="AA117" i="18"/>
  <c r="AB116" i="18"/>
  <c r="X115" i="18"/>
  <c r="X114" i="18"/>
  <c r="T113" i="18"/>
  <c r="AA112" i="18"/>
  <c r="AD111" i="18"/>
  <c r="AE110" i="18"/>
  <c r="R109" i="18"/>
  <c r="C109" i="18" s="1"/>
  <c r="C298" i="5" s="1"/>
  <c r="C486" i="5" s="1"/>
  <c r="W108" i="18"/>
  <c r="AA107" i="18"/>
  <c r="AD106" i="18"/>
  <c r="T105" i="18"/>
  <c r="Y104" i="18"/>
  <c r="AC103" i="18"/>
  <c r="Q102" i="18"/>
  <c r="V101" i="18"/>
  <c r="AD100" i="18"/>
  <c r="P100" i="18"/>
  <c r="B100" i="18" s="1"/>
  <c r="B289" i="5" s="1"/>
  <c r="B477" i="5" s="1"/>
  <c r="W99" i="18"/>
  <c r="AD98" i="18"/>
  <c r="V97" i="18"/>
  <c r="AD96" i="18"/>
  <c r="P96" i="18"/>
  <c r="B96" i="18" s="1"/>
  <c r="B285" i="5" s="1"/>
  <c r="B473" i="5" s="1"/>
  <c r="X95" i="18"/>
  <c r="AD94" i="18"/>
  <c r="V93" i="18"/>
  <c r="AC92" i="18"/>
  <c r="V91" i="18"/>
  <c r="AA90" i="18"/>
  <c r="S89" i="18"/>
  <c r="AA88" i="18"/>
  <c r="U87" i="18"/>
  <c r="AB86" i="18"/>
  <c r="W85" i="18"/>
  <c r="AD84" i="18"/>
  <c r="Q84" i="18"/>
  <c r="W83" i="18"/>
  <c r="S82" i="18"/>
  <c r="AB81" i="18"/>
  <c r="X80" i="18"/>
  <c r="S79" i="18"/>
  <c r="AA78" i="18"/>
  <c r="AE194" i="18"/>
  <c r="AC184" i="18"/>
  <c r="Z182" i="18"/>
  <c r="W171" i="18"/>
  <c r="P163" i="18"/>
  <c r="AE156" i="18"/>
  <c r="AC151" i="18"/>
  <c r="P143" i="18"/>
  <c r="B143" i="18" s="1"/>
  <c r="B332" i="5" s="1"/>
  <c r="B520" i="5" s="1"/>
  <c r="AD140" i="18"/>
  <c r="Q137" i="18"/>
  <c r="AC135" i="18"/>
  <c r="AC132" i="18"/>
  <c r="S129" i="18"/>
  <c r="AE127" i="18"/>
  <c r="V126" i="18"/>
  <c r="P125" i="18"/>
  <c r="B125" i="18" s="1"/>
  <c r="B314" i="5" s="1"/>
  <c r="AD123" i="18"/>
  <c r="AA122" i="18"/>
  <c r="T121" i="18"/>
  <c r="AC118" i="18"/>
  <c r="Z117" i="18"/>
  <c r="X116" i="18"/>
  <c r="W115" i="18"/>
  <c r="T114" i="18"/>
  <c r="S113" i="18"/>
  <c r="Z112" i="18"/>
  <c r="Z111" i="18"/>
  <c r="AC110" i="18"/>
  <c r="Q109" i="18"/>
  <c r="V108" i="18"/>
  <c r="Z107" i="18"/>
  <c r="AC106" i="18"/>
  <c r="S105" i="18"/>
  <c r="X104" i="18"/>
  <c r="AB103" i="18"/>
  <c r="AE102" i="18"/>
  <c r="P102" i="18"/>
  <c r="B102" i="18" s="1"/>
  <c r="B291" i="5" s="1"/>
  <c r="B479" i="5" s="1"/>
  <c r="U101" i="18"/>
  <c r="AC100" i="18"/>
  <c r="V99" i="18"/>
  <c r="AC98" i="18"/>
  <c r="U97" i="18"/>
  <c r="AC96" i="18"/>
  <c r="W95" i="18"/>
  <c r="AC94" i="18"/>
  <c r="U93" i="18"/>
  <c r="AB92" i="18"/>
  <c r="U91" i="18"/>
  <c r="Z90" i="18"/>
  <c r="R89" i="18"/>
  <c r="C89" i="18" s="1"/>
  <c r="C278" i="5" s="1"/>
  <c r="C466" i="5" s="1"/>
  <c r="Z88" i="18"/>
  <c r="T87" i="18"/>
  <c r="AA86" i="18"/>
  <c r="V85" i="18"/>
  <c r="AC84" i="18"/>
  <c r="V83" i="18"/>
  <c r="AE82" i="18"/>
  <c r="R82" i="18"/>
  <c r="C82" i="18" s="1"/>
  <c r="C271" i="5" s="1"/>
  <c r="C459" i="5" s="1"/>
  <c r="AA81" i="18"/>
  <c r="W80" i="18"/>
  <c r="AE79" i="18"/>
  <c r="R79" i="18"/>
  <c r="C79" i="18" s="1"/>
  <c r="C268" i="5" s="1"/>
  <c r="C456" i="5" s="1"/>
  <c r="AD194" i="18"/>
  <c r="AE158" i="18"/>
  <c r="AC153" i="18"/>
  <c r="X145" i="18"/>
  <c r="AC140" i="18"/>
  <c r="AA135" i="18"/>
  <c r="AB132" i="18"/>
  <c r="R129" i="18"/>
  <c r="C129" i="18" s="1"/>
  <c r="C318" i="5" s="1"/>
  <c r="C506" i="5" s="1"/>
  <c r="AD127" i="18"/>
  <c r="U126" i="18"/>
  <c r="V123" i="18"/>
  <c r="Z122" i="18"/>
  <c r="AB118" i="18"/>
  <c r="X117" i="18"/>
  <c r="W116" i="18"/>
  <c r="V115" i="18"/>
  <c r="R114" i="18"/>
  <c r="C114" i="18" s="1"/>
  <c r="C303" i="5" s="1"/>
  <c r="C491" i="5" s="1"/>
  <c r="R113" i="18"/>
  <c r="C113" i="18" s="1"/>
  <c r="C302" i="5" s="1"/>
  <c r="C490" i="5" s="1"/>
  <c r="Y112" i="18"/>
  <c r="Y111" i="18"/>
  <c r="AB110" i="18"/>
  <c r="P109" i="18"/>
  <c r="B109" i="18" s="1"/>
  <c r="B298" i="5" s="1"/>
  <c r="B486" i="5" s="1"/>
  <c r="U108" i="18"/>
  <c r="X107" i="18"/>
  <c r="AA106" i="18"/>
  <c r="R105" i="18"/>
  <c r="C105" i="18" s="1"/>
  <c r="C294" i="5" s="1"/>
  <c r="C482" i="5" s="1"/>
  <c r="Y135" i="18"/>
  <c r="W121" i="18"/>
  <c r="AB115" i="18"/>
  <c r="P113" i="18"/>
  <c r="B113" i="18" s="1"/>
  <c r="B302" i="5" s="1"/>
  <c r="B490" i="5" s="1"/>
  <c r="Z106" i="18"/>
  <c r="AA104" i="18"/>
  <c r="AC102" i="18"/>
  <c r="R101" i="18"/>
  <c r="C101" i="18" s="1"/>
  <c r="C290" i="5" s="1"/>
  <c r="C478" i="5" s="1"/>
  <c r="Y98" i="18"/>
  <c r="Z95" i="18"/>
  <c r="Q94" i="18"/>
  <c r="AD92" i="18"/>
  <c r="R91" i="18"/>
  <c r="C91" i="18" s="1"/>
  <c r="C280" i="5" s="1"/>
  <c r="C468" i="5" s="1"/>
  <c r="AB88" i="18"/>
  <c r="S87" i="18"/>
  <c r="Z84" i="18"/>
  <c r="AB79" i="18"/>
  <c r="Y78" i="18"/>
  <c r="T77" i="18"/>
  <c r="U76" i="18"/>
  <c r="U75" i="18"/>
  <c r="Y74" i="18"/>
  <c r="W73" i="18"/>
  <c r="Z72" i="18"/>
  <c r="Y71" i="18"/>
  <c r="AA70" i="18"/>
  <c r="Y69" i="18"/>
  <c r="AB68" i="18"/>
  <c r="AC67" i="18"/>
  <c r="Q65" i="18"/>
  <c r="W64" i="18"/>
  <c r="Y63" i="18"/>
  <c r="R62" i="18"/>
  <c r="C62" i="18" s="1"/>
  <c r="C251" i="5" s="1"/>
  <c r="C439" i="5" s="1"/>
  <c r="Y61" i="18"/>
  <c r="AD60" i="18"/>
  <c r="U59" i="18"/>
  <c r="Y58" i="18"/>
  <c r="S57" i="18"/>
  <c r="V56" i="18"/>
  <c r="AB55" i="18"/>
  <c r="V54" i="18"/>
  <c r="AD53" i="18"/>
  <c r="Q53" i="18"/>
  <c r="Y52" i="18"/>
  <c r="AD51" i="18"/>
  <c r="Q51" i="18"/>
  <c r="Y50" i="18"/>
  <c r="S49" i="18"/>
  <c r="Z48" i="18"/>
  <c r="U47" i="18"/>
  <c r="AA46" i="18"/>
  <c r="U45" i="18"/>
  <c r="AC44" i="18"/>
  <c r="P44" i="18"/>
  <c r="B44" i="18" s="1"/>
  <c r="B233" i="5" s="1"/>
  <c r="B421" i="5" s="1"/>
  <c r="U43" i="18"/>
  <c r="AA42" i="18"/>
  <c r="T41" i="18"/>
  <c r="AA40" i="18"/>
  <c r="U39" i="18"/>
  <c r="AB38" i="18"/>
  <c r="U37" i="18"/>
  <c r="AB36" i="18"/>
  <c r="V35" i="18"/>
  <c r="AB34" i="18"/>
  <c r="U33" i="18"/>
  <c r="AA32" i="18"/>
  <c r="V31" i="18"/>
  <c r="AC30" i="18"/>
  <c r="V29" i="18"/>
  <c r="AD28" i="18"/>
  <c r="Q28" i="18"/>
  <c r="X27" i="18"/>
  <c r="AE26" i="18"/>
  <c r="R26" i="18"/>
  <c r="C26" i="18" s="1"/>
  <c r="C215" i="5" s="1"/>
  <c r="T25" i="18"/>
  <c r="AB24" i="18"/>
  <c r="W23" i="18"/>
  <c r="AE22" i="18"/>
  <c r="R22" i="18"/>
  <c r="C22" i="18" s="1"/>
  <c r="C211" i="5" s="1"/>
  <c r="C399" i="5" s="1"/>
  <c r="X21" i="18"/>
  <c r="S20" i="18"/>
  <c r="Z19" i="18"/>
  <c r="S18" i="18"/>
  <c r="AA17" i="18"/>
  <c r="T16" i="18"/>
  <c r="Z15" i="18"/>
  <c r="AE14" i="18"/>
  <c r="R14" i="18"/>
  <c r="C14" i="18" s="1"/>
  <c r="C203" i="5" s="1"/>
  <c r="C391" i="5" s="1"/>
  <c r="X13" i="18"/>
  <c r="AC12" i="18"/>
  <c r="P12" i="18"/>
  <c r="B12" i="18" s="1"/>
  <c r="B201" i="5" s="1"/>
  <c r="B389" i="5" s="1"/>
  <c r="U11" i="18"/>
  <c r="AC10" i="18"/>
  <c r="Q10" i="18"/>
  <c r="Y9" i="18"/>
  <c r="U173" i="18"/>
  <c r="AB140" i="18"/>
  <c r="AE132" i="18"/>
  <c r="AA126" i="18"/>
  <c r="T123" i="18"/>
  <c r="V121" i="18"/>
  <c r="W118" i="18"/>
  <c r="Y115" i="18"/>
  <c r="Y106" i="18"/>
  <c r="Z104" i="18"/>
  <c r="AB102" i="18"/>
  <c r="Y99" i="18"/>
  <c r="R98" i="18"/>
  <c r="C98" i="18" s="1"/>
  <c r="C287" i="5" s="1"/>
  <c r="C475" i="5" s="1"/>
  <c r="Y95" i="18"/>
  <c r="AA92" i="18"/>
  <c r="P91" i="18"/>
  <c r="B91" i="18" s="1"/>
  <c r="B280" i="5" s="1"/>
  <c r="B468" i="5" s="1"/>
  <c r="AE89" i="18"/>
  <c r="Y88" i="18"/>
  <c r="R87" i="18"/>
  <c r="C87" i="18" s="1"/>
  <c r="C276" i="5" s="1"/>
  <c r="C464" i="5" s="1"/>
  <c r="Y84" i="18"/>
  <c r="U79" i="18"/>
  <c r="X78" i="18"/>
  <c r="R77" i="18"/>
  <c r="C77" i="18" s="1"/>
  <c r="C266" i="5" s="1"/>
  <c r="C454" i="5" s="1"/>
  <c r="Q76" i="18"/>
  <c r="T75" i="18"/>
  <c r="W74" i="18"/>
  <c r="V73" i="18"/>
  <c r="Y72" i="18"/>
  <c r="X71" i="18"/>
  <c r="Z70" i="18"/>
  <c r="X69" i="18"/>
  <c r="AA68" i="18"/>
  <c r="AB67" i="18"/>
  <c r="P65" i="18"/>
  <c r="B65" i="18" s="1"/>
  <c r="B254" i="5" s="1"/>
  <c r="B442" i="5" s="1"/>
  <c r="U64" i="18"/>
  <c r="X63" i="18"/>
  <c r="AE62" i="18"/>
  <c r="Q62" i="18"/>
  <c r="X61" i="18"/>
  <c r="AB60" i="18"/>
  <c r="T59" i="18"/>
  <c r="X58" i="18"/>
  <c r="AE57" i="18"/>
  <c r="R57" i="18"/>
  <c r="C57" i="18" s="1"/>
  <c r="C246" i="5" s="1"/>
  <c r="C434" i="5" s="1"/>
  <c r="T56" i="18"/>
  <c r="AA55" i="18"/>
  <c r="U54" i="18"/>
  <c r="AA161" i="18"/>
  <c r="AC148" i="18"/>
  <c r="P140" i="18"/>
  <c r="B140" i="18" s="1"/>
  <c r="B329" i="5" s="1"/>
  <c r="B517" i="5" s="1"/>
  <c r="Q132" i="18"/>
  <c r="AA129" i="18"/>
  <c r="X126" i="18"/>
  <c r="S123" i="18"/>
  <c r="U118" i="18"/>
  <c r="U115" i="18"/>
  <c r="AA110" i="18"/>
  <c r="Y108" i="18"/>
  <c r="R106" i="18"/>
  <c r="C106" i="18" s="1"/>
  <c r="C295" i="5" s="1"/>
  <c r="C483" i="5" s="1"/>
  <c r="W104" i="18"/>
  <c r="AA102" i="18"/>
  <c r="X99" i="18"/>
  <c r="Q98" i="18"/>
  <c r="AE96" i="18"/>
  <c r="U95" i="18"/>
  <c r="Z92" i="18"/>
  <c r="AD89" i="18"/>
  <c r="X88" i="18"/>
  <c r="Q87" i="18"/>
  <c r="AE85" i="18"/>
  <c r="S84" i="18"/>
  <c r="Z80" i="18"/>
  <c r="T79" i="18"/>
  <c r="V78" i="18"/>
  <c r="Q77" i="18"/>
  <c r="P76" i="18"/>
  <c r="B76" i="18" s="1"/>
  <c r="B265" i="5" s="1"/>
  <c r="B453" i="5" s="1"/>
  <c r="S75" i="18"/>
  <c r="S74" i="18"/>
  <c r="U73" i="18"/>
  <c r="W72" i="18"/>
  <c r="W71" i="18"/>
  <c r="X70" i="18"/>
  <c r="W69" i="18"/>
  <c r="Y68" i="18"/>
  <c r="AA67" i="18"/>
  <c r="AE66" i="18"/>
  <c r="AE65" i="18"/>
  <c r="R64" i="18"/>
  <c r="C64" i="18" s="1"/>
  <c r="C253" i="5" s="1"/>
  <c r="C441" i="5" s="1"/>
  <c r="W63" i="18"/>
  <c r="AD62" i="18"/>
  <c r="P62" i="18"/>
  <c r="B62" i="18" s="1"/>
  <c r="B251" i="5" s="1"/>
  <c r="B439" i="5" s="1"/>
  <c r="V61" i="18"/>
  <c r="AA60" i="18"/>
  <c r="S59" i="18"/>
  <c r="W58" i="18"/>
  <c r="AD57" i="18"/>
  <c r="P57" i="18"/>
  <c r="B57" i="18" s="1"/>
  <c r="B246" i="5" s="1"/>
  <c r="B434" i="5" s="1"/>
  <c r="S56" i="18"/>
  <c r="Z55" i="18"/>
  <c r="T54" i="18"/>
  <c r="AB53" i="18"/>
  <c r="W52" i="18"/>
  <c r="AB51" i="18"/>
  <c r="W50" i="18"/>
  <c r="X177" i="18"/>
  <c r="U137" i="18"/>
  <c r="U129" i="18"/>
  <c r="T115" i="18"/>
  <c r="Z110" i="18"/>
  <c r="X108" i="18"/>
  <c r="Q106" i="18"/>
  <c r="V104" i="18"/>
  <c r="T102" i="18"/>
  <c r="T99" i="18"/>
  <c r="AB96" i="18"/>
  <c r="T95" i="18"/>
  <c r="Y92" i="18"/>
  <c r="AC89" i="18"/>
  <c r="W88" i="18"/>
  <c r="Y85" i="18"/>
  <c r="R84" i="18"/>
  <c r="C84" i="18" s="1"/>
  <c r="C273" i="5" s="1"/>
  <c r="C461" i="5" s="1"/>
  <c r="AD82" i="18"/>
  <c r="AD81" i="18"/>
  <c r="Y80" i="18"/>
  <c r="Q79" i="18"/>
  <c r="P78" i="18"/>
  <c r="B78" i="18" s="1"/>
  <c r="B267" i="5" s="1"/>
  <c r="B455" i="5" s="1"/>
  <c r="P77" i="18"/>
  <c r="B77" i="18" s="1"/>
  <c r="B266" i="5" s="1"/>
  <c r="B454" i="5" s="1"/>
  <c r="R75" i="18"/>
  <c r="C75" i="18" s="1"/>
  <c r="C264" i="5" s="1"/>
  <c r="C452" i="5" s="1"/>
  <c r="R74" i="18"/>
  <c r="C74" i="18" s="1"/>
  <c r="C263" i="5" s="1"/>
  <c r="C451" i="5" s="1"/>
  <c r="T73" i="18"/>
  <c r="S72" i="18"/>
  <c r="V71" i="18"/>
  <c r="T70" i="18"/>
  <c r="V69" i="18"/>
  <c r="U68" i="18"/>
  <c r="Z67" i="18"/>
  <c r="AC66" i="18"/>
  <c r="AD65" i="18"/>
  <c r="Q64" i="18"/>
  <c r="V63" i="18"/>
  <c r="AC62" i="18"/>
  <c r="T61" i="18"/>
  <c r="Z60" i="18"/>
  <c r="R59" i="18"/>
  <c r="C59" i="18" s="1"/>
  <c r="C248" i="5" s="1"/>
  <c r="C436" i="5" s="1"/>
  <c r="V58" i="18"/>
  <c r="AB57" i="18"/>
  <c r="Y188" i="18"/>
  <c r="AE163" i="18"/>
  <c r="AD158" i="18"/>
  <c r="S137" i="18"/>
  <c r="Y134" i="18"/>
  <c r="AC117" i="18"/>
  <c r="Z114" i="18"/>
  <c r="AC112" i="18"/>
  <c r="R110" i="18"/>
  <c r="C110" i="18" s="1"/>
  <c r="C299" i="5" s="1"/>
  <c r="C487" i="5" s="1"/>
  <c r="T108" i="18"/>
  <c r="T104" i="18"/>
  <c r="S102" i="18"/>
  <c r="AE100" i="18"/>
  <c r="S99" i="18"/>
  <c r="AA96" i="18"/>
  <c r="R95" i="18"/>
  <c r="C95" i="18" s="1"/>
  <c r="C284" i="5" s="1"/>
  <c r="C472" i="5" s="1"/>
  <c r="X93" i="18"/>
  <c r="Q92" i="18"/>
  <c r="AD90" i="18"/>
  <c r="V89" i="18"/>
  <c r="P88" i="18"/>
  <c r="B88" i="18" s="1"/>
  <c r="B277" i="5" s="1"/>
  <c r="B465" i="5" s="1"/>
  <c r="X85" i="18"/>
  <c r="AC82" i="18"/>
  <c r="AC81" i="18"/>
  <c r="V80" i="18"/>
  <c r="P79" i="18"/>
  <c r="B79" i="18" s="1"/>
  <c r="B268" i="5" s="1"/>
  <c r="B456" i="5" s="1"/>
  <c r="P75" i="18"/>
  <c r="B75" i="18" s="1"/>
  <c r="B264" i="5" s="1"/>
  <c r="B452" i="5" s="1"/>
  <c r="Q74" i="18"/>
  <c r="S73" i="18"/>
  <c r="R72" i="18"/>
  <c r="C72" i="18" s="1"/>
  <c r="C261" i="5" s="1"/>
  <c r="C449" i="5" s="1"/>
  <c r="U71" i="18"/>
  <c r="S70" i="18"/>
  <c r="U69" i="18"/>
  <c r="T68" i="18"/>
  <c r="Y67" i="18"/>
  <c r="Y66" i="18"/>
  <c r="AC65" i="18"/>
  <c r="P64" i="18"/>
  <c r="B64" i="18" s="1"/>
  <c r="B253" i="5" s="1"/>
  <c r="B441" i="5" s="1"/>
  <c r="U63" i="18"/>
  <c r="AB62" i="18"/>
  <c r="S61" i="18"/>
  <c r="X188" i="18"/>
  <c r="AE170" i="18"/>
  <c r="AD163" i="18"/>
  <c r="AB158" i="18"/>
  <c r="AE147" i="18"/>
  <c r="AC143" i="18"/>
  <c r="X134" i="18"/>
  <c r="R120" i="18"/>
  <c r="C120" i="18" s="1"/>
  <c r="C309" i="5" s="1"/>
  <c r="C497" i="5" s="1"/>
  <c r="W117" i="18"/>
  <c r="Y114" i="18"/>
  <c r="AB112" i="18"/>
  <c r="P110" i="18"/>
  <c r="B110" i="18" s="1"/>
  <c r="B299" i="5" s="1"/>
  <c r="B487" i="5" s="1"/>
  <c r="R108" i="18"/>
  <c r="C108" i="18" s="1"/>
  <c r="C297" i="5" s="1"/>
  <c r="C485" i="5" s="1"/>
  <c r="AE105" i="18"/>
  <c r="AE103" i="18"/>
  <c r="AB100" i="18"/>
  <c r="Q99" i="18"/>
  <c r="Z96" i="18"/>
  <c r="W93" i="18"/>
  <c r="AB175" i="18"/>
  <c r="AE151" i="18"/>
  <c r="AA143" i="18"/>
  <c r="P139" i="18"/>
  <c r="B139" i="18" s="1"/>
  <c r="B328" i="5" s="1"/>
  <c r="B516" i="5" s="1"/>
  <c r="P131" i="18"/>
  <c r="B131" i="18" s="1"/>
  <c r="B320" i="5" s="1"/>
  <c r="B508" i="5" s="1"/>
  <c r="S125" i="18"/>
  <c r="AE122" i="18"/>
  <c r="Q120" i="18"/>
  <c r="V117" i="18"/>
  <c r="P114" i="18"/>
  <c r="X112" i="18"/>
  <c r="AC107" i="18"/>
  <c r="AD105" i="18"/>
  <c r="AD103" i="18"/>
  <c r="AA100" i="18"/>
  <c r="X97" i="18"/>
  <c r="R96" i="18"/>
  <c r="C96" i="18" s="1"/>
  <c r="C285" i="5" s="1"/>
  <c r="C473" i="5" s="1"/>
  <c r="T93" i="18"/>
  <c r="X90" i="18"/>
  <c r="Q89" i="18"/>
  <c r="AC86" i="18"/>
  <c r="S85" i="18"/>
  <c r="V82" i="18"/>
  <c r="Y81" i="18"/>
  <c r="T80" i="18"/>
  <c r="AB76" i="18"/>
  <c r="AE75" i="18"/>
  <c r="AE74" i="18"/>
  <c r="P72" i="18"/>
  <c r="B72" i="18" s="1"/>
  <c r="B261" i="5" s="1"/>
  <c r="B449" i="5" s="1"/>
  <c r="R71" i="18"/>
  <c r="C71" i="18" s="1"/>
  <c r="C260" i="5" s="1"/>
  <c r="C448" i="5" s="1"/>
  <c r="Q70" i="18"/>
  <c r="R69" i="18"/>
  <c r="C69" i="18" s="1"/>
  <c r="C258" i="5" s="1"/>
  <c r="C446" i="5" s="1"/>
  <c r="R68" i="18"/>
  <c r="C68" i="18" s="1"/>
  <c r="C257" i="5" s="1"/>
  <c r="C445" i="5" s="1"/>
  <c r="W67" i="18"/>
  <c r="W66" i="18"/>
  <c r="AA65" i="18"/>
  <c r="AC64" i="18"/>
  <c r="S63" i="18"/>
  <c r="X62" i="18"/>
  <c r="AE61" i="18"/>
  <c r="Q61" i="18"/>
  <c r="W60" i="18"/>
  <c r="AC59" i="18"/>
  <c r="R58" i="18"/>
  <c r="C58" i="18" s="1"/>
  <c r="C247" i="5" s="1"/>
  <c r="C435" i="5" s="1"/>
  <c r="Y57" i="18"/>
  <c r="AB56" i="18"/>
  <c r="V55" i="18"/>
  <c r="AC54" i="18"/>
  <c r="P54" i="18"/>
  <c r="B54" i="18" s="1"/>
  <c r="B243" i="5" s="1"/>
  <c r="B431" i="5" s="1"/>
  <c r="X53" i="18"/>
  <c r="S52" i="18"/>
  <c r="W51" i="18"/>
  <c r="AE50" i="18"/>
  <c r="R50" i="18"/>
  <c r="C50" i="18" s="1"/>
  <c r="C239" i="5" s="1"/>
  <c r="C427" i="5" s="1"/>
  <c r="Y49" i="18"/>
  <c r="S48" i="18"/>
  <c r="AA47" i="18"/>
  <c r="U46" i="18"/>
  <c r="AB45" i="18"/>
  <c r="W44" i="18"/>
  <c r="AB43" i="18"/>
  <c r="U42" i="18"/>
  <c r="Z41" i="18"/>
  <c r="T40" i="18"/>
  <c r="AA39" i="18"/>
  <c r="U38" i="18"/>
  <c r="AB37" i="18"/>
  <c r="V36" i="18"/>
  <c r="AC35" i="18"/>
  <c r="P35" i="18"/>
  <c r="B35" i="18" s="1"/>
  <c r="B224" i="5" s="1"/>
  <c r="B412" i="5" s="1"/>
  <c r="U34" i="18"/>
  <c r="AA33" i="18"/>
  <c r="T32" i="18"/>
  <c r="AC194" i="18"/>
  <c r="W165" i="18"/>
  <c r="V160" i="18"/>
  <c r="V138" i="18"/>
  <c r="AC122" i="18"/>
  <c r="Q113" i="18"/>
  <c r="AC109" i="18"/>
  <c r="U105" i="18"/>
  <c r="T101" i="18"/>
  <c r="Z94" i="18"/>
  <c r="AE87" i="18"/>
  <c r="U83" i="18"/>
  <c r="X76" i="18"/>
  <c r="AA74" i="18"/>
  <c r="AC72" i="18"/>
  <c r="AD70" i="18"/>
  <c r="AE68" i="18"/>
  <c r="P67" i="18"/>
  <c r="B67" i="18" s="1"/>
  <c r="B256" i="5" s="1"/>
  <c r="B444" i="5" s="1"/>
  <c r="Z64" i="18"/>
  <c r="AD61" i="18"/>
  <c r="X60" i="18"/>
  <c r="X59" i="18"/>
  <c r="Q58" i="18"/>
  <c r="T57" i="18"/>
  <c r="AE56" i="18"/>
  <c r="S53" i="18"/>
  <c r="Z52" i="18"/>
  <c r="Z51" i="18"/>
  <c r="AC50" i="18"/>
  <c r="R49" i="18"/>
  <c r="C49" i="18" s="1"/>
  <c r="C238" i="5" s="1"/>
  <c r="C426" i="5" s="1"/>
  <c r="W48" i="18"/>
  <c r="AD47" i="18"/>
  <c r="S46" i="18"/>
  <c r="W45" i="18"/>
  <c r="AB44" i="18"/>
  <c r="AE43" i="18"/>
  <c r="P43" i="18"/>
  <c r="R42" i="18"/>
  <c r="C42" i="18" s="1"/>
  <c r="C231" i="5" s="1"/>
  <c r="C419" i="5" s="1"/>
  <c r="V41" i="18"/>
  <c r="AB40" i="18"/>
  <c r="P39" i="18"/>
  <c r="B39" i="18" s="1"/>
  <c r="B228" i="5" s="1"/>
  <c r="B416" i="5" s="1"/>
  <c r="T38" i="18"/>
  <c r="Y37" i="18"/>
  <c r="AC36" i="18"/>
  <c r="R35" i="18"/>
  <c r="C35" i="18" s="1"/>
  <c r="C224" i="5" s="1"/>
  <c r="C412" i="5" s="1"/>
  <c r="T34" i="18"/>
  <c r="X33" i="18"/>
  <c r="AB32" i="18"/>
  <c r="R31" i="18"/>
  <c r="C31" i="18" s="1"/>
  <c r="C220" i="5" s="1"/>
  <c r="C408" i="5" s="1"/>
  <c r="X30" i="18"/>
  <c r="AD29" i="18"/>
  <c r="P29" i="18"/>
  <c r="B29" i="18" s="1"/>
  <c r="B218" i="5" s="1"/>
  <c r="B406" i="5" s="1"/>
  <c r="W28" i="18"/>
  <c r="AC27" i="18"/>
  <c r="T26" i="18"/>
  <c r="U25" i="18"/>
  <c r="AA24" i="18"/>
  <c r="S23" i="18"/>
  <c r="Z22" i="18"/>
  <c r="R21" i="18"/>
  <c r="C21" i="18" s="1"/>
  <c r="C210" i="5" s="1"/>
  <c r="C398" i="5" s="1"/>
  <c r="Z20" i="18"/>
  <c r="R19" i="18"/>
  <c r="C19" i="18" s="1"/>
  <c r="C208" i="5" s="1"/>
  <c r="C396" i="5" s="1"/>
  <c r="W18" i="18"/>
  <c r="AD17" i="18"/>
  <c r="P17" i="18"/>
  <c r="B17" i="18" s="1"/>
  <c r="B206" i="5" s="1"/>
  <c r="B394" i="5" s="1"/>
  <c r="U16" i="18"/>
  <c r="Y15" i="18"/>
  <c r="AC14" i="18"/>
  <c r="S13" i="18"/>
  <c r="X12" i="18"/>
  <c r="AB11" i="18"/>
  <c r="U10" i="18"/>
  <c r="AC9" i="18"/>
  <c r="U168" i="18"/>
  <c r="W130" i="18"/>
  <c r="R122" i="18"/>
  <c r="C122" i="18" s="1"/>
  <c r="C311" i="5" s="1"/>
  <c r="C499" i="5" s="1"/>
  <c r="U109" i="18"/>
  <c r="Q105" i="18"/>
  <c r="S101" i="18"/>
  <c r="Y94" i="18"/>
  <c r="AD87" i="18"/>
  <c r="T83" i="18"/>
  <c r="W76" i="18"/>
  <c r="Z74" i="18"/>
  <c r="AB72" i="18"/>
  <c r="AC70" i="18"/>
  <c r="AD68" i="18"/>
  <c r="AB65" i="18"/>
  <c r="Y64" i="18"/>
  <c r="AC61" i="18"/>
  <c r="V60" i="18"/>
  <c r="W59" i="18"/>
  <c r="P58" i="18"/>
  <c r="B58" i="18" s="1"/>
  <c r="B247" i="5" s="1"/>
  <c r="B435" i="5" s="1"/>
  <c r="AD56" i="18"/>
  <c r="R53" i="18"/>
  <c r="C53" i="18" s="1"/>
  <c r="C242" i="5" s="1"/>
  <c r="C430" i="5" s="1"/>
  <c r="X52" i="18"/>
  <c r="Y51" i="18"/>
  <c r="AB50" i="18"/>
  <c r="Q49" i="18"/>
  <c r="V48" i="18"/>
  <c r="AC47" i="18"/>
  <c r="R46" i="18"/>
  <c r="C46" i="18" s="1"/>
  <c r="C235" i="5" s="1"/>
  <c r="C423" i="5" s="1"/>
  <c r="V45" i="18"/>
  <c r="AA44" i="18"/>
  <c r="AD43" i="18"/>
  <c r="Q42" i="18"/>
  <c r="U41" i="18"/>
  <c r="Z40" i="18"/>
  <c r="AD39" i="18"/>
  <c r="S38" i="18"/>
  <c r="X37" i="18"/>
  <c r="AA36" i="18"/>
  <c r="Q35" i="18"/>
  <c r="S34" i="18"/>
  <c r="W33" i="18"/>
  <c r="Z32" i="18"/>
  <c r="AE31" i="18"/>
  <c r="Q31" i="18"/>
  <c r="W30" i="18"/>
  <c r="AC29" i="18"/>
  <c r="V28" i="18"/>
  <c r="AA27" i="18"/>
  <c r="S26" i="18"/>
  <c r="S25" i="18"/>
  <c r="Z24" i="18"/>
  <c r="R23" i="18"/>
  <c r="C23" i="18" s="1"/>
  <c r="C212" i="5" s="1"/>
  <c r="C400" i="5" s="1"/>
  <c r="Y22" i="18"/>
  <c r="AE21" i="18"/>
  <c r="Q21" i="18"/>
  <c r="Y20" i="18"/>
  <c r="AE19" i="18"/>
  <c r="P19" i="18"/>
  <c r="B19" i="18" s="1"/>
  <c r="B208" i="5" s="1"/>
  <c r="B396" i="5" s="1"/>
  <c r="V18" i="18"/>
  <c r="AC17" i="18"/>
  <c r="S16" i="18"/>
  <c r="X15" i="18"/>
  <c r="AA14" i="18"/>
  <c r="R13" i="18"/>
  <c r="C13" i="18" s="1"/>
  <c r="C202" i="5" s="1"/>
  <c r="C390" i="5" s="1"/>
  <c r="W12" i="18"/>
  <c r="AA11" i="18"/>
  <c r="T10" i="18"/>
  <c r="AB9" i="18"/>
  <c r="T168" i="18"/>
  <c r="U130" i="18"/>
  <c r="P122" i="18"/>
  <c r="B122" i="18" s="1"/>
  <c r="B311" i="5" s="1"/>
  <c r="B499" i="5" s="1"/>
  <c r="T109" i="18"/>
  <c r="P105" i="18"/>
  <c r="B105" i="18" s="1"/>
  <c r="B294" i="5" s="1"/>
  <c r="B482" i="5" s="1"/>
  <c r="R94" i="18"/>
  <c r="C94" i="18" s="1"/>
  <c r="C283" i="5" s="1"/>
  <c r="C471" i="5" s="1"/>
  <c r="AE91" i="18"/>
  <c r="W87" i="18"/>
  <c r="U85" i="18"/>
  <c r="S83" i="18"/>
  <c r="AD77" i="18"/>
  <c r="P74" i="18"/>
  <c r="B74" i="18" s="1"/>
  <c r="B263" i="5" s="1"/>
  <c r="B451" i="5" s="1"/>
  <c r="AA72" i="18"/>
  <c r="AB70" i="18"/>
  <c r="AC68" i="18"/>
  <c r="Y65" i="18"/>
  <c r="X64" i="18"/>
  <c r="AB61" i="18"/>
  <c r="U60" i="18"/>
  <c r="V59" i="18"/>
  <c r="AC56" i="18"/>
  <c r="AE55" i="18"/>
  <c r="AE54" i="18"/>
  <c r="P53" i="18"/>
  <c r="B53" i="18" s="1"/>
  <c r="B242" i="5" s="1"/>
  <c r="B430" i="5" s="1"/>
  <c r="V52" i="18"/>
  <c r="V51" i="18"/>
  <c r="AA50" i="18"/>
  <c r="AE49" i="18"/>
  <c r="U48" i="18"/>
  <c r="AB47" i="18"/>
  <c r="Q46" i="18"/>
  <c r="T45" i="18"/>
  <c r="Z44" i="18"/>
  <c r="AC43" i="18"/>
  <c r="AE42" i="18"/>
  <c r="P42" i="18"/>
  <c r="B42" i="18" s="1"/>
  <c r="B231" i="5" s="1"/>
  <c r="B419" i="5" s="1"/>
  <c r="S41" i="18"/>
  <c r="Y40" i="18"/>
  <c r="AC39" i="18"/>
  <c r="R38" i="18"/>
  <c r="C38" i="18" s="1"/>
  <c r="C227" i="5" s="1"/>
  <c r="C415" i="5" s="1"/>
  <c r="V37" i="18"/>
  <c r="Z36" i="18"/>
  <c r="AE35" i="18"/>
  <c r="R34" i="18"/>
  <c r="C34" i="18" s="1"/>
  <c r="C223" i="5" s="1"/>
  <c r="C411" i="5" s="1"/>
  <c r="V33" i="18"/>
  <c r="Y32" i="18"/>
  <c r="AD31" i="18"/>
  <c r="P31" i="18"/>
  <c r="B31" i="18" s="1"/>
  <c r="B220" i="5" s="1"/>
  <c r="B408" i="5" s="1"/>
  <c r="V30" i="18"/>
  <c r="AB29" i="18"/>
  <c r="U28" i="18"/>
  <c r="Z27" i="18"/>
  <c r="Q26" i="18"/>
  <c r="R25" i="18"/>
  <c r="C25" i="18" s="1"/>
  <c r="C214" i="5" s="1"/>
  <c r="Y24" i="18"/>
  <c r="AE23" i="18"/>
  <c r="Q23" i="18"/>
  <c r="X22" i="18"/>
  <c r="AD21" i="18"/>
  <c r="P21" i="18"/>
  <c r="B21" i="18" s="1"/>
  <c r="B210" i="5" s="1"/>
  <c r="B398" i="5" s="1"/>
  <c r="X20" i="18"/>
  <c r="AD19" i="18"/>
  <c r="U18" i="18"/>
  <c r="AB17" i="18"/>
  <c r="R16" i="18"/>
  <c r="C16" i="18" s="1"/>
  <c r="C205" i="5" s="1"/>
  <c r="C393" i="5" s="1"/>
  <c r="W15" i="18"/>
  <c r="Z14" i="18"/>
  <c r="AE13" i="18"/>
  <c r="Q13" i="18"/>
  <c r="V12" i="18"/>
  <c r="Z11" i="18"/>
  <c r="S10" i="18"/>
  <c r="Z9" i="18"/>
  <c r="R125" i="18"/>
  <c r="C125" i="18" s="1"/>
  <c r="C314" i="5" s="1"/>
  <c r="AA98" i="18"/>
  <c r="Q96" i="18"/>
  <c r="X91" i="18"/>
  <c r="T89" i="18"/>
  <c r="V87" i="18"/>
  <c r="R85" i="18"/>
  <c r="C85" i="18" s="1"/>
  <c r="C274" i="5" s="1"/>
  <c r="C462" i="5" s="1"/>
  <c r="Z81" i="18"/>
  <c r="AD79" i="18"/>
  <c r="AC77" i="18"/>
  <c r="AD75" i="18"/>
  <c r="Q72" i="18"/>
  <c r="R70" i="18"/>
  <c r="C70" i="18" s="1"/>
  <c r="C259" i="5" s="1"/>
  <c r="C447" i="5" s="1"/>
  <c r="S68" i="18"/>
  <c r="U65" i="18"/>
  <c r="AA61" i="18"/>
  <c r="T60" i="18"/>
  <c r="Q59" i="18"/>
  <c r="AA56" i="18"/>
  <c r="AD55" i="18"/>
  <c r="AD54" i="18"/>
  <c r="U52" i="18"/>
  <c r="U51" i="18"/>
  <c r="Z50" i="18"/>
  <c r="AD49" i="18"/>
  <c r="T48" i="18"/>
  <c r="Z47" i="18"/>
  <c r="AE46" i="18"/>
  <c r="S45" i="18"/>
  <c r="Y44" i="18"/>
  <c r="AA43" i="18"/>
  <c r="AD42" i="18"/>
  <c r="R41" i="18"/>
  <c r="C41" i="18" s="1"/>
  <c r="C230" i="5" s="1"/>
  <c r="C418" i="5" s="1"/>
  <c r="X40" i="18"/>
  <c r="AB39" i="18"/>
  <c r="Q38" i="18"/>
  <c r="T37" i="18"/>
  <c r="Y36" i="18"/>
  <c r="AD35" i="18"/>
  <c r="Q34" i="18"/>
  <c r="T33" i="18"/>
  <c r="W32" i="18"/>
  <c r="AC31" i="18"/>
  <c r="U30" i="18"/>
  <c r="AA29" i="18"/>
  <c r="S28" i="18"/>
  <c r="Y27" i="18"/>
  <c r="AD26" i="18"/>
  <c r="P26" i="18"/>
  <c r="B26" i="18" s="1"/>
  <c r="B215" i="5" s="1"/>
  <c r="AE25" i="18"/>
  <c r="Q25" i="18"/>
  <c r="W24" i="18"/>
  <c r="AD23" i="18"/>
  <c r="P23" i="18"/>
  <c r="B23" i="18" s="1"/>
  <c r="B212" i="5" s="1"/>
  <c r="B400" i="5" s="1"/>
  <c r="W22" i="18"/>
  <c r="AC21" i="18"/>
  <c r="W20" i="18"/>
  <c r="AB19" i="18"/>
  <c r="T18" i="18"/>
  <c r="Z17" i="18"/>
  <c r="AE16" i="18"/>
  <c r="Q16" i="18"/>
  <c r="U15" i="18"/>
  <c r="Y14" i="18"/>
  <c r="AD13" i="18"/>
  <c r="P13" i="18"/>
  <c r="B13" i="18" s="1"/>
  <c r="B202" i="5" s="1"/>
  <c r="B390" i="5" s="1"/>
  <c r="U12" i="18"/>
  <c r="Y11" i="18"/>
  <c r="AE10" i="18"/>
  <c r="R10" i="18"/>
  <c r="C10" i="18" s="1"/>
  <c r="C199" i="5" s="1"/>
  <c r="C387" i="5" s="1"/>
  <c r="X9" i="18"/>
  <c r="X146" i="18"/>
  <c r="AD116" i="18"/>
  <c r="T112" i="18"/>
  <c r="Z103" i="18"/>
  <c r="Z98" i="18"/>
  <c r="W91" i="18"/>
  <c r="P89" i="18"/>
  <c r="B89" i="18" s="1"/>
  <c r="B278" i="5" s="1"/>
  <c r="B466" i="5" s="1"/>
  <c r="X81" i="18"/>
  <c r="AC79" i="18"/>
  <c r="W77" i="18"/>
  <c r="AB75" i="18"/>
  <c r="AE73" i="18"/>
  <c r="P70" i="18"/>
  <c r="Q68" i="18"/>
  <c r="T65" i="18"/>
  <c r="Z62" i="18"/>
  <c r="Z61" i="18"/>
  <c r="R60" i="18"/>
  <c r="C60" i="18" s="1"/>
  <c r="C249" i="5" s="1"/>
  <c r="C437" i="5" s="1"/>
  <c r="P59" i="18"/>
  <c r="B59" i="18" s="1"/>
  <c r="B248" i="5" s="1"/>
  <c r="B436" i="5" s="1"/>
  <c r="Z56" i="18"/>
  <c r="Y55" i="18"/>
  <c r="AB54" i="18"/>
  <c r="AE53" i="18"/>
  <c r="T52" i="18"/>
  <c r="T51" i="18"/>
  <c r="X50" i="18"/>
  <c r="AC49" i="18"/>
  <c r="R48" i="18"/>
  <c r="C48" i="18" s="1"/>
  <c r="C237" i="5" s="1"/>
  <c r="C425" i="5" s="1"/>
  <c r="Y47" i="18"/>
  <c r="AD46" i="18"/>
  <c r="R45" i="18"/>
  <c r="C45" i="18" s="1"/>
  <c r="C234" i="5" s="1"/>
  <c r="C422" i="5" s="1"/>
  <c r="X44" i="18"/>
  <c r="Y43" i="18"/>
  <c r="AC42" i="18"/>
  <c r="Q41" i="18"/>
  <c r="V40" i="18"/>
  <c r="Z39" i="18"/>
  <c r="AE38" i="18"/>
  <c r="P38" i="18"/>
  <c r="B38" i="18" s="1"/>
  <c r="B227" i="5" s="1"/>
  <c r="B415" i="5" s="1"/>
  <c r="S37" i="18"/>
  <c r="X36" i="18"/>
  <c r="AB35" i="18"/>
  <c r="AE34" i="18"/>
  <c r="P34" i="18"/>
  <c r="B34" i="18" s="1"/>
  <c r="B223" i="5" s="1"/>
  <c r="B411" i="5" s="1"/>
  <c r="S33" i="18"/>
  <c r="V32" i="18"/>
  <c r="AB31" i="18"/>
  <c r="T30" i="18"/>
  <c r="Z29" i="18"/>
  <c r="R28" i="18"/>
  <c r="C28" i="18" s="1"/>
  <c r="C217" i="5" s="1"/>
  <c r="C405" i="5" s="1"/>
  <c r="W27" i="18"/>
  <c r="AC26" i="18"/>
  <c r="AD25" i="18"/>
  <c r="P25" i="18"/>
  <c r="B25" i="18" s="1"/>
  <c r="B214" i="5" s="1"/>
  <c r="V24" i="18"/>
  <c r="AC23" i="18"/>
  <c r="V22" i="18"/>
  <c r="AB21" i="18"/>
  <c r="V20" i="18"/>
  <c r="AA19" i="18"/>
  <c r="R18" i="18"/>
  <c r="C18" i="18" s="1"/>
  <c r="C207" i="5" s="1"/>
  <c r="C395" i="5" s="1"/>
  <c r="Y17" i="18"/>
  <c r="AD16" i="18"/>
  <c r="P16" i="18"/>
  <c r="B16" i="18" s="1"/>
  <c r="B205" i="5" s="1"/>
  <c r="B393" i="5" s="1"/>
  <c r="T15" i="18"/>
  <c r="X14" i="18"/>
  <c r="AC13" i="18"/>
  <c r="T12" i="18"/>
  <c r="W11" i="18"/>
  <c r="AD10" i="18"/>
  <c r="P10" i="18"/>
  <c r="B10" i="18" s="1"/>
  <c r="B199" i="5" s="1"/>
  <c r="B387" i="5" s="1"/>
  <c r="W9" i="18"/>
  <c r="S183" i="18"/>
  <c r="AD133" i="18"/>
  <c r="AC116" i="18"/>
  <c r="AB107" i="18"/>
  <c r="Y103" i="18"/>
  <c r="Z100" i="18"/>
  <c r="S91" i="18"/>
  <c r="Q81" i="18"/>
  <c r="V77" i="18"/>
  <c r="X75" i="18"/>
  <c r="AC73" i="18"/>
  <c r="P68" i="18"/>
  <c r="B68" i="18" s="1"/>
  <c r="B257" i="5" s="1"/>
  <c r="B445" i="5" s="1"/>
  <c r="X66" i="18"/>
  <c r="S65" i="18"/>
  <c r="W62" i="18"/>
  <c r="R61" i="18"/>
  <c r="C61" i="18" s="1"/>
  <c r="C250" i="5" s="1"/>
  <c r="C438" i="5" s="1"/>
  <c r="P60" i="18"/>
  <c r="B60" i="18" s="1"/>
  <c r="B249" i="5" s="1"/>
  <c r="B437" i="5" s="1"/>
  <c r="AD58" i="18"/>
  <c r="Y56" i="18"/>
  <c r="X55" i="18"/>
  <c r="AA54" i="18"/>
  <c r="AC53" i="18"/>
  <c r="Q52" i="18"/>
  <c r="S51" i="18"/>
  <c r="V50" i="18"/>
  <c r="AA49" i="18"/>
  <c r="Q48" i="18"/>
  <c r="X47" i="18"/>
  <c r="AC46" i="18"/>
  <c r="Q45" i="18"/>
  <c r="V44" i="18"/>
  <c r="X43" i="18"/>
  <c r="AB42" i="18"/>
  <c r="AE41" i="18"/>
  <c r="P41" i="18"/>
  <c r="B41" i="18" s="1"/>
  <c r="B230" i="5" s="1"/>
  <c r="B418" i="5" s="1"/>
  <c r="U40" i="18"/>
  <c r="Y39" i="18"/>
  <c r="AD38" i="18"/>
  <c r="R37" i="18"/>
  <c r="C37" i="18" s="1"/>
  <c r="C226" i="5" s="1"/>
  <c r="C414" i="5" s="1"/>
  <c r="W36" i="18"/>
  <c r="Z35" i="18"/>
  <c r="AD34" i="18"/>
  <c r="R33" i="18"/>
  <c r="C33" i="18" s="1"/>
  <c r="C222" i="5" s="1"/>
  <c r="C410" i="5" s="1"/>
  <c r="U32" i="18"/>
  <c r="AA31" i="18"/>
  <c r="S30" i="18"/>
  <c r="Y29" i="18"/>
  <c r="AE28" i="18"/>
  <c r="P28" i="18"/>
  <c r="B28" i="18" s="1"/>
  <c r="B217" i="5" s="1"/>
  <c r="B405" i="5" s="1"/>
  <c r="V27" i="18"/>
  <c r="AB26" i="18"/>
  <c r="AC25" i="18"/>
  <c r="U24" i="18"/>
  <c r="AB23" i="18"/>
  <c r="U22" i="18"/>
  <c r="AA21" i="18"/>
  <c r="T20" i="18"/>
  <c r="Y19" i="18"/>
  <c r="AE18" i="18"/>
  <c r="Q18" i="18"/>
  <c r="X17" i="18"/>
  <c r="AC16" i="18"/>
  <c r="S15" i="18"/>
  <c r="W14" i="18"/>
  <c r="AB13" i="18"/>
  <c r="S12" i="18"/>
  <c r="V11" i="18"/>
  <c r="AB10" i="18"/>
  <c r="V9" i="18"/>
  <c r="AA150" i="18"/>
  <c r="AB124" i="18"/>
  <c r="U116" i="18"/>
  <c r="AE111" i="18"/>
  <c r="W107" i="18"/>
  <c r="W103" i="18"/>
  <c r="R100" i="18"/>
  <c r="C100" i="18" s="1"/>
  <c r="C289" i="5" s="1"/>
  <c r="C477" i="5" s="1"/>
  <c r="S93" i="18"/>
  <c r="AD86" i="18"/>
  <c r="AE84" i="18"/>
  <c r="AB82" i="18"/>
  <c r="P81" i="18"/>
  <c r="B81" i="18" s="1"/>
  <c r="B270" i="5" s="1"/>
  <c r="B458" i="5" s="1"/>
  <c r="U77" i="18"/>
  <c r="W75" i="18"/>
  <c r="Y73" i="18"/>
  <c r="V66" i="18"/>
  <c r="R65" i="18"/>
  <c r="C65" i="18" s="1"/>
  <c r="C254" i="5" s="1"/>
  <c r="C442" i="5" s="1"/>
  <c r="V62" i="18"/>
  <c r="P61" i="18"/>
  <c r="B61" i="18" s="1"/>
  <c r="B250" i="5" s="1"/>
  <c r="B438" i="5" s="1"/>
  <c r="AC58" i="18"/>
  <c r="AA57" i="18"/>
  <c r="X56" i="18"/>
  <c r="W55" i="18"/>
  <c r="Z54" i="18"/>
  <c r="AA53" i="18"/>
  <c r="P52" i="18"/>
  <c r="B52" i="18" s="1"/>
  <c r="B241" i="5" s="1"/>
  <c r="B429" i="5" s="1"/>
  <c r="R51" i="18"/>
  <c r="C51" i="18" s="1"/>
  <c r="C240" i="5" s="1"/>
  <c r="C428" i="5" s="1"/>
  <c r="U50" i="18"/>
  <c r="Z49" i="18"/>
  <c r="AE48" i="18"/>
  <c r="P48" i="18"/>
  <c r="B48" i="18" s="1"/>
  <c r="B237" i="5" s="1"/>
  <c r="B425" i="5" s="1"/>
  <c r="W47" i="18"/>
  <c r="Z46" i="18"/>
  <c r="AE45" i="18"/>
  <c r="P45" i="18"/>
  <c r="B45" i="18" s="1"/>
  <c r="B234" i="5" s="1"/>
  <c r="B422" i="5" s="1"/>
  <c r="U44" i="18"/>
  <c r="W43" i="18"/>
  <c r="Z42" i="18"/>
  <c r="AD41" i="18"/>
  <c r="S40" i="18"/>
  <c r="X39" i="18"/>
  <c r="AC38" i="18"/>
  <c r="Q37" i="18"/>
  <c r="U36" i="18"/>
  <c r="Y35" i="18"/>
  <c r="AC34" i="18"/>
  <c r="P33" i="18"/>
  <c r="B33" i="18" s="1"/>
  <c r="B222" i="5" s="1"/>
  <c r="B410" i="5" s="1"/>
  <c r="S32" i="18"/>
  <c r="Z31" i="18"/>
  <c r="R30" i="18"/>
  <c r="C30" i="18" s="1"/>
  <c r="C219" i="5" s="1"/>
  <c r="C407" i="5" s="1"/>
  <c r="W29" i="18"/>
  <c r="AC28" i="18"/>
  <c r="U27" i="18"/>
  <c r="AA26" i="18"/>
  <c r="AB25" i="18"/>
  <c r="T24" i="18"/>
  <c r="AA23" i="18"/>
  <c r="T22" i="18"/>
  <c r="Z21" i="18"/>
  <c r="R20" i="18"/>
  <c r="C20" i="18" s="1"/>
  <c r="C209" i="5" s="1"/>
  <c r="C397" i="5" s="1"/>
  <c r="X19" i="18"/>
  <c r="AD18" i="18"/>
  <c r="P18" i="18"/>
  <c r="B18" i="18" s="1"/>
  <c r="B207" i="5" s="1"/>
  <c r="B395" i="5" s="1"/>
  <c r="W17" i="18"/>
  <c r="AB16" i="18"/>
  <c r="R15" i="18"/>
  <c r="C15" i="18" s="1"/>
  <c r="C204" i="5" s="1"/>
  <c r="C392" i="5" s="1"/>
  <c r="V14" i="18"/>
  <c r="AA13" i="18"/>
  <c r="Q12" i="18"/>
  <c r="T11" i="18"/>
  <c r="AA10" i="18"/>
  <c r="U9" i="18"/>
  <c r="S116" i="18"/>
  <c r="W111" i="18"/>
  <c r="U107" i="18"/>
  <c r="Q103" i="18"/>
  <c r="Q100" i="18"/>
  <c r="R93" i="18"/>
  <c r="C93" i="18" s="1"/>
  <c r="C282" i="5" s="1"/>
  <c r="C470" i="5" s="1"/>
  <c r="Z86" i="18"/>
  <c r="AA84" i="18"/>
  <c r="T82" i="18"/>
  <c r="V75" i="18"/>
  <c r="X73" i="18"/>
  <c r="AD71" i="18"/>
  <c r="AD69" i="18"/>
  <c r="U66" i="18"/>
  <c r="AD63" i="18"/>
  <c r="U62" i="18"/>
  <c r="AB58" i="18"/>
  <c r="Z57" i="18"/>
  <c r="W56" i="18"/>
  <c r="U55" i="18"/>
  <c r="X54" i="18"/>
  <c r="Z53" i="18"/>
  <c r="P51" i="18"/>
  <c r="B51" i="18" s="1"/>
  <c r="B240" i="5" s="1"/>
  <c r="B428" i="5" s="1"/>
  <c r="S50" i="18"/>
  <c r="X49" i="18"/>
  <c r="AD48" i="18"/>
  <c r="V47" i="18"/>
  <c r="Y46" i="18"/>
  <c r="AD45" i="18"/>
  <c r="S44" i="18"/>
  <c r="R127" i="18"/>
  <c r="C127" i="18" s="1"/>
  <c r="C316" i="5" s="1"/>
  <c r="C504" i="5" s="1"/>
  <c r="T97" i="18"/>
  <c r="AA94" i="18"/>
  <c r="AC90" i="18"/>
  <c r="Z83" i="18"/>
  <c r="AB78" i="18"/>
  <c r="AC74" i="18"/>
  <c r="Z69" i="18"/>
  <c r="S66" i="18"/>
  <c r="Z63" i="18"/>
  <c r="S58" i="18"/>
  <c r="S55" i="18"/>
  <c r="W53" i="18"/>
  <c r="AC51" i="18"/>
  <c r="W49" i="18"/>
  <c r="S42" i="18"/>
  <c r="R40" i="18"/>
  <c r="C40" i="18" s="1"/>
  <c r="C229" i="5" s="1"/>
  <c r="C417" i="5" s="1"/>
  <c r="Z37" i="18"/>
  <c r="Q32" i="18"/>
  <c r="AE30" i="18"/>
  <c r="S29" i="18"/>
  <c r="W26" i="18"/>
  <c r="Z25" i="18"/>
  <c r="R24" i="18"/>
  <c r="C24" i="18" s="1"/>
  <c r="C213" i="5" s="1"/>
  <c r="C401" i="5" s="1"/>
  <c r="V21" i="18"/>
  <c r="P20" i="18"/>
  <c r="B20" i="18" s="1"/>
  <c r="B209" i="5" s="1"/>
  <c r="B397" i="5" s="1"/>
  <c r="AB18" i="18"/>
  <c r="R17" i="18"/>
  <c r="C17" i="18" s="1"/>
  <c r="C206" i="5" s="1"/>
  <c r="C394" i="5" s="1"/>
  <c r="AB15" i="18"/>
  <c r="Z10" i="18"/>
  <c r="R9" i="18"/>
  <c r="C9" i="18" s="1"/>
  <c r="C198" i="5" s="1"/>
  <c r="C386" i="5" s="1"/>
  <c r="S97" i="18"/>
  <c r="W90" i="18"/>
  <c r="Y83" i="18"/>
  <c r="Z78" i="18"/>
  <c r="AB74" i="18"/>
  <c r="T69" i="18"/>
  <c r="Q66" i="18"/>
  <c r="T63" i="18"/>
  <c r="R55" i="18"/>
  <c r="C55" i="18" s="1"/>
  <c r="C244" i="5" s="1"/>
  <c r="C432" i="5" s="1"/>
  <c r="V53" i="18"/>
  <c r="AA51" i="18"/>
  <c r="V49" i="18"/>
  <c r="AE47" i="18"/>
  <c r="Q40" i="18"/>
  <c r="Z38" i="18"/>
  <c r="P37" i="18"/>
  <c r="B37" i="18" s="1"/>
  <c r="B226" i="5" s="1"/>
  <c r="B414" i="5" s="1"/>
  <c r="X35" i="18"/>
  <c r="AE33" i="18"/>
  <c r="P32" i="18"/>
  <c r="B32" i="18" s="1"/>
  <c r="B221" i="5" s="1"/>
  <c r="B409" i="5" s="1"/>
  <c r="AD30" i="18"/>
  <c r="R29" i="18"/>
  <c r="C29" i="18" s="1"/>
  <c r="C218" i="5" s="1"/>
  <c r="C406" i="5" s="1"/>
  <c r="AE27" i="18"/>
  <c r="V26" i="18"/>
  <c r="Y25" i="18"/>
  <c r="Q24" i="18"/>
  <c r="U21" i="18"/>
  <c r="AA18" i="18"/>
  <c r="Q17" i="18"/>
  <c r="AA15" i="18"/>
  <c r="Z13" i="18"/>
  <c r="Y10" i="18"/>
  <c r="Q9" i="18"/>
  <c r="W113" i="18"/>
  <c r="R97" i="18"/>
  <c r="C97" i="18" s="1"/>
  <c r="C286" i="5" s="1"/>
  <c r="C474" i="5" s="1"/>
  <c r="V90" i="18"/>
  <c r="Y86" i="18"/>
  <c r="Q73" i="18"/>
  <c r="Q63" i="18"/>
  <c r="Y60" i="18"/>
  <c r="P55" i="18"/>
  <c r="B55" i="18" s="1"/>
  <c r="B244" i="5" s="1"/>
  <c r="B432" i="5" s="1"/>
  <c r="T53" i="18"/>
  <c r="U49" i="18"/>
  <c r="S47" i="18"/>
  <c r="AC45" i="18"/>
  <c r="V43" i="18"/>
  <c r="AC41" i="18"/>
  <c r="P40" i="18"/>
  <c r="B40" i="18" s="1"/>
  <c r="B229" i="5" s="1"/>
  <c r="B417" i="5" s="1"/>
  <c r="Y38" i="18"/>
  <c r="W35" i="18"/>
  <c r="AD33" i="18"/>
  <c r="AA30" i="18"/>
  <c r="Q29" i="18"/>
  <c r="AD27" i="18"/>
  <c r="U26" i="18"/>
  <c r="X25" i="18"/>
  <c r="P24" i="18"/>
  <c r="B24" i="18" s="1"/>
  <c r="B213" i="5" s="1"/>
  <c r="B401" i="5" s="1"/>
  <c r="AD22" i="18"/>
  <c r="T21" i="18"/>
  <c r="Z18" i="18"/>
  <c r="Q15" i="18"/>
  <c r="Y13" i="18"/>
  <c r="AE11" i="18"/>
  <c r="X10" i="18"/>
  <c r="P9" i="18"/>
  <c r="B9" i="18" s="1"/>
  <c r="B198" i="5" s="1"/>
  <c r="B386" i="5" s="1"/>
  <c r="Q36" i="18"/>
  <c r="Z135" i="18"/>
  <c r="U113" i="18"/>
  <c r="W86" i="18"/>
  <c r="X57" i="18"/>
  <c r="T49" i="18"/>
  <c r="R47" i="18"/>
  <c r="C47" i="18" s="1"/>
  <c r="C236" i="5" s="1"/>
  <c r="C424" i="5" s="1"/>
  <c r="AA45" i="18"/>
  <c r="T43" i="18"/>
  <c r="AB41" i="18"/>
  <c r="X38" i="18"/>
  <c r="U35" i="18"/>
  <c r="AB33" i="18"/>
  <c r="Z30" i="18"/>
  <c r="T27" i="18"/>
  <c r="W25" i="18"/>
  <c r="AB22" i="18"/>
  <c r="S21" i="18"/>
  <c r="Y18" i="18"/>
  <c r="Z16" i="18"/>
  <c r="P15" i="18"/>
  <c r="B15" i="18" s="1"/>
  <c r="B204" i="5" s="1"/>
  <c r="B392" i="5" s="1"/>
  <c r="V13" i="18"/>
  <c r="AD11" i="18"/>
  <c r="W10" i="18"/>
  <c r="Q153" i="18"/>
  <c r="V105" i="18"/>
  <c r="Q86" i="18"/>
  <c r="U80" i="18"/>
  <c r="AE72" i="18"/>
  <c r="W57" i="18"/>
  <c r="Q47" i="18"/>
  <c r="Z45" i="18"/>
  <c r="S43" i="18"/>
  <c r="Y41" i="18"/>
  <c r="W38" i="18"/>
  <c r="T35" i="18"/>
  <c r="Z33" i="18"/>
  <c r="Y30" i="18"/>
  <c r="S27" i="18"/>
  <c r="V25" i="18"/>
  <c r="AA22" i="18"/>
  <c r="Y16" i="18"/>
  <c r="U13" i="18"/>
  <c r="AC11" i="18"/>
  <c r="V10" i="18"/>
  <c r="P153" i="18"/>
  <c r="B153" i="18" s="1"/>
  <c r="B342" i="5" s="1"/>
  <c r="B530" i="5" s="1"/>
  <c r="P86" i="18"/>
  <c r="B86" i="18" s="1"/>
  <c r="B275" i="5" s="1"/>
  <c r="B463" i="5" s="1"/>
  <c r="Q82" i="18"/>
  <c r="AC76" i="18"/>
  <c r="AD72" i="18"/>
  <c r="AE59" i="18"/>
  <c r="V57" i="18"/>
  <c r="R56" i="18"/>
  <c r="C56" i="18" s="1"/>
  <c r="C245" i="5" s="1"/>
  <c r="C433" i="5" s="1"/>
  <c r="W54" i="18"/>
  <c r="AD50" i="18"/>
  <c r="P47" i="18"/>
  <c r="B47" i="18" s="1"/>
  <c r="B236" i="5" s="1"/>
  <c r="B424" i="5" s="1"/>
  <c r="Y45" i="18"/>
  <c r="R43" i="18"/>
  <c r="C43" i="18" s="1"/>
  <c r="C232" i="5" s="1"/>
  <c r="C420" i="5" s="1"/>
  <c r="X41" i="18"/>
  <c r="V38" i="18"/>
  <c r="AD36" i="18"/>
  <c r="S35" i="18"/>
  <c r="Y33" i="18"/>
  <c r="Y31" i="18"/>
  <c r="Q30" i="18"/>
  <c r="AB28" i="18"/>
  <c r="R27" i="18"/>
  <c r="C27" i="18" s="1"/>
  <c r="C216" i="5" s="1"/>
  <c r="C404" i="5" s="1"/>
  <c r="S22" i="18"/>
  <c r="W19" i="18"/>
  <c r="X16" i="18"/>
  <c r="T13" i="18"/>
  <c r="S11" i="18"/>
  <c r="W101" i="18"/>
  <c r="AA58" i="18"/>
  <c r="AA52" i="18"/>
  <c r="Y48" i="18"/>
  <c r="W46" i="18"/>
  <c r="AD44" i="18"/>
  <c r="AD37" i="18"/>
  <c r="Y34" i="18"/>
  <c r="S31" i="18"/>
  <c r="X28" i="18"/>
  <c r="AD24" i="18"/>
  <c r="S19" i="18"/>
  <c r="AE15" i="18"/>
  <c r="AA12" i="18"/>
  <c r="AD9" i="18"/>
  <c r="T127" i="18"/>
  <c r="AD109" i="18"/>
  <c r="W97" i="18"/>
  <c r="AC78" i="18"/>
  <c r="AD74" i="18"/>
  <c r="T66" i="18"/>
  <c r="T58" i="18"/>
  <c r="T55" i="18"/>
  <c r="Y53" i="18"/>
  <c r="AE51" i="18"/>
  <c r="T46" i="18"/>
  <c r="Q44" i="18"/>
  <c r="AB180" i="18"/>
  <c r="P103" i="18"/>
  <c r="B103" i="18" s="1"/>
  <c r="B292" i="5" s="1"/>
  <c r="B480" i="5" s="1"/>
  <c r="AE92" i="18"/>
  <c r="P82" i="18"/>
  <c r="B82" i="18" s="1"/>
  <c r="B271" i="5" s="1"/>
  <c r="B459" i="5" s="1"/>
  <c r="AA76" i="18"/>
  <c r="X67" i="18"/>
  <c r="AD64" i="18"/>
  <c r="AD59" i="18"/>
  <c r="U57" i="18"/>
  <c r="Q56" i="18"/>
  <c r="S54" i="18"/>
  <c r="AE52" i="18"/>
  <c r="Q50" i="18"/>
  <c r="AC48" i="18"/>
  <c r="Q43" i="18"/>
  <c r="W41" i="18"/>
  <c r="W39" i="18"/>
  <c r="T36" i="18"/>
  <c r="X31" i="18"/>
  <c r="AA28" i="18"/>
  <c r="Q27" i="18"/>
  <c r="Z23" i="18"/>
  <c r="P22" i="18"/>
  <c r="B22" i="18" s="1"/>
  <c r="B211" i="5" s="1"/>
  <c r="B399" i="5" s="1"/>
  <c r="AE20" i="18"/>
  <c r="V19" i="18"/>
  <c r="W16" i="18"/>
  <c r="AD14" i="18"/>
  <c r="R11" i="18"/>
  <c r="C11" i="18" s="1"/>
  <c r="C200" i="5" s="1"/>
  <c r="C388" i="5" s="1"/>
  <c r="X42" i="18"/>
  <c r="AE40" i="18"/>
  <c r="R39" i="18"/>
  <c r="C39" i="18" s="1"/>
  <c r="C228" i="5" s="1"/>
  <c r="C416" i="5" s="1"/>
  <c r="P36" i="18"/>
  <c r="B36" i="18" s="1"/>
  <c r="B225" i="5" s="1"/>
  <c r="B413" i="5" s="1"/>
  <c r="AD32" i="18"/>
  <c r="AE29" i="18"/>
  <c r="V23" i="18"/>
  <c r="AB20" i="18"/>
  <c r="V17" i="18"/>
  <c r="S14" i="18"/>
  <c r="P191" i="18"/>
  <c r="B191" i="18" s="1"/>
  <c r="B380" i="5" s="1"/>
  <c r="B568" i="5" s="1"/>
  <c r="AE70" i="18"/>
  <c r="Z58" i="18"/>
  <c r="V46" i="18"/>
  <c r="R44" i="18"/>
  <c r="C44" i="18" s="1"/>
  <c r="C233" i="5" s="1"/>
  <c r="C421" i="5" s="1"/>
  <c r="W42" i="18"/>
  <c r="AD40" i="18"/>
  <c r="Q39" i="18"/>
  <c r="AC37" i="18"/>
  <c r="X34" i="18"/>
  <c r="AC32" i="18"/>
  <c r="U29" i="18"/>
  <c r="Z26" i="18"/>
  <c r="AC24" i="18"/>
  <c r="U23" i="18"/>
  <c r="AA20" i="18"/>
  <c r="U17" i="18"/>
  <c r="AD15" i="18"/>
  <c r="Q14" i="18"/>
  <c r="Z12" i="18"/>
  <c r="T9" i="18"/>
  <c r="AD119" i="18"/>
  <c r="P92" i="18"/>
  <c r="B92" i="18" s="1"/>
  <c r="B281" i="5" s="1"/>
  <c r="B469" i="5" s="1"/>
  <c r="Z76" i="18"/>
  <c r="Z71" i="18"/>
  <c r="U67" i="18"/>
  <c r="AB64" i="18"/>
  <c r="T62" i="18"/>
  <c r="AB59" i="18"/>
  <c r="P56" i="18"/>
  <c r="B56" i="18" s="1"/>
  <c r="B245" i="5" s="1"/>
  <c r="B433" i="5" s="1"/>
  <c r="R54" i="18"/>
  <c r="C54" i="18" s="1"/>
  <c r="C243" i="5" s="1"/>
  <c r="C431" i="5" s="1"/>
  <c r="AC52" i="18"/>
  <c r="P50" i="18"/>
  <c r="B50" i="18" s="1"/>
  <c r="B239" i="5" s="1"/>
  <c r="B427" i="5" s="1"/>
  <c r="AB48" i="18"/>
  <c r="V39" i="18"/>
  <c r="R36" i="18"/>
  <c r="C36" i="18" s="1"/>
  <c r="C225" i="5" s="1"/>
  <c r="C413" i="5" s="1"/>
  <c r="AA34" i="18"/>
  <c r="W31" i="18"/>
  <c r="Z28" i="18"/>
  <c r="Y23" i="18"/>
  <c r="AD20" i="18"/>
  <c r="U19" i="18"/>
  <c r="V16" i="18"/>
  <c r="U14" i="18"/>
  <c r="AE12" i="18"/>
  <c r="Q11" i="18"/>
  <c r="Y42" i="18"/>
  <c r="AB119" i="18"/>
  <c r="V111" i="18"/>
  <c r="X101" i="18"/>
  <c r="AC88" i="18"/>
  <c r="Y76" i="18"/>
  <c r="T71" i="18"/>
  <c r="Q67" i="18"/>
  <c r="AA64" i="18"/>
  <c r="S62" i="18"/>
  <c r="Z59" i="18"/>
  <c r="Q54" i="18"/>
  <c r="AB52" i="18"/>
  <c r="AA48" i="18"/>
  <c r="X46" i="18"/>
  <c r="AE44" i="18"/>
  <c r="T39" i="18"/>
  <c r="AE37" i="18"/>
  <c r="Z34" i="18"/>
  <c r="AE32" i="18"/>
  <c r="U31" i="18"/>
  <c r="Y28" i="18"/>
  <c r="AE24" i="18"/>
  <c r="X23" i="18"/>
  <c r="AC20" i="18"/>
  <c r="T19" i="18"/>
  <c r="AE17" i="18"/>
  <c r="T14" i="18"/>
  <c r="AB12" i="18"/>
  <c r="P11" i="18"/>
  <c r="B11" i="18" s="1"/>
  <c r="B200" i="5" s="1"/>
  <c r="B388" i="5" s="1"/>
  <c r="AE9" i="18"/>
  <c r="AC18" i="18"/>
  <c r="V42" i="18"/>
  <c r="Y12" i="18"/>
  <c r="S24" i="18"/>
  <c r="AA37" i="18"/>
  <c r="N48" i="14"/>
  <c r="L48" i="14"/>
  <c r="R32" i="18"/>
  <c r="C32" i="18" s="1"/>
  <c r="C221" i="5" s="1"/>
  <c r="C409" i="5" s="1"/>
  <c r="AC15" i="18"/>
  <c r="W21" i="18"/>
  <c r="S9" i="18"/>
  <c r="W34" i="18"/>
  <c r="S17" i="18"/>
  <c r="AC40" i="18"/>
  <c r="F132" i="8"/>
  <c r="F137" i="8"/>
  <c r="F163" i="8"/>
  <c r="F262" i="8"/>
  <c r="F383" i="8"/>
  <c r="AA63" i="18"/>
  <c r="F374" i="8"/>
  <c r="F158" i="8"/>
  <c r="AB39" i="5"/>
  <c r="S39" i="5" s="1"/>
  <c r="L39" i="18" s="1"/>
  <c r="Z85" i="5"/>
  <c r="AD81" i="23" s="1"/>
  <c r="F167" i="8"/>
  <c r="F267" i="8"/>
  <c r="N109" i="10"/>
  <c r="H52" i="6"/>
  <c r="O52" i="6" s="1"/>
  <c r="J87" i="6"/>
  <c r="J48" i="14"/>
  <c r="F128" i="8"/>
  <c r="F248" i="8"/>
  <c r="K48" i="14"/>
  <c r="F252" i="8"/>
  <c r="F379" i="8"/>
  <c r="H28" i="4"/>
  <c r="AB19" i="5"/>
  <c r="S19" i="5" s="1"/>
  <c r="L19" i="18" s="1"/>
  <c r="Z30" i="5"/>
  <c r="Q30" i="5" s="1"/>
  <c r="K30" i="18" s="1"/>
  <c r="J110" i="10"/>
  <c r="J30" i="6"/>
  <c r="I52" i="6"/>
  <c r="H88" i="6"/>
  <c r="O88" i="6" s="1"/>
  <c r="F79" i="8"/>
  <c r="K110" i="10"/>
  <c r="J56" i="6"/>
  <c r="F84" i="8"/>
  <c r="O110" i="6"/>
  <c r="H110" i="6"/>
  <c r="H107" i="6"/>
  <c r="H83" i="6"/>
  <c r="O83" i="6" s="1"/>
  <c r="H61" i="6"/>
  <c r="O61" i="6" s="1"/>
  <c r="I43" i="6"/>
  <c r="O106" i="6"/>
  <c r="I79" i="6"/>
  <c r="J60" i="6"/>
  <c r="J106" i="6"/>
  <c r="J78" i="6"/>
  <c r="I60" i="6"/>
  <c r="I42" i="6"/>
  <c r="J103" i="6"/>
  <c r="H75" i="6"/>
  <c r="O75" i="6" s="1"/>
  <c r="I56" i="6"/>
  <c r="I103" i="6"/>
  <c r="J74" i="6"/>
  <c r="H56" i="6"/>
  <c r="O56" i="6" s="1"/>
  <c r="J34" i="6"/>
  <c r="H31" i="6"/>
  <c r="H65" i="6"/>
  <c r="O65" i="6" s="1"/>
  <c r="H103" i="6"/>
  <c r="F94" i="8"/>
  <c r="I65" i="6"/>
  <c r="I104" i="6"/>
  <c r="F98" i="8"/>
  <c r="F103" i="8"/>
  <c r="M48" i="14"/>
  <c r="O17" i="6"/>
  <c r="H39" i="6"/>
  <c r="O39" i="6" s="1"/>
  <c r="H70" i="6"/>
  <c r="O70" i="6" s="1"/>
  <c r="H111" i="6"/>
  <c r="Y4" i="23"/>
  <c r="G48" i="26"/>
  <c r="M110" i="10"/>
  <c r="M109" i="10" s="1"/>
  <c r="G238" i="15"/>
  <c r="H238" i="15" s="1"/>
  <c r="I238" i="15" s="1"/>
  <c r="K108" i="26" s="1"/>
  <c r="G379" i="5"/>
  <c r="K553" i="5"/>
  <c r="O13" i="6"/>
  <c r="H32" i="6"/>
  <c r="I39" i="6"/>
  <c r="J43" i="6"/>
  <c r="H48" i="6"/>
  <c r="O48" i="6" s="1"/>
  <c r="H57" i="6"/>
  <c r="O57" i="6" s="1"/>
  <c r="I61" i="6"/>
  <c r="H66" i="6"/>
  <c r="O66" i="6" s="1"/>
  <c r="J70" i="6"/>
  <c r="I75" i="6"/>
  <c r="J79" i="6"/>
  <c r="H84" i="6"/>
  <c r="O84" i="6" s="1"/>
  <c r="O103" i="6"/>
  <c r="I107" i="6"/>
  <c r="I111" i="6"/>
  <c r="O15" i="6"/>
  <c r="H28" i="6"/>
  <c r="I32" i="6"/>
  <c r="J39" i="6"/>
  <c r="H44" i="6"/>
  <c r="O44" i="6" s="1"/>
  <c r="I48" i="6"/>
  <c r="H53" i="6"/>
  <c r="J61" i="6"/>
  <c r="I66" i="6"/>
  <c r="H71" i="6"/>
  <c r="O71" i="6" s="1"/>
  <c r="J75" i="6"/>
  <c r="H80" i="6"/>
  <c r="O80" i="6" s="1"/>
  <c r="I84" i="6"/>
  <c r="H89" i="6"/>
  <c r="O89" i="6" s="1"/>
  <c r="H104" i="6"/>
  <c r="H108" i="6"/>
  <c r="J111" i="6"/>
  <c r="J32" i="6"/>
  <c r="H40" i="6"/>
  <c r="O40" i="6" s="1"/>
  <c r="I44" i="6"/>
  <c r="J48" i="6"/>
  <c r="I53" i="6"/>
  <c r="H58" i="6"/>
  <c r="O58" i="6" s="1"/>
  <c r="J62" i="6"/>
  <c r="J66" i="6"/>
  <c r="I71" i="6"/>
  <c r="H76" i="6"/>
  <c r="O76" i="6" s="1"/>
  <c r="I80" i="6"/>
  <c r="J84" i="6"/>
  <c r="I89" i="6"/>
  <c r="I108" i="6"/>
  <c r="O111" i="6"/>
  <c r="H29" i="6"/>
  <c r="I40" i="6"/>
  <c r="J44" i="6"/>
  <c r="H49" i="6"/>
  <c r="O49" i="6" s="1"/>
  <c r="J53" i="6"/>
  <c r="I58" i="6"/>
  <c r="I67" i="6"/>
  <c r="J71" i="6"/>
  <c r="I76" i="6"/>
  <c r="J80" i="6"/>
  <c r="H85" i="6"/>
  <c r="O85" i="6" s="1"/>
  <c r="J89" i="6"/>
  <c r="J108" i="6"/>
  <c r="O10" i="6"/>
  <c r="I29" i="6"/>
  <c r="H33" i="6"/>
  <c r="H45" i="6"/>
  <c r="O45" i="6" s="1"/>
  <c r="I49" i="6"/>
  <c r="H54" i="6"/>
  <c r="O54" i="6" s="1"/>
  <c r="J58" i="6"/>
  <c r="I63" i="6"/>
  <c r="J67" i="6"/>
  <c r="H72" i="6"/>
  <c r="O72" i="6" s="1"/>
  <c r="H81" i="6"/>
  <c r="O81" i="6" s="1"/>
  <c r="I85" i="6"/>
  <c r="H90" i="6"/>
  <c r="O90" i="6" s="1"/>
  <c r="I105" i="6"/>
  <c r="O108" i="6"/>
  <c r="H63" i="6"/>
  <c r="O63" i="6" s="1"/>
  <c r="H26" i="6"/>
  <c r="J29" i="6"/>
  <c r="I33" i="6"/>
  <c r="H41" i="6"/>
  <c r="O41" i="6" s="1"/>
  <c r="J49" i="6"/>
  <c r="I54" i="6"/>
  <c r="H59" i="6"/>
  <c r="O59" i="6" s="1"/>
  <c r="J63" i="6"/>
  <c r="H68" i="6"/>
  <c r="O68" i="6" s="1"/>
  <c r="I72" i="6"/>
  <c r="H77" i="6"/>
  <c r="O77" i="6" s="1"/>
  <c r="J85" i="6"/>
  <c r="I90" i="6"/>
  <c r="J105" i="6"/>
  <c r="H109" i="6"/>
  <c r="H105" i="6"/>
  <c r="O14" i="6"/>
  <c r="I26" i="6"/>
  <c r="J33" i="6"/>
  <c r="I41" i="6"/>
  <c r="H46" i="6"/>
  <c r="O46" i="6" s="1"/>
  <c r="J50" i="6"/>
  <c r="J54" i="6"/>
  <c r="I59" i="6"/>
  <c r="H64" i="6"/>
  <c r="O64" i="6" s="1"/>
  <c r="I68" i="6"/>
  <c r="J72" i="6"/>
  <c r="I77" i="6"/>
  <c r="H82" i="6"/>
  <c r="O82" i="6" s="1"/>
  <c r="J86" i="6"/>
  <c r="J90" i="6"/>
  <c r="O105" i="6"/>
  <c r="I109" i="6"/>
  <c r="O16" i="6"/>
  <c r="J26" i="6"/>
  <c r="H30" i="6"/>
  <c r="H34" i="6"/>
  <c r="J41" i="6"/>
  <c r="I46" i="6"/>
  <c r="H51" i="6"/>
  <c r="O51" i="6" s="1"/>
  <c r="I55" i="6"/>
  <c r="J59" i="6"/>
  <c r="I64" i="6"/>
  <c r="J68" i="6"/>
  <c r="H73" i="6"/>
  <c r="O73" i="6" s="1"/>
  <c r="J77" i="6"/>
  <c r="I82" i="6"/>
  <c r="H87" i="6"/>
  <c r="O87" i="6" s="1"/>
  <c r="I91" i="6"/>
  <c r="J109" i="6"/>
  <c r="H106" i="6"/>
  <c r="I30" i="6"/>
  <c r="I34" i="6"/>
  <c r="H42" i="6"/>
  <c r="O42" i="6" s="1"/>
  <c r="J46" i="6"/>
  <c r="I51" i="6"/>
  <c r="J55" i="6"/>
  <c r="H60" i="6"/>
  <c r="O60" i="6" s="1"/>
  <c r="H69" i="6"/>
  <c r="O69" i="6" s="1"/>
  <c r="I73" i="6"/>
  <c r="H78" i="6"/>
  <c r="O78" i="6" s="1"/>
  <c r="J82" i="6"/>
  <c r="I87" i="6"/>
  <c r="J91" i="6"/>
  <c r="I106" i="6"/>
  <c r="O109" i="6"/>
  <c r="I28" i="6"/>
  <c r="I31" i="6"/>
  <c r="H38" i="6"/>
  <c r="J40" i="6"/>
  <c r="I45" i="6"/>
  <c r="L47" i="6"/>
  <c r="H50" i="6"/>
  <c r="J52" i="6"/>
  <c r="I57" i="6"/>
  <c r="H62" i="6"/>
  <c r="J64" i="6"/>
  <c r="I69" i="6"/>
  <c r="H74" i="6"/>
  <c r="J76" i="6"/>
  <c r="I81" i="6"/>
  <c r="H86" i="6"/>
  <c r="J88" i="6"/>
  <c r="J104" i="6"/>
  <c r="J107" i="6"/>
  <c r="J110" i="6"/>
  <c r="O12" i="6"/>
  <c r="J28" i="6"/>
  <c r="J31" i="6"/>
  <c r="I38" i="6"/>
  <c r="H43" i="6"/>
  <c r="J45" i="6"/>
  <c r="I50" i="6"/>
  <c r="H55" i="6"/>
  <c r="J57" i="6"/>
  <c r="I62" i="6"/>
  <c r="H67" i="6"/>
  <c r="J69" i="6"/>
  <c r="I74" i="6"/>
  <c r="H79" i="6"/>
  <c r="J81" i="6"/>
  <c r="I86" i="6"/>
  <c r="H91" i="6"/>
  <c r="O104" i="6"/>
  <c r="O107" i="6"/>
  <c r="S8" i="6"/>
  <c r="K55" i="14"/>
  <c r="L574" i="5" s="1"/>
  <c r="G356" i="5"/>
  <c r="F191" i="13"/>
  <c r="F190" i="13"/>
  <c r="F194" i="13"/>
  <c r="F193" i="13"/>
  <c r="F192" i="13"/>
  <c r="W167" i="5"/>
  <c r="Z167" i="5" s="1"/>
  <c r="G121" i="13"/>
  <c r="F113" i="13" s="1"/>
  <c r="L64" i="2"/>
  <c r="F32" i="6"/>
  <c r="O32" i="6" s="1"/>
  <c r="Q4" i="23"/>
  <c r="Z41" i="23" s="1"/>
  <c r="J47" i="2"/>
  <c r="C66" i="2"/>
  <c r="C19" i="2" s="1"/>
  <c r="X7" i="18" s="1"/>
  <c r="AD7" i="18" s="1"/>
  <c r="F344" i="9"/>
  <c r="F343" i="9"/>
  <c r="F342" i="9"/>
  <c r="F346" i="9"/>
  <c r="F345" i="9"/>
  <c r="W98" i="5"/>
  <c r="Z98" i="5" s="1"/>
  <c r="G287" i="5"/>
  <c r="G285" i="5"/>
  <c r="H285" i="5"/>
  <c r="K308" i="9"/>
  <c r="M308" i="9"/>
  <c r="G283" i="5"/>
  <c r="K288" i="9"/>
  <c r="M288" i="9"/>
  <c r="F137" i="9"/>
  <c r="F134" i="9"/>
  <c r="F136" i="9"/>
  <c r="F135" i="9"/>
  <c r="F133" i="9"/>
  <c r="W76" i="5"/>
  <c r="Z76" i="5" s="1"/>
  <c r="G265" i="5"/>
  <c r="F217" i="14"/>
  <c r="F216" i="14"/>
  <c r="W190" i="5"/>
  <c r="Z190" i="5" s="1"/>
  <c r="Q190" i="5" s="1"/>
  <c r="K190" i="18" s="1"/>
  <c r="F220" i="14"/>
  <c r="F219" i="14"/>
  <c r="F218" i="14"/>
  <c r="T496" i="5"/>
  <c r="N130" i="10"/>
  <c r="J112" i="10"/>
  <c r="I112" i="10" s="1"/>
  <c r="H112" i="10" s="1"/>
  <c r="N134" i="10" s="1"/>
  <c r="O490" i="5"/>
  <c r="N31" i="10"/>
  <c r="J55" i="14"/>
  <c r="J574" i="5" s="1"/>
  <c r="J49" i="14"/>
  <c r="I49" i="14" s="1"/>
  <c r="H49" i="14" s="1"/>
  <c r="M55" i="14"/>
  <c r="V29" i="24"/>
  <c r="U34" i="24"/>
  <c r="W29" i="24"/>
  <c r="X29" i="24"/>
  <c r="U33" i="24"/>
  <c r="Y29" i="24"/>
  <c r="U31" i="24"/>
  <c r="H37" i="4"/>
  <c r="V29" i="4"/>
  <c r="W32" i="4"/>
  <c r="U34" i="4"/>
  <c r="Y29" i="4"/>
  <c r="W34" i="4"/>
  <c r="K78" i="8"/>
  <c r="K83" i="8"/>
  <c r="K87" i="8"/>
  <c r="K97" i="8"/>
  <c r="K102" i="8"/>
  <c r="K112" i="8"/>
  <c r="K117" i="8"/>
  <c r="K121" i="8"/>
  <c r="K131" i="8"/>
  <c r="K136" i="8"/>
  <c r="M157" i="8"/>
  <c r="M161" i="8"/>
  <c r="M166" i="8"/>
  <c r="F183" i="8"/>
  <c r="F187" i="8"/>
  <c r="F192" i="8"/>
  <c r="K242" i="8"/>
  <c r="K246" i="8"/>
  <c r="K251" i="8"/>
  <c r="K261" i="8"/>
  <c r="K266" i="8"/>
  <c r="K373" i="8"/>
  <c r="K377" i="8"/>
  <c r="K382" i="8"/>
  <c r="K79" i="8"/>
  <c r="K84" i="8"/>
  <c r="K94" i="8"/>
  <c r="K98" i="8"/>
  <c r="K103" i="8"/>
  <c r="K113" i="8"/>
  <c r="K118" i="8"/>
  <c r="K128" i="8"/>
  <c r="K132" i="8"/>
  <c r="K137" i="8"/>
  <c r="M158" i="8"/>
  <c r="M163" i="8"/>
  <c r="M167" i="8"/>
  <c r="F184" i="8"/>
  <c r="F189" i="8"/>
  <c r="F193" i="8"/>
  <c r="K243" i="8"/>
  <c r="K248" i="8"/>
  <c r="K252" i="8"/>
  <c r="K262" i="8"/>
  <c r="K267" i="8"/>
  <c r="K374" i="8"/>
  <c r="K379" i="8"/>
  <c r="K383" i="8"/>
  <c r="F80" i="8"/>
  <c r="F85" i="8"/>
  <c r="F95" i="8"/>
  <c r="F100" i="8"/>
  <c r="F104" i="8"/>
  <c r="F114" i="8"/>
  <c r="F119" i="8"/>
  <c r="F129" i="8"/>
  <c r="F134" i="8"/>
  <c r="F138" i="8"/>
  <c r="F159" i="8"/>
  <c r="F164" i="8"/>
  <c r="K184" i="8"/>
  <c r="K189" i="8"/>
  <c r="K193" i="8"/>
  <c r="F244" i="8"/>
  <c r="F249" i="8"/>
  <c r="F259" i="8"/>
  <c r="F263" i="8"/>
  <c r="F268" i="8"/>
  <c r="F375" i="8"/>
  <c r="F380" i="8"/>
  <c r="K80" i="8"/>
  <c r="K85" i="8"/>
  <c r="K95" i="8"/>
  <c r="K100" i="8"/>
  <c r="K104" i="8"/>
  <c r="K114" i="8"/>
  <c r="K119" i="8"/>
  <c r="K129" i="8"/>
  <c r="K134" i="8"/>
  <c r="K138" i="8"/>
  <c r="M159" i="8"/>
  <c r="M164" i="8"/>
  <c r="F185" i="8"/>
  <c r="F190" i="8"/>
  <c r="K244" i="8"/>
  <c r="K249" i="8"/>
  <c r="K259" i="8"/>
  <c r="K263" i="8"/>
  <c r="K268" i="8"/>
  <c r="K375" i="8"/>
  <c r="K380" i="8"/>
  <c r="F77" i="8"/>
  <c r="F81" i="8"/>
  <c r="F86" i="8"/>
  <c r="F96" i="8"/>
  <c r="F101" i="8"/>
  <c r="F111" i="8"/>
  <c r="F115" i="8"/>
  <c r="F120" i="8"/>
  <c r="F130" i="8"/>
  <c r="F135" i="8"/>
  <c r="F160" i="8"/>
  <c r="F165" i="8"/>
  <c r="K185" i="8"/>
  <c r="K190" i="8"/>
  <c r="F245" i="8"/>
  <c r="F250" i="8"/>
  <c r="F260" i="8"/>
  <c r="F265" i="8"/>
  <c r="F269" i="8"/>
  <c r="F376" i="8"/>
  <c r="F381" i="8"/>
  <c r="K77" i="8"/>
  <c r="K81" i="8"/>
  <c r="K86" i="8"/>
  <c r="K96" i="8"/>
  <c r="K101" i="8"/>
  <c r="K111" i="8"/>
  <c r="K115" i="8"/>
  <c r="K120" i="8"/>
  <c r="K130" i="8"/>
  <c r="K135" i="8"/>
  <c r="M160" i="8"/>
  <c r="M165" i="8"/>
  <c r="F186" i="8"/>
  <c r="F191" i="8"/>
  <c r="K245" i="8"/>
  <c r="K250" i="8"/>
  <c r="K260" i="8"/>
  <c r="K265" i="8"/>
  <c r="K269" i="8"/>
  <c r="K376" i="8"/>
  <c r="K381" i="8"/>
  <c r="F78" i="8"/>
  <c r="F83" i="8"/>
  <c r="F87" i="8"/>
  <c r="F97" i="8"/>
  <c r="F102" i="8"/>
  <c r="F112" i="8"/>
  <c r="F117" i="8"/>
  <c r="F121" i="8"/>
  <c r="F131" i="8"/>
  <c r="F136" i="8"/>
  <c r="F157" i="8"/>
  <c r="F161" i="8"/>
  <c r="F166" i="8"/>
  <c r="K186" i="8"/>
  <c r="K191" i="8"/>
  <c r="F242" i="8"/>
  <c r="F246" i="8"/>
  <c r="F251" i="8"/>
  <c r="F261" i="8"/>
  <c r="F266" i="8"/>
  <c r="F373" i="8"/>
  <c r="F377" i="8"/>
  <c r="I231" i="15"/>
  <c r="I223" i="15"/>
  <c r="I239" i="15"/>
  <c r="L108" i="26" s="1"/>
  <c r="I230" i="15"/>
  <c r="I222" i="15"/>
  <c r="I237" i="15"/>
  <c r="I229" i="15"/>
  <c r="I221" i="15"/>
  <c r="I236" i="15"/>
  <c r="I228" i="15"/>
  <c r="I220" i="15"/>
  <c r="I235" i="15"/>
  <c r="I227" i="15"/>
  <c r="I234" i="15"/>
  <c r="I226" i="15"/>
  <c r="I233" i="15"/>
  <c r="I225" i="15"/>
  <c r="I232" i="15"/>
  <c r="I224" i="15"/>
  <c r="AB50" i="5"/>
  <c r="Z69" i="5"/>
  <c r="Q69" i="5" s="1"/>
  <c r="K69" i="18" s="1"/>
  <c r="Z106" i="5"/>
  <c r="Z143" i="5"/>
  <c r="Q143" i="5" s="1"/>
  <c r="K143" i="18" s="1"/>
  <c r="Z154" i="5"/>
  <c r="Z175" i="5"/>
  <c r="S95" i="5"/>
  <c r="AE55" i="23"/>
  <c r="AB88" i="5"/>
  <c r="Z163" i="5"/>
  <c r="Q163" i="5" s="1"/>
  <c r="K163" i="18" s="1"/>
  <c r="Z50" i="5"/>
  <c r="AB190" i="5"/>
  <c r="S190" i="5" s="1"/>
  <c r="L190" i="18" s="1"/>
  <c r="AB194" i="5"/>
  <c r="S194" i="5" s="1"/>
  <c r="L194" i="18" s="1"/>
  <c r="Z185" i="5"/>
  <c r="AB179" i="5"/>
  <c r="Z194" i="5"/>
  <c r="Q194" i="5" s="1"/>
  <c r="K194" i="18" s="1"/>
  <c r="AB191" i="5"/>
  <c r="Z191" i="5"/>
  <c r="AB187" i="5"/>
  <c r="Z187" i="5"/>
  <c r="AB176" i="5"/>
  <c r="AB189" i="5"/>
  <c r="AB182" i="5"/>
  <c r="S182" i="5" s="1"/>
  <c r="L182" i="18" s="1"/>
  <c r="AB180" i="5"/>
  <c r="AB185" i="5"/>
  <c r="AB181" i="5"/>
  <c r="AB169" i="5"/>
  <c r="S169" i="5" s="1"/>
  <c r="L169" i="18" s="1"/>
  <c r="AB161" i="5"/>
  <c r="S161" i="5" s="1"/>
  <c r="L161" i="18" s="1"/>
  <c r="Z153" i="5"/>
  <c r="Z147" i="5"/>
  <c r="AB144" i="5"/>
  <c r="S144" i="5" s="1"/>
  <c r="L144" i="18" s="1"/>
  <c r="AB123" i="5"/>
  <c r="AB119" i="5"/>
  <c r="S119" i="5" s="1"/>
  <c r="L119" i="18" s="1"/>
  <c r="Z109" i="5"/>
  <c r="Z104" i="5"/>
  <c r="Q104" i="5" s="1"/>
  <c r="K104" i="18" s="1"/>
  <c r="AB92" i="5"/>
  <c r="S92" i="5" s="1"/>
  <c r="Z88" i="5"/>
  <c r="Z84" i="5"/>
  <c r="Z77" i="5"/>
  <c r="Q77" i="5" s="1"/>
  <c r="K77" i="18" s="1"/>
  <c r="AB44" i="5"/>
  <c r="S44" i="5" s="1"/>
  <c r="L44" i="18" s="1"/>
  <c r="Z43" i="5"/>
  <c r="Q43" i="5" s="1"/>
  <c r="K43" i="18" s="1"/>
  <c r="Z39" i="5"/>
  <c r="AB33" i="5"/>
  <c r="S33" i="5" s="1"/>
  <c r="L33" i="18" s="1"/>
  <c r="AB25" i="5"/>
  <c r="AB22" i="5"/>
  <c r="Z19" i="5"/>
  <c r="Q19" i="5" s="1"/>
  <c r="K19" i="18" s="1"/>
  <c r="AB15" i="5"/>
  <c r="S15" i="5" s="1"/>
  <c r="L15" i="18" s="1"/>
  <c r="AB178" i="5"/>
  <c r="AB175" i="5"/>
  <c r="Z169" i="5"/>
  <c r="Q169" i="5" s="1"/>
  <c r="K169" i="18" s="1"/>
  <c r="AB164" i="5"/>
  <c r="S164" i="5" s="1"/>
  <c r="L164" i="18" s="1"/>
  <c r="Z161" i="5"/>
  <c r="Q161" i="5" s="1"/>
  <c r="K161" i="18" s="1"/>
  <c r="AB154" i="5"/>
  <c r="AB149" i="5"/>
  <c r="S149" i="5" s="1"/>
  <c r="L149" i="18" s="1"/>
  <c r="Z144" i="5"/>
  <c r="Q144" i="5" s="1"/>
  <c r="K144" i="18" s="1"/>
  <c r="AB115" i="5"/>
  <c r="S115" i="5" s="1"/>
  <c r="L115" i="18" s="1"/>
  <c r="AB110" i="5"/>
  <c r="AB106" i="5"/>
  <c r="AB97" i="5"/>
  <c r="Z92" i="5"/>
  <c r="Q92" i="5" s="1"/>
  <c r="K92" i="18" s="1"/>
  <c r="AB85" i="5"/>
  <c r="AB80" i="5"/>
  <c r="S80" i="5" s="1"/>
  <c r="AB73" i="5"/>
  <c r="S73" i="5" s="1"/>
  <c r="L73" i="18" s="1"/>
  <c r="AB51" i="5"/>
  <c r="S51" i="5" s="1"/>
  <c r="L51" i="18" s="1"/>
  <c r="Z44" i="5"/>
  <c r="Q44" i="5" s="1"/>
  <c r="K44" i="18" s="1"/>
  <c r="Z33" i="5"/>
  <c r="Q33" i="5" s="1"/>
  <c r="K33" i="18" s="1"/>
  <c r="Z25" i="5"/>
  <c r="Z22" i="5"/>
  <c r="AB16" i="5"/>
  <c r="S16" i="5" s="1"/>
  <c r="L16" i="18" s="1"/>
  <c r="Z15" i="5"/>
  <c r="Q15" i="5" s="1"/>
  <c r="K15" i="18" s="1"/>
  <c r="AB170" i="5"/>
  <c r="S170" i="5" s="1"/>
  <c r="L170" i="18" s="1"/>
  <c r="AB162" i="5"/>
  <c r="S162" i="5" s="1"/>
  <c r="L162" i="18" s="1"/>
  <c r="Z159" i="5"/>
  <c r="Q159" i="5" s="1"/>
  <c r="K159" i="18" s="1"/>
  <c r="AB155" i="5"/>
  <c r="AB150" i="5"/>
  <c r="S150" i="5" s="1"/>
  <c r="L150" i="18" s="1"/>
  <c r="Z140" i="5"/>
  <c r="Q140" i="5" s="1"/>
  <c r="K140" i="18" s="1"/>
  <c r="AB118" i="5"/>
  <c r="S118" i="5" s="1"/>
  <c r="L118" i="18" s="1"/>
  <c r="AB111" i="5"/>
  <c r="AB107" i="5"/>
  <c r="AB98" i="5"/>
  <c r="Z90" i="5"/>
  <c r="Q90" i="5" s="1"/>
  <c r="K90" i="18" s="1"/>
  <c r="AB86" i="5"/>
  <c r="AB81" i="5"/>
  <c r="S81" i="5" s="1"/>
  <c r="AB75" i="5"/>
  <c r="S75" i="5" s="1"/>
  <c r="Z70" i="5"/>
  <c r="Q70" i="5" s="1"/>
  <c r="K70" i="18" s="1"/>
  <c r="AB66" i="5"/>
  <c r="Z65" i="5"/>
  <c r="Q65" i="5" s="1"/>
  <c r="K65" i="18" s="1"/>
  <c r="Z60" i="5"/>
  <c r="AB56" i="5"/>
  <c r="S56" i="5" s="1"/>
  <c r="L56" i="18" s="1"/>
  <c r="Z55" i="5"/>
  <c r="Q55" i="5" s="1"/>
  <c r="K55" i="18" s="1"/>
  <c r="AB34" i="5"/>
  <c r="S34" i="5" s="1"/>
  <c r="L34" i="18" s="1"/>
  <c r="Z189" i="5"/>
  <c r="AB186" i="5"/>
  <c r="Z170" i="5"/>
  <c r="Q170" i="5" s="1"/>
  <c r="K170" i="18" s="1"/>
  <c r="AB165" i="5"/>
  <c r="S165" i="5" s="1"/>
  <c r="L165" i="18" s="1"/>
  <c r="Z162" i="5"/>
  <c r="Q162" i="5" s="1"/>
  <c r="K162" i="18" s="1"/>
  <c r="Z155" i="5"/>
  <c r="Z150" i="5"/>
  <c r="Q150" i="5" s="1"/>
  <c r="K150" i="18" s="1"/>
  <c r="AB141" i="5"/>
  <c r="S141" i="5" s="1"/>
  <c r="L141" i="18" s="1"/>
  <c r="Z111" i="5"/>
  <c r="Z107" i="5"/>
  <c r="Z86" i="5"/>
  <c r="Z81" i="5"/>
  <c r="Q81" i="5" s="1"/>
  <c r="K81" i="18" s="1"/>
  <c r="AB71" i="5"/>
  <c r="Z66" i="5"/>
  <c r="AB61" i="5"/>
  <c r="AB57" i="5"/>
  <c r="S57" i="5" s="1"/>
  <c r="L57" i="18" s="1"/>
  <c r="Z56" i="5"/>
  <c r="Q56" i="5" s="1"/>
  <c r="K56" i="18" s="1"/>
  <c r="AB42" i="5"/>
  <c r="AB37" i="5"/>
  <c r="S37" i="5" s="1"/>
  <c r="L37" i="18" s="1"/>
  <c r="Z34" i="5"/>
  <c r="Q34" i="5" s="1"/>
  <c r="K34" i="18" s="1"/>
  <c r="AB30" i="5"/>
  <c r="AB17" i="5"/>
  <c r="S17" i="5" s="1"/>
  <c r="L17" i="18" s="1"/>
  <c r="Z11" i="5"/>
  <c r="Q11" i="5" s="1"/>
  <c r="K11" i="18" s="1"/>
  <c r="AB193" i="5"/>
  <c r="S193" i="5" s="1"/>
  <c r="L193" i="18" s="1"/>
  <c r="Z186" i="5"/>
  <c r="Z182" i="5"/>
  <c r="Q182" i="5" s="1"/>
  <c r="K182" i="18" s="1"/>
  <c r="Z179" i="5"/>
  <c r="AB171" i="5"/>
  <c r="S171" i="5" s="1"/>
  <c r="L171" i="18" s="1"/>
  <c r="Z165" i="5"/>
  <c r="Q165" i="5" s="1"/>
  <c r="K165" i="18" s="1"/>
  <c r="AB160" i="5"/>
  <c r="S160" i="5" s="1"/>
  <c r="L160" i="18" s="1"/>
  <c r="AB156" i="5"/>
  <c r="AB152" i="5"/>
  <c r="Z141" i="5"/>
  <c r="Q141" i="5" s="1"/>
  <c r="K141" i="18" s="1"/>
  <c r="AB124" i="5"/>
  <c r="AB113" i="5"/>
  <c r="AB108" i="5"/>
  <c r="AB102" i="5"/>
  <c r="S102" i="5" s="1"/>
  <c r="L102" i="18" s="1"/>
  <c r="AB94" i="5"/>
  <c r="AB91" i="5"/>
  <c r="S91" i="5" s="1"/>
  <c r="AB87" i="5"/>
  <c r="AB83" i="5"/>
  <c r="AB76" i="5"/>
  <c r="Z71" i="5"/>
  <c r="AB67" i="5"/>
  <c r="Z171" i="5"/>
  <c r="Q171" i="5" s="1"/>
  <c r="K171" i="18" s="1"/>
  <c r="AB167" i="5"/>
  <c r="AB163" i="5"/>
  <c r="S163" i="5" s="1"/>
  <c r="L163" i="18" s="1"/>
  <c r="Z160" i="5"/>
  <c r="Q160" i="5" s="1"/>
  <c r="K160" i="18" s="1"/>
  <c r="Z156" i="5"/>
  <c r="AB143" i="5"/>
  <c r="S143" i="5" s="1"/>
  <c r="L143" i="18" s="1"/>
  <c r="AB116" i="5"/>
  <c r="Z108" i="5"/>
  <c r="AB103" i="5"/>
  <c r="S103" i="5" s="1"/>
  <c r="L103" i="18" s="1"/>
  <c r="Z102" i="5"/>
  <c r="Q102" i="5" s="1"/>
  <c r="K102" i="18" s="1"/>
  <c r="Z91" i="5"/>
  <c r="Q91" i="5" s="1"/>
  <c r="K91" i="18" s="1"/>
  <c r="Z87" i="5"/>
  <c r="Z83" i="5"/>
  <c r="AB69" i="5"/>
  <c r="S69" i="5" s="1"/>
  <c r="L69" i="18" s="1"/>
  <c r="Z67" i="5"/>
  <c r="Z47" i="5"/>
  <c r="AB38" i="5"/>
  <c r="S38" i="5" s="1"/>
  <c r="L38" i="18" s="1"/>
  <c r="Z31" i="5"/>
  <c r="AB24" i="5"/>
  <c r="AB18" i="5"/>
  <c r="S18" i="5" s="1"/>
  <c r="L18" i="18" s="1"/>
  <c r="Z18" i="5"/>
  <c r="Q18" i="5" s="1"/>
  <c r="K18" i="18" s="1"/>
  <c r="Z24" i="5"/>
  <c r="AB31" i="5"/>
  <c r="Z51" i="5"/>
  <c r="Q51" i="5" s="1"/>
  <c r="K51" i="18" s="1"/>
  <c r="AB90" i="5"/>
  <c r="S90" i="5" s="1"/>
  <c r="Z110" i="5"/>
  <c r="Z115" i="5"/>
  <c r="Q115" i="5" s="1"/>
  <c r="K115" i="18" s="1"/>
  <c r="Z149" i="5"/>
  <c r="Q149" i="5" s="1"/>
  <c r="K149" i="18" s="1"/>
  <c r="Z164" i="5"/>
  <c r="Q164" i="5" s="1"/>
  <c r="K164" i="18" s="1"/>
  <c r="AB104" i="5"/>
  <c r="S104" i="5" s="1"/>
  <c r="L104" i="18" s="1"/>
  <c r="AB153" i="5"/>
  <c r="AB173" i="5"/>
  <c r="Z178" i="5"/>
  <c r="Z17" i="5"/>
  <c r="Q17" i="5" s="1"/>
  <c r="K17" i="18" s="1"/>
  <c r="F250" i="14"/>
  <c r="F246" i="14"/>
  <c r="F249" i="14"/>
  <c r="F248" i="14"/>
  <c r="W193" i="5"/>
  <c r="Z193" i="5" s="1"/>
  <c r="Q193" i="5" s="1"/>
  <c r="K193" i="18" s="1"/>
  <c r="F247" i="14"/>
  <c r="F42" i="14"/>
  <c r="F41" i="14"/>
  <c r="W176" i="5"/>
  <c r="Z176" i="5" s="1"/>
  <c r="F40" i="14"/>
  <c r="F43" i="14"/>
  <c r="F39" i="14"/>
  <c r="J67" i="2"/>
  <c r="F73" i="2"/>
  <c r="Y8" i="18" s="1"/>
  <c r="F15" i="10"/>
  <c r="F18" i="10"/>
  <c r="F14" i="10"/>
  <c r="W113" i="5"/>
  <c r="Z113" i="5" s="1"/>
  <c r="F16" i="10"/>
  <c r="F17" i="10"/>
  <c r="F102" i="10"/>
  <c r="F105" i="10"/>
  <c r="F101" i="10"/>
  <c r="F104" i="10"/>
  <c r="F103" i="10"/>
  <c r="W119" i="5"/>
  <c r="Z119" i="5" s="1"/>
  <c r="Q119" i="5" s="1"/>
  <c r="K119" i="18" s="1"/>
  <c r="S25" i="6"/>
  <c r="O123" i="14"/>
  <c r="L69" i="2"/>
  <c r="O51" i="8" s="1"/>
  <c r="O33" i="6"/>
  <c r="AA9" i="18"/>
  <c r="I95" i="15"/>
  <c r="E86" i="17"/>
  <c r="F107" i="14"/>
  <c r="F108" i="14"/>
  <c r="F105" i="14"/>
  <c r="F109" i="14"/>
  <c r="W180" i="5"/>
  <c r="Z180" i="5" s="1"/>
  <c r="G307" i="5"/>
  <c r="N2" i="6"/>
  <c r="R2" i="5"/>
  <c r="K5" i="24"/>
  <c r="B2" i="6"/>
  <c r="B2" i="5"/>
  <c r="B196" i="5" s="1"/>
  <c r="K5" i="4"/>
  <c r="L33" i="6"/>
  <c r="R33" i="6"/>
  <c r="G305" i="5"/>
  <c r="F50" i="10"/>
  <c r="F49" i="10"/>
  <c r="W116" i="5"/>
  <c r="Z116" i="5" s="1"/>
  <c r="F48" i="10"/>
  <c r="F47" i="10"/>
  <c r="F46" i="10"/>
  <c r="F70" i="10"/>
  <c r="F69" i="10"/>
  <c r="F68" i="10"/>
  <c r="F67" i="10"/>
  <c r="W118" i="5"/>
  <c r="Z118" i="5" s="1"/>
  <c r="F71" i="10"/>
  <c r="N67" i="2" l="1"/>
  <c r="F34" i="6" s="1"/>
  <c r="L29" i="6"/>
  <c r="U29" i="6"/>
  <c r="U31" i="6"/>
  <c r="R31" i="6"/>
  <c r="O29" i="6"/>
  <c r="O31" i="6"/>
  <c r="I41" i="15"/>
  <c r="Q41" i="15"/>
  <c r="P41" i="15"/>
  <c r="P42" i="15" s="1"/>
  <c r="I15" i="6" s="1"/>
  <c r="O41" i="15"/>
  <c r="N41" i="15"/>
  <c r="N42" i="15" s="1"/>
  <c r="M41" i="15"/>
  <c r="L41" i="15"/>
  <c r="K41" i="15"/>
  <c r="K42" i="15" s="1"/>
  <c r="J41" i="15"/>
  <c r="J42" i="15" s="1"/>
  <c r="K53" i="15"/>
  <c r="J53" i="15"/>
  <c r="I53" i="15"/>
  <c r="Q53" i="15"/>
  <c r="P53" i="15"/>
  <c r="O53" i="15"/>
  <c r="N53" i="15"/>
  <c r="M53" i="15"/>
  <c r="L53" i="15"/>
  <c r="Q29" i="15"/>
  <c r="P29" i="15"/>
  <c r="O29" i="15"/>
  <c r="N29" i="15"/>
  <c r="M29" i="15"/>
  <c r="L29" i="15"/>
  <c r="K29" i="15"/>
  <c r="J29" i="15"/>
  <c r="I29" i="15"/>
  <c r="F45" i="13"/>
  <c r="M10" i="15"/>
  <c r="L10" i="15"/>
  <c r="L12" i="15" s="1"/>
  <c r="K10" i="15"/>
  <c r="K12" i="15" s="1"/>
  <c r="J10" i="15"/>
  <c r="I10" i="15"/>
  <c r="I12" i="15" s="1"/>
  <c r="Q10" i="15"/>
  <c r="P10" i="15"/>
  <c r="O10" i="15"/>
  <c r="N10" i="15"/>
  <c r="N47" i="2"/>
  <c r="O47" i="2" s="1"/>
  <c r="F49" i="13"/>
  <c r="L42" i="15"/>
  <c r="F46" i="13"/>
  <c r="M42" i="15"/>
  <c r="O42" i="15"/>
  <c r="H15" i="6" s="1"/>
  <c r="L59" i="15"/>
  <c r="K59" i="15"/>
  <c r="J59" i="15"/>
  <c r="I59" i="15"/>
  <c r="Q59" i="15"/>
  <c r="P59" i="15"/>
  <c r="O59" i="15"/>
  <c r="N59" i="15"/>
  <c r="M59" i="15"/>
  <c r="J52" i="15"/>
  <c r="I52" i="15"/>
  <c r="I54" i="15" s="1"/>
  <c r="Q52" i="15"/>
  <c r="Q54" i="15" s="1"/>
  <c r="J17" i="6" s="1"/>
  <c r="P52" i="15"/>
  <c r="P54" i="15" s="1"/>
  <c r="I17" i="6" s="1"/>
  <c r="O52" i="15"/>
  <c r="N52" i="15"/>
  <c r="N54" i="15" s="1"/>
  <c r="M52" i="15"/>
  <c r="M54" i="15" s="1"/>
  <c r="L52" i="15"/>
  <c r="L54" i="15" s="1"/>
  <c r="K52" i="15"/>
  <c r="K54" i="15" s="1"/>
  <c r="P16" i="15"/>
  <c r="P18" i="15" s="1"/>
  <c r="I11" i="6" s="1"/>
  <c r="O16" i="15"/>
  <c r="O18" i="15" s="1"/>
  <c r="H11" i="6" s="1"/>
  <c r="N16" i="15"/>
  <c r="N18" i="15" s="1"/>
  <c r="M16" i="15"/>
  <c r="M18" i="15" s="1"/>
  <c r="L16" i="15"/>
  <c r="L18" i="15" s="1"/>
  <c r="K16" i="15"/>
  <c r="K18" i="15" s="1"/>
  <c r="J16" i="15"/>
  <c r="J18" i="15" s="1"/>
  <c r="I16" i="15"/>
  <c r="I18" i="15" s="1"/>
  <c r="Q16" i="15"/>
  <c r="Q18" i="15" s="1"/>
  <c r="J11" i="6" s="1"/>
  <c r="Q28" i="15"/>
  <c r="Q30" i="15" s="1"/>
  <c r="J13" i="6" s="1"/>
  <c r="P28" i="15"/>
  <c r="P30" i="15" s="1"/>
  <c r="I13" i="6" s="1"/>
  <c r="O28" i="15"/>
  <c r="N28" i="15"/>
  <c r="M28" i="15"/>
  <c r="M30" i="15" s="1"/>
  <c r="L28" i="15"/>
  <c r="K28" i="15"/>
  <c r="K30" i="15" s="1"/>
  <c r="J28" i="15"/>
  <c r="J30" i="15" s="1"/>
  <c r="I28" i="15"/>
  <c r="Q42" i="15"/>
  <c r="J15" i="6" s="1"/>
  <c r="J47" i="15"/>
  <c r="I47" i="15"/>
  <c r="Q47" i="15"/>
  <c r="P47" i="15"/>
  <c r="O47" i="15"/>
  <c r="N47" i="15"/>
  <c r="M47" i="15"/>
  <c r="L47" i="15"/>
  <c r="K47" i="15"/>
  <c r="Q23" i="15"/>
  <c r="Q24" i="15" s="1"/>
  <c r="J12" i="6" s="1"/>
  <c r="P23" i="15"/>
  <c r="P24" i="15" s="1"/>
  <c r="I12" i="6" s="1"/>
  <c r="O23" i="15"/>
  <c r="N23" i="15"/>
  <c r="N24" i="15" s="1"/>
  <c r="M23" i="15"/>
  <c r="M24" i="15" s="1"/>
  <c r="L23" i="15"/>
  <c r="L24" i="15" s="1"/>
  <c r="K23" i="15"/>
  <c r="K24" i="15" s="1"/>
  <c r="J23" i="15"/>
  <c r="J24" i="15" s="1"/>
  <c r="I23" i="15"/>
  <c r="I24" i="15" s="1"/>
  <c r="T94" i="26"/>
  <c r="O24" i="15"/>
  <c r="H12" i="6" s="1"/>
  <c r="O60" i="2"/>
  <c r="F30" i="6"/>
  <c r="N55" i="2"/>
  <c r="N292" i="9"/>
  <c r="O11" i="15"/>
  <c r="N11" i="15"/>
  <c r="M11" i="15"/>
  <c r="L11" i="15"/>
  <c r="K11" i="15"/>
  <c r="J11" i="15"/>
  <c r="I11" i="15"/>
  <c r="Q11" i="15"/>
  <c r="P11" i="15"/>
  <c r="L84" i="6"/>
  <c r="Z194" i="23"/>
  <c r="AI194" i="23" s="1"/>
  <c r="AJ194" i="23" s="1"/>
  <c r="AL194" i="23" s="1"/>
  <c r="I46" i="15"/>
  <c r="Q46" i="15"/>
  <c r="P46" i="15"/>
  <c r="P48" i="15" s="1"/>
  <c r="I16" i="6" s="1"/>
  <c r="O46" i="15"/>
  <c r="O48" i="15" s="1"/>
  <c r="H16" i="6" s="1"/>
  <c r="N46" i="15"/>
  <c r="M46" i="15"/>
  <c r="M48" i="15" s="1"/>
  <c r="L46" i="15"/>
  <c r="L48" i="15" s="1"/>
  <c r="K46" i="15"/>
  <c r="J46" i="15"/>
  <c r="J48" i="15" s="1"/>
  <c r="K58" i="15"/>
  <c r="K60" i="15" s="1"/>
  <c r="J58" i="15"/>
  <c r="J60" i="15" s="1"/>
  <c r="I58" i="15"/>
  <c r="I60" i="15" s="1"/>
  <c r="Q58" i="15"/>
  <c r="P58" i="15"/>
  <c r="P60" i="15" s="1"/>
  <c r="I18" i="6" s="1"/>
  <c r="O58" i="15"/>
  <c r="O60" i="15" s="1"/>
  <c r="H18" i="6" s="1"/>
  <c r="N58" i="15"/>
  <c r="N60" i="15" s="1"/>
  <c r="M58" i="15"/>
  <c r="L58" i="15"/>
  <c r="L60" i="15" s="1"/>
  <c r="Q34" i="15"/>
  <c r="Q36" i="15" s="1"/>
  <c r="J14" i="6" s="1"/>
  <c r="P34" i="15"/>
  <c r="P36" i="15" s="1"/>
  <c r="I14" i="6" s="1"/>
  <c r="O34" i="15"/>
  <c r="O36" i="15" s="1"/>
  <c r="H14" i="6" s="1"/>
  <c r="N34" i="15"/>
  <c r="N36" i="15" s="1"/>
  <c r="M34" i="15"/>
  <c r="M36" i="15" s="1"/>
  <c r="L34" i="15"/>
  <c r="L36" i="15" s="1"/>
  <c r="K34" i="15"/>
  <c r="K36" i="15" s="1"/>
  <c r="J34" i="15"/>
  <c r="J36" i="15" s="1"/>
  <c r="I34" i="15"/>
  <c r="I36" i="15" s="1"/>
  <c r="I42" i="15"/>
  <c r="AE117" i="23"/>
  <c r="S60" i="5"/>
  <c r="L60" i="18" s="1"/>
  <c r="Z134" i="23"/>
  <c r="AI134" i="23" s="1"/>
  <c r="Z121" i="23"/>
  <c r="AI121" i="23" s="1"/>
  <c r="Z169" i="23"/>
  <c r="AI169" i="23" s="1"/>
  <c r="AJ169" i="23" s="1"/>
  <c r="AL169" i="23" s="1"/>
  <c r="AM169" i="23" s="1"/>
  <c r="Z42" i="23"/>
  <c r="AI42" i="23" s="1"/>
  <c r="AJ42" i="23" s="1"/>
  <c r="AL42" i="23" s="1"/>
  <c r="AM42" i="23" s="1"/>
  <c r="J94" i="26"/>
  <c r="P71" i="26" s="1"/>
  <c r="H118" i="6" s="1"/>
  <c r="L46" i="6"/>
  <c r="L88" i="6"/>
  <c r="L83" i="6"/>
  <c r="AE69" i="23"/>
  <c r="AE20" i="23"/>
  <c r="AE80" i="23"/>
  <c r="AE96" i="23"/>
  <c r="AE139" i="23"/>
  <c r="AE58" i="23"/>
  <c r="S96" i="5"/>
  <c r="L92" i="18" s="1"/>
  <c r="AD119" i="23"/>
  <c r="Q97" i="5"/>
  <c r="K97" i="18" s="1"/>
  <c r="AD97" i="23"/>
  <c r="Q85" i="5"/>
  <c r="K85" i="18" s="1"/>
  <c r="F71" i="9"/>
  <c r="Q42" i="5"/>
  <c r="K42" i="18" s="1"/>
  <c r="N50" i="2"/>
  <c r="O50" i="2" s="1"/>
  <c r="Z61" i="23"/>
  <c r="AI61" i="23" s="1"/>
  <c r="AJ61" i="23" s="1"/>
  <c r="AL61" i="23" s="1"/>
  <c r="AM61" i="23" s="1"/>
  <c r="Z172" i="23"/>
  <c r="AI172" i="23" s="1"/>
  <c r="AJ172" i="23" s="1"/>
  <c r="AL172" i="23" s="1"/>
  <c r="N172" i="23" s="1"/>
  <c r="K63" i="25"/>
  <c r="H46" i="26"/>
  <c r="H43" i="26"/>
  <c r="H45" i="26"/>
  <c r="M22" i="26"/>
  <c r="H44" i="26"/>
  <c r="Z87" i="23"/>
  <c r="AI87" i="23" s="1"/>
  <c r="Z166" i="23"/>
  <c r="AI166" i="23" s="1"/>
  <c r="AJ166" i="23" s="1"/>
  <c r="AL166" i="23" s="1"/>
  <c r="O33" i="25"/>
  <c r="F118" i="6"/>
  <c r="J43" i="26"/>
  <c r="K46" i="26"/>
  <c r="K43" i="26"/>
  <c r="J46" i="26"/>
  <c r="K45" i="26"/>
  <c r="H99" i="26"/>
  <c r="J33" i="25" s="1"/>
  <c r="J45" i="26"/>
  <c r="K44" i="26"/>
  <c r="J44" i="26"/>
  <c r="L61" i="6"/>
  <c r="L70" i="6"/>
  <c r="L75" i="6"/>
  <c r="L63" i="6"/>
  <c r="L56" i="6"/>
  <c r="L65" i="6"/>
  <c r="L73" i="6"/>
  <c r="L71" i="6"/>
  <c r="L64" i="6"/>
  <c r="L76" i="6"/>
  <c r="L53" i="6"/>
  <c r="L52" i="6"/>
  <c r="L85" i="6"/>
  <c r="AD140" i="23"/>
  <c r="AE181" i="23"/>
  <c r="S109" i="5"/>
  <c r="L109" i="18" s="1"/>
  <c r="AE63" i="23"/>
  <c r="AD16" i="23"/>
  <c r="AE95" i="23"/>
  <c r="AE78" i="23"/>
  <c r="S157" i="5"/>
  <c r="L157" i="18" s="1"/>
  <c r="AE160" i="23"/>
  <c r="S147" i="5"/>
  <c r="L147" i="18" s="1"/>
  <c r="I48" i="14"/>
  <c r="H48" i="14" s="1"/>
  <c r="L572" i="5" s="1"/>
  <c r="Z192" i="23"/>
  <c r="AI192" i="23" s="1"/>
  <c r="K192" i="23" s="1"/>
  <c r="Z186" i="23"/>
  <c r="AI186" i="23" s="1"/>
  <c r="K186" i="23" s="1"/>
  <c r="Z122" i="23"/>
  <c r="AI122" i="23" s="1"/>
  <c r="Z154" i="23"/>
  <c r="AI154" i="23" s="1"/>
  <c r="AJ154" i="23" s="1"/>
  <c r="AL154" i="23" s="1"/>
  <c r="L39" i="6"/>
  <c r="Z197" i="23"/>
  <c r="AI197" i="23" s="1"/>
  <c r="AJ197" i="23" s="1"/>
  <c r="AL197" i="23" s="1"/>
  <c r="AM197" i="23" s="1"/>
  <c r="L51" i="6"/>
  <c r="L60" i="6"/>
  <c r="AE36" i="23"/>
  <c r="AE104" i="23"/>
  <c r="AE18" i="23"/>
  <c r="Z110" i="23"/>
  <c r="AI110" i="23" s="1"/>
  <c r="Z133" i="23"/>
  <c r="AI133" i="23" s="1"/>
  <c r="Z22" i="23"/>
  <c r="AI22" i="23" s="1"/>
  <c r="AJ22" i="23" s="1"/>
  <c r="AL22" i="23" s="1"/>
  <c r="AM22" i="23" s="1"/>
  <c r="Z33" i="23"/>
  <c r="AI33" i="23" s="1"/>
  <c r="AJ33" i="23" s="1"/>
  <c r="AL33" i="23" s="1"/>
  <c r="AM33" i="23" s="1"/>
  <c r="U7" i="6"/>
  <c r="F18" i="6" s="1"/>
  <c r="Z144" i="23"/>
  <c r="AI144" i="23" s="1"/>
  <c r="AD14" i="23"/>
  <c r="L66" i="6"/>
  <c r="L72" i="6"/>
  <c r="L89" i="6"/>
  <c r="Z89" i="23"/>
  <c r="AI89" i="23" s="1"/>
  <c r="AJ89" i="23" s="1"/>
  <c r="AL89" i="23" s="1"/>
  <c r="N89" i="23" s="1"/>
  <c r="Z195" i="23"/>
  <c r="AI195" i="23" s="1"/>
  <c r="AJ195" i="23" s="1"/>
  <c r="AL195" i="23" s="1"/>
  <c r="AM195" i="23" s="1"/>
  <c r="Z24" i="23"/>
  <c r="N24" i="23" s="1"/>
  <c r="Z100" i="23"/>
  <c r="AI100" i="23" s="1"/>
  <c r="AJ100" i="23" s="1"/>
  <c r="AL100" i="23" s="1"/>
  <c r="AM100" i="23" s="1"/>
  <c r="L54" i="6"/>
  <c r="L41" i="6"/>
  <c r="Z85" i="23"/>
  <c r="AI85" i="23" s="1"/>
  <c r="AJ85" i="23" s="1"/>
  <c r="AL85" i="23" s="1"/>
  <c r="N85" i="23" s="1"/>
  <c r="Z51" i="23"/>
  <c r="AI51" i="23" s="1"/>
  <c r="AJ51" i="23" s="1"/>
  <c r="AL51" i="23" s="1"/>
  <c r="N51" i="23" s="1"/>
  <c r="Z40" i="23"/>
  <c r="L59" i="6"/>
  <c r="L42" i="6"/>
  <c r="L80" i="6"/>
  <c r="Z108" i="23"/>
  <c r="AI108" i="23" s="1"/>
  <c r="AJ108" i="23" s="1"/>
  <c r="AL108" i="23" s="1"/>
  <c r="N108" i="23" s="1"/>
  <c r="L57" i="6"/>
  <c r="I109" i="10"/>
  <c r="H109" i="10" s="1"/>
  <c r="N496" i="5" s="1"/>
  <c r="N21" i="26"/>
  <c r="N20" i="26"/>
  <c r="K33" i="26" s="1"/>
  <c r="Z196" i="23"/>
  <c r="AI196" i="23" s="1"/>
  <c r="AJ196" i="23" s="1"/>
  <c r="AL196" i="23" s="1"/>
  <c r="AM196" i="23" s="1"/>
  <c r="Z66" i="23"/>
  <c r="AI66" i="23" s="1"/>
  <c r="AJ66" i="23" s="1"/>
  <c r="AL66" i="23" s="1"/>
  <c r="AM66" i="23" s="1"/>
  <c r="Z188" i="23"/>
  <c r="AI188" i="23" s="1"/>
  <c r="Z137" i="23"/>
  <c r="AI137" i="23" s="1"/>
  <c r="Z47" i="23"/>
  <c r="AI47" i="23" s="1"/>
  <c r="AJ47" i="23" s="1"/>
  <c r="AL47" i="23" s="1"/>
  <c r="N47" i="23" s="1"/>
  <c r="Z173" i="23"/>
  <c r="AI173" i="23" s="1"/>
  <c r="Z114" i="23"/>
  <c r="AI114" i="23" s="1"/>
  <c r="AJ114" i="23" s="1"/>
  <c r="AL114" i="23" s="1"/>
  <c r="Z135" i="23"/>
  <c r="AI135" i="23" s="1"/>
  <c r="Z46" i="23"/>
  <c r="AI46" i="23" s="1"/>
  <c r="AJ46" i="23" s="1"/>
  <c r="AL46" i="23" s="1"/>
  <c r="N46" i="23" s="1"/>
  <c r="Z64" i="23"/>
  <c r="AI64" i="23" s="1"/>
  <c r="AJ64" i="23" s="1"/>
  <c r="AL64" i="23" s="1"/>
  <c r="AM64" i="23" s="1"/>
  <c r="Z91" i="23"/>
  <c r="AI91" i="23" s="1"/>
  <c r="AJ91" i="23" s="1"/>
  <c r="AL91" i="23" s="1"/>
  <c r="N91" i="23" s="1"/>
  <c r="Z147" i="23"/>
  <c r="AI147" i="23" s="1"/>
  <c r="Z86" i="23"/>
  <c r="AI86" i="23" s="1"/>
  <c r="AJ86" i="23" s="1"/>
  <c r="AL86" i="23" s="1"/>
  <c r="N86" i="23" s="1"/>
  <c r="Z88" i="23"/>
  <c r="AI88" i="23" s="1"/>
  <c r="AJ88" i="23" s="1"/>
  <c r="AL88" i="23" s="1"/>
  <c r="Z44" i="23"/>
  <c r="AI44" i="23" s="1"/>
  <c r="AJ44" i="23" s="1"/>
  <c r="AL44" i="23" s="1"/>
  <c r="AM44" i="23" s="1"/>
  <c r="Z59" i="23"/>
  <c r="AI59" i="23" s="1"/>
  <c r="AJ59" i="23" s="1"/>
  <c r="AL59" i="23" s="1"/>
  <c r="AM59" i="23" s="1"/>
  <c r="Z136" i="23"/>
  <c r="AI136" i="23" s="1"/>
  <c r="AJ136" i="23" s="1"/>
  <c r="AL136" i="23" s="1"/>
  <c r="AM136" i="23" s="1"/>
  <c r="Z52" i="23"/>
  <c r="AI52" i="23" s="1"/>
  <c r="AJ52" i="23" s="1"/>
  <c r="AL52" i="23" s="1"/>
  <c r="AM52" i="23" s="1"/>
  <c r="Z99" i="23"/>
  <c r="AI99" i="23" s="1"/>
  <c r="AJ99" i="23" s="1"/>
  <c r="AL99" i="23" s="1"/>
  <c r="AM99" i="23" s="1"/>
  <c r="Z145" i="23"/>
  <c r="AI145" i="23" s="1"/>
  <c r="Z189" i="23"/>
  <c r="AI189" i="23" s="1"/>
  <c r="AJ189" i="23" s="1"/>
  <c r="AL189" i="23" s="1"/>
  <c r="AM189" i="23" s="1"/>
  <c r="Z60" i="23"/>
  <c r="AI60" i="23" s="1"/>
  <c r="AJ60" i="23" s="1"/>
  <c r="AL60" i="23" s="1"/>
  <c r="AM60" i="23" s="1"/>
  <c r="I110" i="10"/>
  <c r="H110" i="10" s="1"/>
  <c r="Q496" i="5" s="1"/>
  <c r="L40" i="6"/>
  <c r="L77" i="6"/>
  <c r="L49" i="6"/>
  <c r="L82" i="6"/>
  <c r="O53" i="6"/>
  <c r="L48" i="6"/>
  <c r="L68" i="6"/>
  <c r="L90" i="6"/>
  <c r="L44" i="6"/>
  <c r="L58" i="6"/>
  <c r="L78" i="6"/>
  <c r="L87" i="6"/>
  <c r="O55" i="6"/>
  <c r="L55" i="6"/>
  <c r="O91" i="6"/>
  <c r="L91" i="6"/>
  <c r="O43" i="6"/>
  <c r="L43" i="6"/>
  <c r="O86" i="6"/>
  <c r="L86" i="6"/>
  <c r="O50" i="6"/>
  <c r="L50" i="6"/>
  <c r="L81" i="6"/>
  <c r="L45" i="6"/>
  <c r="O79" i="6"/>
  <c r="L79" i="6"/>
  <c r="O74" i="6"/>
  <c r="L74" i="6"/>
  <c r="O38" i="6"/>
  <c r="L38" i="6"/>
  <c r="O67" i="6"/>
  <c r="L67" i="6"/>
  <c r="L69" i="6"/>
  <c r="O62" i="6"/>
  <c r="L62" i="6"/>
  <c r="L32" i="6"/>
  <c r="R32" i="6"/>
  <c r="J69" i="2"/>
  <c r="N312" i="9" s="1"/>
  <c r="G320" i="9" s="1"/>
  <c r="F312" i="9" s="1"/>
  <c r="J292" i="9"/>
  <c r="AD132" i="23"/>
  <c r="AD32" i="23"/>
  <c r="Q167" i="5"/>
  <c r="K167" i="18" s="1"/>
  <c r="AD167" i="23"/>
  <c r="F116" i="13"/>
  <c r="F115" i="13"/>
  <c r="W157" i="5"/>
  <c r="Z157" i="5" s="1"/>
  <c r="AD78" i="23" s="1"/>
  <c r="F114" i="13"/>
  <c r="F117" i="13"/>
  <c r="F118" i="13"/>
  <c r="U32" i="6"/>
  <c r="AE8" i="18"/>
  <c r="V7" i="18"/>
  <c r="S7" i="18"/>
  <c r="S24" i="6"/>
  <c r="J123" i="14"/>
  <c r="G131" i="14" s="1"/>
  <c r="F123" i="14" s="1"/>
  <c r="Y7" i="18"/>
  <c r="AE7" i="18" s="1"/>
  <c r="D6" i="17"/>
  <c r="E6" i="17" s="1"/>
  <c r="H284" i="5"/>
  <c r="O308" i="9"/>
  <c r="J50" i="14"/>
  <c r="I50" i="14" s="1"/>
  <c r="H50" i="14" s="1"/>
  <c r="N72" i="14" s="1"/>
  <c r="N70" i="14"/>
  <c r="P572" i="5"/>
  <c r="V31" i="24"/>
  <c r="V33" i="24"/>
  <c r="V34" i="24"/>
  <c r="V32" i="24"/>
  <c r="Y33" i="24"/>
  <c r="Y34" i="24"/>
  <c r="X33" i="24"/>
  <c r="X34" i="24"/>
  <c r="X32" i="24"/>
  <c r="W33" i="24"/>
  <c r="W34" i="24"/>
  <c r="W32" i="24"/>
  <c r="Y34" i="4"/>
  <c r="Y33" i="4"/>
  <c r="V33" i="4"/>
  <c r="V34" i="4"/>
  <c r="V31" i="4"/>
  <c r="V32" i="4"/>
  <c r="AD20" i="23"/>
  <c r="Q47" i="5"/>
  <c r="K47" i="18" s="1"/>
  <c r="AE83" i="23"/>
  <c r="S87" i="5"/>
  <c r="AE142" i="23"/>
  <c r="S152" i="5"/>
  <c r="L152" i="18" s="1"/>
  <c r="AE73" i="23"/>
  <c r="AE155" i="23"/>
  <c r="AD149" i="23"/>
  <c r="Q107" i="5"/>
  <c r="K107" i="18" s="1"/>
  <c r="S186" i="5"/>
  <c r="L186" i="18" s="1"/>
  <c r="AE26" i="23"/>
  <c r="AE126" i="23"/>
  <c r="S85" i="5"/>
  <c r="L85" i="18" s="1"/>
  <c r="AE81" i="23"/>
  <c r="AF81" i="23" s="1"/>
  <c r="AG81" i="23" s="1"/>
  <c r="Z81" i="23" s="1"/>
  <c r="AI81" i="23" s="1"/>
  <c r="AE140" i="23"/>
  <c r="AE157" i="23"/>
  <c r="AE75" i="23"/>
  <c r="S154" i="5"/>
  <c r="L154" i="18" s="1"/>
  <c r="S22" i="5"/>
  <c r="L22" i="18" s="1"/>
  <c r="AE67" i="23"/>
  <c r="AE34" i="23"/>
  <c r="AE102" i="23"/>
  <c r="AE9" i="23"/>
  <c r="AE174" i="23"/>
  <c r="AD84" i="23"/>
  <c r="Q88" i="5"/>
  <c r="AD143" i="23"/>
  <c r="Q153" i="5"/>
  <c r="K153" i="18" s="1"/>
  <c r="AD156" i="23"/>
  <c r="AD74" i="23"/>
  <c r="S189" i="5"/>
  <c r="L189" i="18" s="1"/>
  <c r="AE28" i="23"/>
  <c r="AE128" i="23"/>
  <c r="Q185" i="5"/>
  <c r="K185" i="18" s="1"/>
  <c r="AD25" i="23"/>
  <c r="AD125" i="23"/>
  <c r="S31" i="5"/>
  <c r="L31" i="18" s="1"/>
  <c r="AE177" i="23"/>
  <c r="AE12" i="23"/>
  <c r="Q67" i="5"/>
  <c r="K67" i="18" s="1"/>
  <c r="AD23" i="23"/>
  <c r="AD45" i="23"/>
  <c r="AE132" i="23"/>
  <c r="S167" i="5"/>
  <c r="L167" i="18" s="1"/>
  <c r="AE32" i="23"/>
  <c r="AE167" i="23"/>
  <c r="AF167" i="23" s="1"/>
  <c r="AG167" i="23" s="1"/>
  <c r="Z167" i="23" s="1"/>
  <c r="AI167" i="23" s="1"/>
  <c r="AE191" i="23"/>
  <c r="AE146" i="23"/>
  <c r="S156" i="5"/>
  <c r="L156" i="18" s="1"/>
  <c r="AE77" i="23"/>
  <c r="AE187" i="23"/>
  <c r="AE16" i="23"/>
  <c r="S61" i="5"/>
  <c r="L61" i="18" s="1"/>
  <c r="AD153" i="23"/>
  <c r="Q111" i="5"/>
  <c r="K111" i="18" s="1"/>
  <c r="AD28" i="23"/>
  <c r="Q189" i="5"/>
  <c r="K189" i="18" s="1"/>
  <c r="AD128" i="23"/>
  <c r="AD103" i="23"/>
  <c r="AD174" i="23"/>
  <c r="AD34" i="23"/>
  <c r="AD9" i="23"/>
  <c r="Q22" i="5"/>
  <c r="K22" i="18" s="1"/>
  <c r="AD67" i="23"/>
  <c r="S25" i="5"/>
  <c r="L25" i="18" s="1"/>
  <c r="AE176" i="23"/>
  <c r="AE11" i="23"/>
  <c r="AE131" i="23"/>
  <c r="AE31" i="23"/>
  <c r="AE171" i="23"/>
  <c r="S176" i="5"/>
  <c r="L176" i="18" s="1"/>
  <c r="AE38" i="23"/>
  <c r="AE106" i="23"/>
  <c r="S50" i="5"/>
  <c r="L50" i="18" s="1"/>
  <c r="AE15" i="23"/>
  <c r="AE71" i="23"/>
  <c r="AD104" i="23"/>
  <c r="AD10" i="23"/>
  <c r="AD175" i="23"/>
  <c r="Q24" i="5"/>
  <c r="K24" i="18" s="1"/>
  <c r="AD68" i="23"/>
  <c r="AD35" i="23"/>
  <c r="Q108" i="5"/>
  <c r="K108" i="18" s="1"/>
  <c r="AD150" i="23"/>
  <c r="AE94" i="23"/>
  <c r="S94" i="5"/>
  <c r="AE116" i="23"/>
  <c r="AE179" i="23"/>
  <c r="AD92" i="23"/>
  <c r="Q66" i="5"/>
  <c r="K66" i="18" s="1"/>
  <c r="L81" i="18"/>
  <c r="L77" i="18"/>
  <c r="Q25" i="5"/>
  <c r="K25" i="18" s="1"/>
  <c r="AD176" i="23"/>
  <c r="AD11" i="23"/>
  <c r="S97" i="5"/>
  <c r="L97" i="18" s="1"/>
  <c r="AE182" i="23"/>
  <c r="AF182" i="23" s="1"/>
  <c r="AG182" i="23" s="1"/>
  <c r="Z182" i="23" s="1"/>
  <c r="AI182" i="23" s="1"/>
  <c r="AE97" i="23"/>
  <c r="AE119" i="23"/>
  <c r="AD127" i="23"/>
  <c r="AD27" i="23"/>
  <c r="Q187" i="5"/>
  <c r="K187" i="18" s="1"/>
  <c r="AE123" i="23"/>
  <c r="AE193" i="23"/>
  <c r="S116" i="5"/>
  <c r="L116" i="18" s="1"/>
  <c r="S67" i="5"/>
  <c r="L67" i="18" s="1"/>
  <c r="AE23" i="23"/>
  <c r="AE45" i="23"/>
  <c r="S30" i="5"/>
  <c r="L30" i="18" s="1"/>
  <c r="AE14" i="23"/>
  <c r="AE90" i="23"/>
  <c r="S71" i="5"/>
  <c r="L71" i="18" s="1"/>
  <c r="AE82" i="23"/>
  <c r="AE141" i="23"/>
  <c r="S86" i="5"/>
  <c r="L86" i="18" s="1"/>
  <c r="S155" i="5"/>
  <c r="L155" i="18" s="1"/>
  <c r="AE76" i="23"/>
  <c r="AE158" i="23"/>
  <c r="AE148" i="23"/>
  <c r="S106" i="5"/>
  <c r="L106" i="18" s="1"/>
  <c r="AD105" i="23"/>
  <c r="Q39" i="5"/>
  <c r="K39" i="18" s="1"/>
  <c r="AD36" i="23"/>
  <c r="AD69" i="23"/>
  <c r="AD18" i="23"/>
  <c r="Q109" i="5"/>
  <c r="K109" i="18" s="1"/>
  <c r="AD151" i="23"/>
  <c r="AF151" i="23" s="1"/>
  <c r="AG151" i="23" s="1"/>
  <c r="Z151" i="23" s="1"/>
  <c r="AI151" i="23" s="1"/>
  <c r="AE127" i="23"/>
  <c r="S187" i="5"/>
  <c r="L187" i="18" s="1"/>
  <c r="AE27" i="23"/>
  <c r="AE84" i="23"/>
  <c r="AE143" i="23"/>
  <c r="S88" i="5"/>
  <c r="AD113" i="23"/>
  <c r="Q178" i="5"/>
  <c r="K178" i="18" s="1"/>
  <c r="AD50" i="23"/>
  <c r="AD54" i="23"/>
  <c r="Q76" i="5"/>
  <c r="K76" i="18" s="1"/>
  <c r="AD17" i="23"/>
  <c r="Q71" i="5"/>
  <c r="K71" i="18" s="1"/>
  <c r="AD90" i="23"/>
  <c r="S108" i="5"/>
  <c r="L108" i="18" s="1"/>
  <c r="AE150" i="23"/>
  <c r="AD158" i="23"/>
  <c r="AD76" i="23"/>
  <c r="Q155" i="5"/>
  <c r="K155" i="18" s="1"/>
  <c r="AE152" i="23"/>
  <c r="S110" i="5"/>
  <c r="L110" i="18" s="1"/>
  <c r="AE165" i="23"/>
  <c r="S175" i="5"/>
  <c r="L175" i="18" s="1"/>
  <c r="AE111" i="23"/>
  <c r="S181" i="5"/>
  <c r="L181" i="18" s="1"/>
  <c r="AE162" i="23"/>
  <c r="Q191" i="5"/>
  <c r="K191" i="18" s="1"/>
  <c r="AD129" i="23"/>
  <c r="AD29" i="23"/>
  <c r="AD71" i="23"/>
  <c r="AD15" i="23"/>
  <c r="Q50" i="5"/>
  <c r="K50" i="18" s="1"/>
  <c r="AD106" i="23"/>
  <c r="AD38" i="23"/>
  <c r="AD111" i="23"/>
  <c r="Q175" i="5"/>
  <c r="K175" i="18" s="1"/>
  <c r="AD165" i="23"/>
  <c r="S173" i="5"/>
  <c r="L173" i="18" s="1"/>
  <c r="AE170" i="23"/>
  <c r="AE168" i="23"/>
  <c r="AE65" i="23"/>
  <c r="AE175" i="23"/>
  <c r="AE35" i="23"/>
  <c r="AE103" i="23"/>
  <c r="S24" i="5"/>
  <c r="L24" i="18" s="1"/>
  <c r="AE68" i="23"/>
  <c r="AE10" i="23"/>
  <c r="Q83" i="5"/>
  <c r="AD79" i="23"/>
  <c r="AD138" i="23"/>
  <c r="Q152" i="5"/>
  <c r="K152" i="18" s="1"/>
  <c r="AD73" i="23"/>
  <c r="AD155" i="23"/>
  <c r="AE185" i="23"/>
  <c r="S113" i="5"/>
  <c r="L113" i="18" s="1"/>
  <c r="AE124" i="23"/>
  <c r="AD53" i="23"/>
  <c r="Q179" i="5"/>
  <c r="K179" i="18" s="1"/>
  <c r="AD164" i="23"/>
  <c r="AD112" i="23"/>
  <c r="AD161" i="23"/>
  <c r="AF161" i="23" s="1"/>
  <c r="AG161" i="23" s="1"/>
  <c r="Z161" i="23" s="1"/>
  <c r="AI161" i="23" s="1"/>
  <c r="Q60" i="5"/>
  <c r="K60" i="18" s="1"/>
  <c r="AE98" i="23"/>
  <c r="S98" i="5"/>
  <c r="L98" i="18" s="1"/>
  <c r="AE183" i="23"/>
  <c r="AE120" i="23"/>
  <c r="AE113" i="23"/>
  <c r="AF113" i="23" s="1"/>
  <c r="AG113" i="23" s="1"/>
  <c r="Z113" i="23" s="1"/>
  <c r="AI113" i="23" s="1"/>
  <c r="AE50" i="23"/>
  <c r="S178" i="5"/>
  <c r="L178" i="18" s="1"/>
  <c r="S123" i="5"/>
  <c r="L123" i="18" s="1"/>
  <c r="AE56" i="23"/>
  <c r="AE125" i="23"/>
  <c r="AE25" i="23"/>
  <c r="S185" i="5"/>
  <c r="L185" i="18" s="1"/>
  <c r="S191" i="5"/>
  <c r="L191" i="18" s="1"/>
  <c r="AE129" i="23"/>
  <c r="AF129" i="23" s="1"/>
  <c r="AG129" i="23" s="1"/>
  <c r="Z129" i="23" s="1"/>
  <c r="AI129" i="23" s="1"/>
  <c r="AE29" i="23"/>
  <c r="AD157" i="23"/>
  <c r="AD75" i="23"/>
  <c r="Q154" i="5"/>
  <c r="K154" i="18" s="1"/>
  <c r="S153" i="5"/>
  <c r="L153" i="18" s="1"/>
  <c r="AE156" i="23"/>
  <c r="AE74" i="23"/>
  <c r="Q110" i="5"/>
  <c r="K110" i="18" s="1"/>
  <c r="AD152" i="23"/>
  <c r="AD177" i="23"/>
  <c r="AD12" i="23"/>
  <c r="Q31" i="5"/>
  <c r="K31" i="18" s="1"/>
  <c r="AD83" i="23"/>
  <c r="AD142" i="23"/>
  <c r="Q87" i="5"/>
  <c r="AD191" i="23"/>
  <c r="AD146" i="23"/>
  <c r="Q156" i="5"/>
  <c r="K156" i="18" s="1"/>
  <c r="AD187" i="23"/>
  <c r="AD77" i="23"/>
  <c r="S76" i="5"/>
  <c r="AE17" i="23"/>
  <c r="AE54" i="23"/>
  <c r="AE57" i="23"/>
  <c r="S124" i="5"/>
  <c r="L124" i="18" s="1"/>
  <c r="S42" i="5"/>
  <c r="L42" i="18" s="1"/>
  <c r="AE19" i="23"/>
  <c r="AD82" i="23"/>
  <c r="Q86" i="5"/>
  <c r="K86" i="18" s="1"/>
  <c r="AD141" i="23"/>
  <c r="S107" i="5"/>
  <c r="L107" i="18" s="1"/>
  <c r="AE149" i="23"/>
  <c r="S180" i="5"/>
  <c r="L180" i="18" s="1"/>
  <c r="AE109" i="23"/>
  <c r="L95" i="18"/>
  <c r="L91" i="18"/>
  <c r="S83" i="5"/>
  <c r="L83" i="18" s="1"/>
  <c r="AE79" i="23"/>
  <c r="AE138" i="23"/>
  <c r="Q186" i="5"/>
  <c r="K186" i="18" s="1"/>
  <c r="AD26" i="23"/>
  <c r="AD126" i="23"/>
  <c r="AD98" i="23"/>
  <c r="AD120" i="23"/>
  <c r="AD183" i="23"/>
  <c r="Q98" i="5"/>
  <c r="K98" i="18" s="1"/>
  <c r="AE92" i="23"/>
  <c r="S66" i="5"/>
  <c r="L66" i="18" s="1"/>
  <c r="S111" i="5"/>
  <c r="L111" i="18" s="1"/>
  <c r="AE153" i="23"/>
  <c r="L80" i="18"/>
  <c r="L76" i="18"/>
  <c r="Q84" i="5"/>
  <c r="K84" i="18" s="1"/>
  <c r="AD139" i="23"/>
  <c r="AF139" i="23" s="1"/>
  <c r="AG139" i="23" s="1"/>
  <c r="Z139" i="23" s="1"/>
  <c r="AI139" i="23" s="1"/>
  <c r="AD80" i="23"/>
  <c r="AF80" i="23" s="1"/>
  <c r="AG80" i="23" s="1"/>
  <c r="Z80" i="23" s="1"/>
  <c r="AI80" i="23" s="1"/>
  <c r="AD160" i="23"/>
  <c r="Q147" i="5"/>
  <c r="K147" i="18" s="1"/>
  <c r="AD48" i="23"/>
  <c r="AF48" i="23" s="1"/>
  <c r="AG48" i="23" s="1"/>
  <c r="Z48" i="23" s="1"/>
  <c r="AI48" i="23" s="1"/>
  <c r="AE53" i="23"/>
  <c r="AE164" i="23"/>
  <c r="AE112" i="23"/>
  <c r="S179" i="5"/>
  <c r="L179" i="18" s="1"/>
  <c r="Q106" i="5"/>
  <c r="K106" i="18" s="1"/>
  <c r="AD148" i="23"/>
  <c r="AD171" i="23"/>
  <c r="AD31" i="23"/>
  <c r="Q176" i="5"/>
  <c r="K176" i="18" s="1"/>
  <c r="AD131" i="23"/>
  <c r="T7" i="18"/>
  <c r="AB7" i="18"/>
  <c r="AA12" i="6" s="1"/>
  <c r="W7" i="18"/>
  <c r="U7" i="18"/>
  <c r="D6" i="16"/>
  <c r="E6" i="16" s="1"/>
  <c r="AA7" i="18"/>
  <c r="M51" i="8"/>
  <c r="Z7" i="18"/>
  <c r="AD185" i="23"/>
  <c r="AD124" i="23"/>
  <c r="AD113" i="5"/>
  <c r="U113" i="5" s="1"/>
  <c r="Q113" i="5"/>
  <c r="K113" i="18" s="1"/>
  <c r="O274" i="9"/>
  <c r="M131" i="9"/>
  <c r="I96" i="15"/>
  <c r="N188" i="15" s="1"/>
  <c r="E82" i="17"/>
  <c r="D63" i="16"/>
  <c r="E81" i="17"/>
  <c r="Q180" i="5"/>
  <c r="K180" i="18" s="1"/>
  <c r="AD109" i="23"/>
  <c r="AD123" i="23"/>
  <c r="AD193" i="23"/>
  <c r="AD116" i="5"/>
  <c r="U116" i="5" s="1"/>
  <c r="Q116" i="5"/>
  <c r="K116" i="18" s="1"/>
  <c r="Q118" i="5"/>
  <c r="K118" i="18" s="1"/>
  <c r="AI41" i="23"/>
  <c r="AJ41" i="23" s="1"/>
  <c r="AL41" i="23" s="1"/>
  <c r="N41" i="23" s="1"/>
  <c r="F33" i="25" l="1"/>
  <c r="I274" i="9"/>
  <c r="O67" i="2"/>
  <c r="K64" i="2"/>
  <c r="F11" i="6"/>
  <c r="F17" i="6"/>
  <c r="K47" i="2"/>
  <c r="F13" i="6"/>
  <c r="F56" i="6" s="1"/>
  <c r="F15" i="6"/>
  <c r="F68" i="6" s="1"/>
  <c r="F10" i="6"/>
  <c r="F38" i="6" s="1"/>
  <c r="F12" i="6"/>
  <c r="F50" i="6" s="1"/>
  <c r="K69" i="2"/>
  <c r="K194" i="23"/>
  <c r="I194" i="23"/>
  <c r="F27" i="6"/>
  <c r="O27" i="6" s="1"/>
  <c r="U27" i="6" s="1"/>
  <c r="J194" i="23"/>
  <c r="F26" i="6"/>
  <c r="N30" i="15"/>
  <c r="K36" i="26"/>
  <c r="G77" i="25" s="1"/>
  <c r="M60" i="15"/>
  <c r="N48" i="15"/>
  <c r="O30" i="15"/>
  <c r="H13" i="6" s="1"/>
  <c r="J12" i="15"/>
  <c r="Q48" i="15"/>
  <c r="J16" i="6" s="1"/>
  <c r="M12" i="15"/>
  <c r="Q60" i="15"/>
  <c r="J18" i="6" s="1"/>
  <c r="I48" i="15"/>
  <c r="O55" i="2"/>
  <c r="F28" i="6"/>
  <c r="O54" i="15"/>
  <c r="H17" i="6" s="1"/>
  <c r="L30" i="6"/>
  <c r="U30" i="6"/>
  <c r="O30" i="6"/>
  <c r="R30" i="6"/>
  <c r="I30" i="15"/>
  <c r="N12" i="15"/>
  <c r="O12" i="15"/>
  <c r="H10" i="6" s="1"/>
  <c r="K48" i="15"/>
  <c r="L30" i="15"/>
  <c r="J54" i="15"/>
  <c r="P12" i="15"/>
  <c r="I10" i="6" s="1"/>
  <c r="Q12" i="15"/>
  <c r="J10" i="6" s="1"/>
  <c r="J192" i="23"/>
  <c r="F34" i="25"/>
  <c r="AJ186" i="23"/>
  <c r="AL186" i="23" s="1"/>
  <c r="N186" i="23" s="1"/>
  <c r="I192" i="23"/>
  <c r="J186" i="23"/>
  <c r="N166" i="23"/>
  <c r="K166" i="23"/>
  <c r="I186" i="23"/>
  <c r="J166" i="23"/>
  <c r="AJ192" i="23"/>
  <c r="AL192" i="23" s="1"/>
  <c r="N192" i="23" s="1"/>
  <c r="O69" i="2"/>
  <c r="I166" i="23"/>
  <c r="T74" i="26"/>
  <c r="L96" i="18"/>
  <c r="AF32" i="23"/>
  <c r="AG32" i="23" s="1"/>
  <c r="Z32" i="23" s="1"/>
  <c r="AI32" i="23" s="1"/>
  <c r="I32" i="23" s="1"/>
  <c r="AF97" i="23"/>
  <c r="AG97" i="23" s="1"/>
  <c r="Z97" i="23" s="1"/>
  <c r="AI97" i="23" s="1"/>
  <c r="K97" i="23" s="1"/>
  <c r="AF160" i="23"/>
  <c r="AG160" i="23" s="1"/>
  <c r="Z160" i="23" s="1"/>
  <c r="AI160" i="23" s="1"/>
  <c r="AJ160" i="23" s="1"/>
  <c r="AL160" i="23" s="1"/>
  <c r="AF119" i="23"/>
  <c r="AG119" i="23" s="1"/>
  <c r="Z119" i="23" s="1"/>
  <c r="AI119" i="23" s="1"/>
  <c r="I119" i="23" s="1"/>
  <c r="AF78" i="23"/>
  <c r="AG78" i="23" s="1"/>
  <c r="Z78" i="23" s="1"/>
  <c r="AI78" i="23" s="1"/>
  <c r="I78" i="23" s="1"/>
  <c r="AF143" i="23"/>
  <c r="AG143" i="23" s="1"/>
  <c r="Z143" i="23" s="1"/>
  <c r="AI143" i="23" s="1"/>
  <c r="AJ143" i="23" s="1"/>
  <c r="AL143" i="23" s="1"/>
  <c r="N143" i="23" s="1"/>
  <c r="AF140" i="23"/>
  <c r="AG140" i="23" s="1"/>
  <c r="Z140" i="23" s="1"/>
  <c r="AI140" i="23" s="1"/>
  <c r="AJ140" i="23" s="1"/>
  <c r="AL140" i="23" s="1"/>
  <c r="N140" i="23" s="1"/>
  <c r="AF25" i="23"/>
  <c r="AG25" i="23" s="1"/>
  <c r="Z25" i="23" s="1"/>
  <c r="AI25" i="23" s="1"/>
  <c r="K25" i="23" s="1"/>
  <c r="AF149" i="23"/>
  <c r="AG149" i="23" s="1"/>
  <c r="Z149" i="23" s="1"/>
  <c r="AI149" i="23" s="1"/>
  <c r="I149" i="23" s="1"/>
  <c r="AF132" i="23"/>
  <c r="AG132" i="23" s="1"/>
  <c r="Z132" i="23" s="1"/>
  <c r="AI132" i="23" s="1"/>
  <c r="AJ132" i="23" s="1"/>
  <c r="AL132" i="23" s="1"/>
  <c r="F73" i="9"/>
  <c r="W72" i="5"/>
  <c r="Z72" i="5" s="1"/>
  <c r="Q72" i="5" s="1"/>
  <c r="K72" i="18" s="1"/>
  <c r="F70" i="9"/>
  <c r="F69" i="9"/>
  <c r="F72" i="9"/>
  <c r="AI24" i="23"/>
  <c r="AJ24" i="23" s="1"/>
  <c r="AL24" i="23" s="1"/>
  <c r="AM24" i="23" s="1"/>
  <c r="F14" i="6"/>
  <c r="F107" i="6" s="1"/>
  <c r="F16" i="6"/>
  <c r="F74" i="6" s="1"/>
  <c r="O85" i="9"/>
  <c r="J47" i="26"/>
  <c r="K47" i="26"/>
  <c r="J71" i="26"/>
  <c r="W124" i="5"/>
  <c r="F36" i="25"/>
  <c r="F37" i="25"/>
  <c r="J31" i="25"/>
  <c r="F35" i="25"/>
  <c r="F38" i="25"/>
  <c r="I114" i="23"/>
  <c r="K21" i="25"/>
  <c r="H12" i="26"/>
  <c r="H13" i="26"/>
  <c r="L47" i="26"/>
  <c r="N47" i="26"/>
  <c r="V24" i="26" s="1"/>
  <c r="M47" i="26"/>
  <c r="V23" i="26" s="1"/>
  <c r="N42" i="23"/>
  <c r="N126" i="10"/>
  <c r="N68" i="14"/>
  <c r="AF16" i="23"/>
  <c r="AG16" i="23" s="1"/>
  <c r="Z16" i="23" s="1"/>
  <c r="AI16" i="23" s="1"/>
  <c r="K16" i="23" s="1"/>
  <c r="AF171" i="23"/>
  <c r="AG171" i="23" s="1"/>
  <c r="Z171" i="23" s="1"/>
  <c r="AI171" i="23" s="1"/>
  <c r="AJ171" i="23" s="1"/>
  <c r="AL171" i="23" s="1"/>
  <c r="Q157" i="5"/>
  <c r="K157" i="18" s="1"/>
  <c r="AD159" i="23"/>
  <c r="AF159" i="23" s="1"/>
  <c r="AG159" i="23" s="1"/>
  <c r="Z159" i="23" s="1"/>
  <c r="AI159" i="23" s="1"/>
  <c r="K159" i="23" s="1"/>
  <c r="AF79" i="23"/>
  <c r="AG79" i="23" s="1"/>
  <c r="Z79" i="23" s="1"/>
  <c r="AI79" i="23" s="1"/>
  <c r="K79" i="23" s="1"/>
  <c r="AF84" i="23"/>
  <c r="AG84" i="23" s="1"/>
  <c r="Z84" i="23" s="1"/>
  <c r="AI84" i="23" s="1"/>
  <c r="AJ84" i="23" s="1"/>
  <c r="AL84" i="23" s="1"/>
  <c r="N84" i="23" s="1"/>
  <c r="AF193" i="23"/>
  <c r="AG193" i="23" s="1"/>
  <c r="Z193" i="23" s="1"/>
  <c r="AI193" i="23" s="1"/>
  <c r="AF29" i="23"/>
  <c r="AG29" i="23" s="1"/>
  <c r="Z29" i="23" s="1"/>
  <c r="AI29" i="23" s="1"/>
  <c r="K29" i="23" s="1"/>
  <c r="AF90" i="23"/>
  <c r="AG90" i="23" s="1"/>
  <c r="Z90" i="23" s="1"/>
  <c r="AI90" i="23" s="1"/>
  <c r="K90" i="23" s="1"/>
  <c r="AF50" i="23"/>
  <c r="AG50" i="23" s="1"/>
  <c r="Z50" i="23" s="1"/>
  <c r="AI50" i="23" s="1"/>
  <c r="AJ50" i="23" s="1"/>
  <c r="AL50" i="23" s="1"/>
  <c r="AM50" i="23" s="1"/>
  <c r="AF31" i="23"/>
  <c r="AG31" i="23" s="1"/>
  <c r="Z31" i="23" s="1"/>
  <c r="AI31" i="23" s="1"/>
  <c r="I31" i="23" s="1"/>
  <c r="AF111" i="23"/>
  <c r="AG111" i="23" s="1"/>
  <c r="Z111" i="23" s="1"/>
  <c r="AI111" i="23" s="1"/>
  <c r="I111" i="23" s="1"/>
  <c r="AF185" i="23"/>
  <c r="AG185" i="23" s="1"/>
  <c r="Z185" i="23" s="1"/>
  <c r="AI185" i="23" s="1"/>
  <c r="I185" i="23" s="1"/>
  <c r="AI40" i="23"/>
  <c r="AJ40" i="23" s="1"/>
  <c r="AL40" i="23" s="1"/>
  <c r="AM40" i="23" s="1"/>
  <c r="AF156" i="23"/>
  <c r="AG156" i="23" s="1"/>
  <c r="Z156" i="23" s="1"/>
  <c r="AI156" i="23" s="1"/>
  <c r="I156" i="23" s="1"/>
  <c r="AF109" i="23"/>
  <c r="AG109" i="23" s="1"/>
  <c r="Z109" i="23" s="1"/>
  <c r="AI109" i="23" s="1"/>
  <c r="AJ109" i="23" s="1"/>
  <c r="AL109" i="23" s="1"/>
  <c r="AF45" i="23"/>
  <c r="AG45" i="23" s="1"/>
  <c r="Z45" i="23" s="1"/>
  <c r="AI45" i="23" s="1"/>
  <c r="AJ45" i="23" s="1"/>
  <c r="AL45" i="23" s="1"/>
  <c r="N45" i="23" s="1"/>
  <c r="AF164" i="23"/>
  <c r="AG164" i="23" s="1"/>
  <c r="Z164" i="23" s="1"/>
  <c r="AI164" i="23" s="1"/>
  <c r="AJ164" i="23" s="1"/>
  <c r="AL164" i="23" s="1"/>
  <c r="AF23" i="23"/>
  <c r="AG23" i="23" s="1"/>
  <c r="Z23" i="23" s="1"/>
  <c r="AI23" i="23" s="1"/>
  <c r="AJ23" i="23" s="1"/>
  <c r="AL23" i="23" s="1"/>
  <c r="N23" i="23" s="1"/>
  <c r="AF123" i="23"/>
  <c r="AG123" i="23" s="1"/>
  <c r="Z123" i="23" s="1"/>
  <c r="AI123" i="23" s="1"/>
  <c r="AF27" i="23"/>
  <c r="AG27" i="23" s="1"/>
  <c r="Z27" i="23" s="1"/>
  <c r="AI27" i="23" s="1"/>
  <c r="J27" i="23" s="1"/>
  <c r="G300" i="9"/>
  <c r="F292" i="9" s="1"/>
  <c r="F297" i="9" s="1"/>
  <c r="K114" i="23"/>
  <c r="N114" i="23"/>
  <c r="J114" i="23"/>
  <c r="AM47" i="23"/>
  <c r="AM46" i="23"/>
  <c r="K59" i="2"/>
  <c r="M183" i="9"/>
  <c r="K60" i="2"/>
  <c r="L274" i="9"/>
  <c r="G282" i="9" s="1"/>
  <c r="F274" i="9" s="1"/>
  <c r="K50" i="2"/>
  <c r="K67" i="2"/>
  <c r="K63" i="2"/>
  <c r="K65" i="2"/>
  <c r="K55" i="2"/>
  <c r="E17" i="4"/>
  <c r="J312" i="9"/>
  <c r="N128" i="10"/>
  <c r="E17" i="24"/>
  <c r="M42" i="18"/>
  <c r="G42" i="18" s="1"/>
  <c r="M144" i="18"/>
  <c r="M102" i="18"/>
  <c r="G102" i="18" s="1"/>
  <c r="M113" i="18"/>
  <c r="AF113" i="5" s="1"/>
  <c r="M130" i="18"/>
  <c r="M154" i="18"/>
  <c r="G154" i="18" s="1"/>
  <c r="M56" i="18"/>
  <c r="G56" i="18" s="1"/>
  <c r="E78" i="17"/>
  <c r="M23" i="18"/>
  <c r="AF23" i="5" s="1"/>
  <c r="M87" i="18"/>
  <c r="J240" i="9" s="1"/>
  <c r="J239" i="9" s="1"/>
  <c r="M185" i="18"/>
  <c r="AF185" i="5" s="1"/>
  <c r="M180" i="18"/>
  <c r="G180" i="18" s="1"/>
  <c r="E80" i="17"/>
  <c r="M13" i="18"/>
  <c r="G13" i="18" s="1"/>
  <c r="M34" i="18"/>
  <c r="G34" i="18" s="1"/>
  <c r="M108" i="18"/>
  <c r="J406" i="9" s="1"/>
  <c r="J405" i="9" s="1"/>
  <c r="M161" i="18"/>
  <c r="G161" i="18" s="1"/>
  <c r="M123" i="18"/>
  <c r="N44" i="23"/>
  <c r="M15" i="18"/>
  <c r="G15" i="18" s="1"/>
  <c r="M20" i="18"/>
  <c r="AF20" i="5" s="1"/>
  <c r="M89" i="18"/>
  <c r="AF89" i="5" s="1"/>
  <c r="M189" i="18"/>
  <c r="AF189" i="5" s="1"/>
  <c r="M28" i="18"/>
  <c r="G28" i="18" s="1"/>
  <c r="M37" i="18"/>
  <c r="AF37" i="5" s="1"/>
  <c r="M58" i="18"/>
  <c r="G58" i="18" s="1"/>
  <c r="M92" i="18"/>
  <c r="G92" i="18" s="1"/>
  <c r="M167" i="18"/>
  <c r="AF167" i="5" s="1"/>
  <c r="E7" i="18"/>
  <c r="D7" i="18" s="1"/>
  <c r="AF6" i="5" s="1"/>
  <c r="AD6" i="23" s="1"/>
  <c r="M65" i="18"/>
  <c r="G65" i="18" s="1"/>
  <c r="M52" i="18"/>
  <c r="J408" i="8" s="1"/>
  <c r="F126" i="14"/>
  <c r="W181" i="5"/>
  <c r="Z181" i="5" s="1"/>
  <c r="Q181" i="5" s="1"/>
  <c r="K181" i="18" s="1"/>
  <c r="F125" i="14"/>
  <c r="F124" i="14"/>
  <c r="F128" i="14"/>
  <c r="F127" i="14"/>
  <c r="AC7" i="18"/>
  <c r="N189" i="18" s="1"/>
  <c r="F125" i="6"/>
  <c r="F128" i="6" s="1"/>
  <c r="F122" i="6"/>
  <c r="S572" i="5"/>
  <c r="AF138" i="23"/>
  <c r="AG138" i="23" s="1"/>
  <c r="Z138" i="23" s="1"/>
  <c r="AI138" i="23" s="1"/>
  <c r="K138" i="23" s="1"/>
  <c r="AF54" i="23"/>
  <c r="AG54" i="23" s="1"/>
  <c r="Z54" i="23" s="1"/>
  <c r="AI54" i="23" s="1"/>
  <c r="K54" i="23" s="1"/>
  <c r="AF74" i="23"/>
  <c r="AG74" i="23" s="1"/>
  <c r="Z74" i="23" s="1"/>
  <c r="AI74" i="23" s="1"/>
  <c r="I74" i="23" s="1"/>
  <c r="AF127" i="23"/>
  <c r="AG127" i="23" s="1"/>
  <c r="Z127" i="23" s="1"/>
  <c r="AI127" i="23" s="1"/>
  <c r="AF11" i="23"/>
  <c r="AG11" i="23" s="1"/>
  <c r="Z11" i="23" s="1"/>
  <c r="AI11" i="23" s="1"/>
  <c r="K11" i="23" s="1"/>
  <c r="AF125" i="23"/>
  <c r="AG125" i="23" s="1"/>
  <c r="Z125" i="23" s="1"/>
  <c r="AI125" i="23" s="1"/>
  <c r="I125" i="23" s="1"/>
  <c r="AF150" i="23"/>
  <c r="AG150" i="23" s="1"/>
  <c r="Z150" i="23" s="1"/>
  <c r="AI150" i="23" s="1"/>
  <c r="I150" i="23" s="1"/>
  <c r="AF152" i="23"/>
  <c r="AG152" i="23" s="1"/>
  <c r="Z152" i="23" s="1"/>
  <c r="AI152" i="23" s="1"/>
  <c r="I152" i="23" s="1"/>
  <c r="AF131" i="23"/>
  <c r="AG131" i="23" s="1"/>
  <c r="Z131" i="23" s="1"/>
  <c r="AI131" i="23" s="1"/>
  <c r="AJ131" i="23" s="1"/>
  <c r="AL131" i="23" s="1"/>
  <c r="N131" i="23" s="1"/>
  <c r="AF191" i="23"/>
  <c r="AG191" i="23" s="1"/>
  <c r="Z191" i="23" s="1"/>
  <c r="AI191" i="23" s="1"/>
  <c r="K191" i="23" s="1"/>
  <c r="AF155" i="23"/>
  <c r="AG155" i="23" s="1"/>
  <c r="Z155" i="23" s="1"/>
  <c r="AI155" i="23" s="1"/>
  <c r="AJ155" i="23" s="1"/>
  <c r="AL155" i="23" s="1"/>
  <c r="N155" i="23" s="1"/>
  <c r="AF73" i="23"/>
  <c r="AG73" i="23" s="1"/>
  <c r="Z73" i="23" s="1"/>
  <c r="AI73" i="23" s="1"/>
  <c r="AF141" i="23"/>
  <c r="AG141" i="23" s="1"/>
  <c r="Z141" i="23" s="1"/>
  <c r="AI141" i="23" s="1"/>
  <c r="AJ141" i="23" s="1"/>
  <c r="AL141" i="23" s="1"/>
  <c r="N141" i="23" s="1"/>
  <c r="AF17" i="23"/>
  <c r="AG17" i="23" s="1"/>
  <c r="Z17" i="23" s="1"/>
  <c r="AI17" i="23" s="1"/>
  <c r="K17" i="23" s="1"/>
  <c r="AF120" i="23"/>
  <c r="AG120" i="23" s="1"/>
  <c r="Z120" i="23" s="1"/>
  <c r="AI120" i="23" s="1"/>
  <c r="AJ120" i="23" s="1"/>
  <c r="AL120" i="23" s="1"/>
  <c r="N120" i="23" s="1"/>
  <c r="AF82" i="23"/>
  <c r="AG82" i="23" s="1"/>
  <c r="Z82" i="23" s="1"/>
  <c r="AI82" i="23" s="1"/>
  <c r="AF126" i="23"/>
  <c r="AG126" i="23" s="1"/>
  <c r="Z126" i="23" s="1"/>
  <c r="AI126" i="23" s="1"/>
  <c r="K126" i="23" s="1"/>
  <c r="AF142" i="23"/>
  <c r="AG142" i="23" s="1"/>
  <c r="Z142" i="23" s="1"/>
  <c r="AI142" i="23" s="1"/>
  <c r="K142" i="23" s="1"/>
  <c r="AF112" i="23"/>
  <c r="AG112" i="23" s="1"/>
  <c r="Z112" i="23" s="1"/>
  <c r="AI112" i="23" s="1"/>
  <c r="I112" i="23" s="1"/>
  <c r="AF183" i="23"/>
  <c r="AG183" i="23" s="1"/>
  <c r="Z183" i="23" s="1"/>
  <c r="AI183" i="23" s="1"/>
  <c r="I183" i="23" s="1"/>
  <c r="AF187" i="23"/>
  <c r="AG187" i="23" s="1"/>
  <c r="Z187" i="23" s="1"/>
  <c r="AI187" i="23" s="1"/>
  <c r="I187" i="23" s="1"/>
  <c r="AF26" i="23"/>
  <c r="AG26" i="23" s="1"/>
  <c r="Z26" i="23" s="1"/>
  <c r="AI26" i="23" s="1"/>
  <c r="J26" i="23" s="1"/>
  <c r="K10" i="6"/>
  <c r="K83" i="18"/>
  <c r="K103" i="6"/>
  <c r="AF148" i="23"/>
  <c r="AG148" i="23" s="1"/>
  <c r="Z148" i="23" s="1"/>
  <c r="AI148" i="23" s="1"/>
  <c r="J148" i="23" s="1"/>
  <c r="AF176" i="23"/>
  <c r="AG176" i="23" s="1"/>
  <c r="Z176" i="23" s="1"/>
  <c r="AI176" i="23" s="1"/>
  <c r="J176" i="23" s="1"/>
  <c r="AF77" i="23"/>
  <c r="AG77" i="23" s="1"/>
  <c r="Z77" i="23" s="1"/>
  <c r="AI77" i="23" s="1"/>
  <c r="AJ77" i="23" s="1"/>
  <c r="AL77" i="23" s="1"/>
  <c r="N77" i="23" s="1"/>
  <c r="K88" i="18"/>
  <c r="K87" i="18"/>
  <c r="AF83" i="23"/>
  <c r="AG83" i="23" s="1"/>
  <c r="Z83" i="23" s="1"/>
  <c r="AI83" i="23" s="1"/>
  <c r="AF53" i="23"/>
  <c r="AG53" i="23" s="1"/>
  <c r="Z53" i="23" s="1"/>
  <c r="AI53" i="23" s="1"/>
  <c r="AJ53" i="23" s="1"/>
  <c r="AL53" i="23" s="1"/>
  <c r="AF98" i="23"/>
  <c r="AG98" i="23" s="1"/>
  <c r="Z98" i="23" s="1"/>
  <c r="AI98" i="23" s="1"/>
  <c r="AJ98" i="23" s="1"/>
  <c r="AL98" i="23" s="1"/>
  <c r="N98" i="23" s="1"/>
  <c r="AF158" i="23"/>
  <c r="AG158" i="23" s="1"/>
  <c r="Z158" i="23" s="1"/>
  <c r="AI158" i="23" s="1"/>
  <c r="K158" i="23" s="1"/>
  <c r="L90" i="18"/>
  <c r="L94" i="18"/>
  <c r="AF128" i="23"/>
  <c r="AG128" i="23" s="1"/>
  <c r="Z128" i="23" s="1"/>
  <c r="AI128" i="23" s="1"/>
  <c r="I128" i="23" s="1"/>
  <c r="AF75" i="23"/>
  <c r="AG75" i="23" s="1"/>
  <c r="Z75" i="23" s="1"/>
  <c r="AI75" i="23" s="1"/>
  <c r="J75" i="23" s="1"/>
  <c r="AF124" i="23"/>
  <c r="AG124" i="23" s="1"/>
  <c r="Z124" i="23" s="1"/>
  <c r="AI124" i="23" s="1"/>
  <c r="I124" i="23" s="1"/>
  <c r="AF153" i="23"/>
  <c r="AG153" i="23" s="1"/>
  <c r="Z153" i="23" s="1"/>
  <c r="AI153" i="23" s="1"/>
  <c r="AJ153" i="23" s="1"/>
  <c r="AL153" i="23" s="1"/>
  <c r="N153" i="23" s="1"/>
  <c r="AF165" i="23"/>
  <c r="AG165" i="23" s="1"/>
  <c r="Z165" i="23" s="1"/>
  <c r="AI165" i="23" s="1"/>
  <c r="AJ165" i="23" s="1"/>
  <c r="AL165" i="23" s="1"/>
  <c r="N165" i="23" s="1"/>
  <c r="L87" i="18"/>
  <c r="L88" i="18"/>
  <c r="AF76" i="23"/>
  <c r="AG76" i="23" s="1"/>
  <c r="Z76" i="23" s="1"/>
  <c r="AI76" i="23" s="1"/>
  <c r="AJ76" i="23" s="1"/>
  <c r="AL76" i="23" s="1"/>
  <c r="N76" i="23" s="1"/>
  <c r="AF146" i="23"/>
  <c r="AG146" i="23" s="1"/>
  <c r="Z146" i="23" s="1"/>
  <c r="AI146" i="23" s="1"/>
  <c r="AJ146" i="23" s="1"/>
  <c r="AL146" i="23" s="1"/>
  <c r="AF28" i="23"/>
  <c r="AG28" i="23" s="1"/>
  <c r="Z28" i="23" s="1"/>
  <c r="AI28" i="23" s="1"/>
  <c r="I28" i="23" s="1"/>
  <c r="AF157" i="23"/>
  <c r="AG157" i="23" s="1"/>
  <c r="Z157" i="23" s="1"/>
  <c r="AI157" i="23" s="1"/>
  <c r="AJ157" i="23" s="1"/>
  <c r="AL157" i="23" s="1"/>
  <c r="N157" i="23" s="1"/>
  <c r="M181" i="18"/>
  <c r="J122" i="14" s="1"/>
  <c r="J121" i="14" s="1"/>
  <c r="M18" i="18"/>
  <c r="G18" i="18" s="1"/>
  <c r="M11" i="18"/>
  <c r="J13" i="8" s="1"/>
  <c r="M29" i="18"/>
  <c r="G29" i="18" s="1"/>
  <c r="M94" i="18"/>
  <c r="J273" i="9" s="1"/>
  <c r="M127" i="18"/>
  <c r="G127" i="18" s="1"/>
  <c r="M118" i="18"/>
  <c r="G118" i="18" s="1"/>
  <c r="M163" i="18"/>
  <c r="G163" i="18" s="1"/>
  <c r="M190" i="18"/>
  <c r="G190" i="18" s="1"/>
  <c r="M63" i="18"/>
  <c r="AF63" i="5" s="1"/>
  <c r="M16" i="18"/>
  <c r="G16" i="18" s="1"/>
  <c r="M19" i="18"/>
  <c r="AF19" i="5" s="1"/>
  <c r="M32" i="18"/>
  <c r="AF32" i="5" s="1"/>
  <c r="M57" i="18"/>
  <c r="G57" i="18" s="1"/>
  <c r="M21" i="18"/>
  <c r="AF21" i="5" s="1"/>
  <c r="M47" i="18"/>
  <c r="AF47" i="5" s="1"/>
  <c r="M64" i="18"/>
  <c r="AF64" i="5" s="1"/>
  <c r="M26" i="18"/>
  <c r="G26" i="18" s="1"/>
  <c r="M30" i="18"/>
  <c r="G30" i="18" s="1"/>
  <c r="M43" i="18"/>
  <c r="J336" i="8" s="1"/>
  <c r="J335" i="8" s="1"/>
  <c r="M44" i="18"/>
  <c r="G44" i="18" s="1"/>
  <c r="M77" i="18"/>
  <c r="G77" i="18" s="1"/>
  <c r="M73" i="18"/>
  <c r="G73" i="18" s="1"/>
  <c r="M116" i="18"/>
  <c r="J44" i="10" s="1"/>
  <c r="M83" i="18"/>
  <c r="J218" i="9" s="1"/>
  <c r="J217" i="9" s="1"/>
  <c r="M98" i="18"/>
  <c r="J340" i="9" s="1"/>
  <c r="J339" i="9" s="1"/>
  <c r="M72" i="18"/>
  <c r="M129" i="18"/>
  <c r="M101" i="18"/>
  <c r="AF101" i="5" s="1"/>
  <c r="M103" i="18"/>
  <c r="G103" i="18" s="1"/>
  <c r="M133" i="18"/>
  <c r="AF133" i="5" s="1"/>
  <c r="M136" i="18"/>
  <c r="G136" i="18" s="1"/>
  <c r="M168" i="18"/>
  <c r="AF168" i="5" s="1"/>
  <c r="M160" i="18"/>
  <c r="G160" i="18" s="1"/>
  <c r="M191" i="18"/>
  <c r="J232" i="14" s="1"/>
  <c r="J231" i="14" s="1"/>
  <c r="M170" i="18"/>
  <c r="G170" i="18" s="1"/>
  <c r="M153" i="18"/>
  <c r="G153" i="18" s="1"/>
  <c r="M9" i="18"/>
  <c r="AF9" i="5" s="1"/>
  <c r="M14" i="18"/>
  <c r="AF14" i="5" s="1"/>
  <c r="M17" i="18"/>
  <c r="G17" i="18" s="1"/>
  <c r="M40" i="18"/>
  <c r="AF40" i="5" s="1"/>
  <c r="M45" i="18"/>
  <c r="G45" i="18" s="1"/>
  <c r="M59" i="18"/>
  <c r="AF59" i="5" s="1"/>
  <c r="M24" i="18"/>
  <c r="J180" i="8" s="1"/>
  <c r="M35" i="18"/>
  <c r="AF35" i="5" s="1"/>
  <c r="M41" i="18"/>
  <c r="G41" i="18" s="1"/>
  <c r="M69" i="18"/>
  <c r="G69" i="18" s="1"/>
  <c r="M68" i="18"/>
  <c r="AF68" i="5" s="1"/>
  <c r="M114" i="18"/>
  <c r="AF114" i="5" s="1"/>
  <c r="M140" i="18"/>
  <c r="M97" i="18"/>
  <c r="G97" i="18" s="1"/>
  <c r="M67" i="18"/>
  <c r="J36" i="9" s="1"/>
  <c r="J35" i="9" s="1"/>
  <c r="M100" i="18"/>
  <c r="AF100" i="5" s="1"/>
  <c r="M132" i="18"/>
  <c r="AF132" i="5" s="1"/>
  <c r="M155" i="18"/>
  <c r="J86" i="13" s="1"/>
  <c r="J85" i="13" s="1"/>
  <c r="M169" i="18"/>
  <c r="G169" i="18" s="1"/>
  <c r="M145" i="18"/>
  <c r="AF145" i="5" s="1"/>
  <c r="M178" i="18"/>
  <c r="G178" i="18" s="1"/>
  <c r="M188" i="18"/>
  <c r="AF188" i="5" s="1"/>
  <c r="M173" i="18"/>
  <c r="J12" i="14" s="1"/>
  <c r="M158" i="18"/>
  <c r="AF158" i="5" s="1"/>
  <c r="M141" i="18"/>
  <c r="M175" i="18"/>
  <c r="J27" i="14" s="1"/>
  <c r="J26" i="14" s="1"/>
  <c r="M166" i="18"/>
  <c r="AF166" i="5" s="1"/>
  <c r="M147" i="18"/>
  <c r="G147" i="18" s="1"/>
  <c r="M184" i="18"/>
  <c r="AF184" i="5" s="1"/>
  <c r="M177" i="18"/>
  <c r="AF177" i="5" s="1"/>
  <c r="M151" i="18"/>
  <c r="AF151" i="5" s="1"/>
  <c r="M176" i="18"/>
  <c r="AF176" i="5" s="1"/>
  <c r="M159" i="18"/>
  <c r="AF159" i="5" s="1"/>
  <c r="M149" i="18"/>
  <c r="G149" i="18" s="1"/>
  <c r="M131" i="18"/>
  <c r="M142" i="18"/>
  <c r="AF142" i="5" s="1"/>
  <c r="M117" i="18"/>
  <c r="AF117" i="5" s="1"/>
  <c r="M110" i="18"/>
  <c r="G110" i="18" s="1"/>
  <c r="M99" i="18"/>
  <c r="AF99" i="5" s="1"/>
  <c r="M119" i="18"/>
  <c r="G119" i="18" s="1"/>
  <c r="M93" i="18"/>
  <c r="AF93" i="5" s="1"/>
  <c r="M71" i="18"/>
  <c r="G71" i="18" s="1"/>
  <c r="M121" i="18"/>
  <c r="AF121" i="5" s="1"/>
  <c r="M78" i="18"/>
  <c r="AF78" i="5" s="1"/>
  <c r="M134" i="18"/>
  <c r="AF134" i="5" s="1"/>
  <c r="M106" i="18"/>
  <c r="G106" i="18" s="1"/>
  <c r="M96" i="18"/>
  <c r="J311" i="9" s="1"/>
  <c r="J310" i="9" s="1"/>
  <c r="M85" i="18"/>
  <c r="G85" i="18" s="1"/>
  <c r="M138" i="18"/>
  <c r="AF138" i="5" s="1"/>
  <c r="M126" i="18"/>
  <c r="G126" i="18" s="1"/>
  <c r="M109" i="18"/>
  <c r="AF109" i="5" s="1"/>
  <c r="M81" i="18"/>
  <c r="G81" i="18" s="1"/>
  <c r="M62" i="18"/>
  <c r="AF62" i="5" s="1"/>
  <c r="M39" i="18"/>
  <c r="J306" i="8" s="1"/>
  <c r="M66" i="18"/>
  <c r="G66" i="18" s="1"/>
  <c r="M49" i="18"/>
  <c r="AF49" i="5" s="1"/>
  <c r="M33" i="18"/>
  <c r="G33" i="18" s="1"/>
  <c r="M55" i="18"/>
  <c r="J428" i="8" s="1"/>
  <c r="M186" i="18"/>
  <c r="G186" i="18" s="1"/>
  <c r="M172" i="18"/>
  <c r="AF172" i="5" s="1"/>
  <c r="M156" i="18"/>
  <c r="G156" i="18" s="1"/>
  <c r="M192" i="18"/>
  <c r="AF192" i="5" s="1"/>
  <c r="M171" i="18"/>
  <c r="J288" i="13" s="1"/>
  <c r="J287" i="13" s="1"/>
  <c r="M165" i="18"/>
  <c r="AF165" i="5" s="1"/>
  <c r="M193" i="18"/>
  <c r="J244" i="14" s="1"/>
  <c r="O243" i="14" s="1"/>
  <c r="M182" i="18"/>
  <c r="G182" i="18" s="1"/>
  <c r="M164" i="18"/>
  <c r="G164" i="18" s="1"/>
  <c r="M194" i="18"/>
  <c r="AF194" i="5" s="1"/>
  <c r="M174" i="18"/>
  <c r="AF174" i="5" s="1"/>
  <c r="M157" i="18"/>
  <c r="M148" i="18"/>
  <c r="AF148" i="5" s="1"/>
  <c r="M146" i="18"/>
  <c r="AF146" i="5" s="1"/>
  <c r="M139" i="18"/>
  <c r="AF139" i="5" s="1"/>
  <c r="M115" i="18"/>
  <c r="G115" i="18" s="1"/>
  <c r="I114" i="18" s="1"/>
  <c r="D115" i="18" s="1"/>
  <c r="AA115" i="5" s="1"/>
  <c r="M107" i="18"/>
  <c r="O396" i="9" s="1"/>
  <c r="O395" i="9" s="1"/>
  <c r="M95" i="18"/>
  <c r="J291" i="9" s="1"/>
  <c r="M111" i="18"/>
  <c r="G111" i="18" s="1"/>
  <c r="M90" i="18"/>
  <c r="J252" i="9" s="1"/>
  <c r="J251" i="9" s="1"/>
  <c r="M137" i="18"/>
  <c r="G137" i="18" s="1"/>
  <c r="M120" i="18"/>
  <c r="G120" i="18" s="1"/>
  <c r="M76" i="18"/>
  <c r="G76" i="18" s="1"/>
  <c r="M124" i="18"/>
  <c r="M104" i="18"/>
  <c r="G104" i="18" s="1"/>
  <c r="M88" i="18"/>
  <c r="O240" i="9" s="1"/>
  <c r="O239" i="9" s="1"/>
  <c r="M84" i="18"/>
  <c r="G84" i="18" s="1"/>
  <c r="M135" i="18"/>
  <c r="G135" i="18" s="1"/>
  <c r="M125" i="18"/>
  <c r="G125" i="18" s="1"/>
  <c r="M105" i="18"/>
  <c r="AF105" i="5" s="1"/>
  <c r="M74" i="18"/>
  <c r="AF74" i="5" s="1"/>
  <c r="M53" i="18"/>
  <c r="AF53" i="5" s="1"/>
  <c r="M38" i="18"/>
  <c r="G38" i="18" s="1"/>
  <c r="M61" i="18"/>
  <c r="G61" i="18" s="1"/>
  <c r="M46" i="18"/>
  <c r="G46" i="18" s="1"/>
  <c r="M25" i="18"/>
  <c r="G25" i="18" s="1"/>
  <c r="M50" i="18"/>
  <c r="AF50" i="5" s="1"/>
  <c r="M12" i="18"/>
  <c r="G12" i="18" s="1"/>
  <c r="M10" i="18"/>
  <c r="AF10" i="5" s="1"/>
  <c r="M36" i="18"/>
  <c r="AF36" i="5" s="1"/>
  <c r="M60" i="18"/>
  <c r="AF60" i="5" s="1"/>
  <c r="M22" i="18"/>
  <c r="G22" i="18" s="1"/>
  <c r="M51" i="18"/>
  <c r="G51" i="18" s="1"/>
  <c r="M79" i="18"/>
  <c r="AF79" i="5" s="1"/>
  <c r="M27" i="18"/>
  <c r="G27" i="18" s="1"/>
  <c r="M31" i="18"/>
  <c r="G31" i="18" s="1"/>
  <c r="M70" i="18"/>
  <c r="AF70" i="5" s="1"/>
  <c r="M54" i="18"/>
  <c r="AF54" i="5" s="1"/>
  <c r="M48" i="18"/>
  <c r="AF48" i="5" s="1"/>
  <c r="M82" i="18"/>
  <c r="AF82" i="5" s="1"/>
  <c r="M128" i="18"/>
  <c r="G128" i="18" s="1"/>
  <c r="M86" i="18"/>
  <c r="O229" i="9" s="1"/>
  <c r="O228" i="9" s="1"/>
  <c r="M122" i="18"/>
  <c r="AF122" i="5" s="1"/>
  <c r="M80" i="18"/>
  <c r="G80" i="18" s="1"/>
  <c r="M75" i="18"/>
  <c r="G75" i="18" s="1"/>
  <c r="M91" i="18"/>
  <c r="O252" i="9" s="1"/>
  <c r="O251" i="9" s="1"/>
  <c r="M112" i="18"/>
  <c r="AF112" i="5" s="1"/>
  <c r="M143" i="18"/>
  <c r="M150" i="18"/>
  <c r="G150" i="18" s="1"/>
  <c r="M183" i="18"/>
  <c r="AF183" i="5" s="1"/>
  <c r="M179" i="18"/>
  <c r="J93" i="14" s="1"/>
  <c r="J92" i="14" s="1"/>
  <c r="M152" i="18"/>
  <c r="G152" i="18" s="1"/>
  <c r="M187" i="18"/>
  <c r="AF187" i="5" s="1"/>
  <c r="M162" i="18"/>
  <c r="G162" i="18" s="1"/>
  <c r="Y49" i="4"/>
  <c r="Z49" i="4" s="1"/>
  <c r="Y49" i="24"/>
  <c r="Z49" i="24" s="1"/>
  <c r="N33" i="23"/>
  <c r="F86" i="6"/>
  <c r="F111" i="6"/>
  <c r="F104" i="6"/>
  <c r="F44" i="6"/>
  <c r="O34" i="6"/>
  <c r="U34" i="6" s="1"/>
  <c r="F110" i="6"/>
  <c r="F80" i="6"/>
  <c r="F314" i="9"/>
  <c r="F317" i="9"/>
  <c r="F313" i="9"/>
  <c r="F316" i="9"/>
  <c r="F315" i="9"/>
  <c r="W96" i="5"/>
  <c r="Z96" i="5" s="1"/>
  <c r="R210" i="15"/>
  <c r="J120" i="6" s="1"/>
  <c r="R212" i="15"/>
  <c r="R208" i="15"/>
  <c r="L93" i="26" s="1"/>
  <c r="R207" i="15"/>
  <c r="L92" i="26" s="1"/>
  <c r="R206" i="15"/>
  <c r="L91" i="26" s="1"/>
  <c r="R205" i="15"/>
  <c r="L90" i="26" s="1"/>
  <c r="R204" i="15"/>
  <c r="L89" i="26" s="1"/>
  <c r="R203" i="15"/>
  <c r="L88" i="26" s="1"/>
  <c r="R202" i="15"/>
  <c r="L87" i="26" s="1"/>
  <c r="R201" i="15"/>
  <c r="L86" i="26" s="1"/>
  <c r="R200" i="15"/>
  <c r="L85" i="26" s="1"/>
  <c r="R198" i="15"/>
  <c r="L83" i="26" s="1"/>
  <c r="R197" i="15"/>
  <c r="L82" i="26" s="1"/>
  <c r="R196" i="15"/>
  <c r="L81" i="26" s="1"/>
  <c r="R195" i="15"/>
  <c r="L80" i="26" s="1"/>
  <c r="R194" i="15"/>
  <c r="L79" i="26" s="1"/>
  <c r="R193" i="15"/>
  <c r="L78" i="26" s="1"/>
  <c r="R192" i="15"/>
  <c r="L77" i="26" s="1"/>
  <c r="R211" i="15"/>
  <c r="J121" i="6" s="1"/>
  <c r="J127" i="6" s="1"/>
  <c r="R209" i="15"/>
  <c r="R199" i="15"/>
  <c r="L84" i="26" s="1"/>
  <c r="R191" i="15"/>
  <c r="L76" i="26" s="1"/>
  <c r="R190" i="15"/>
  <c r="L75" i="26" s="1"/>
  <c r="AM194" i="23"/>
  <c r="N194" i="23"/>
  <c r="K129" i="23"/>
  <c r="J129" i="23"/>
  <c r="I129" i="23"/>
  <c r="K137" i="23"/>
  <c r="AJ137" i="23"/>
  <c r="AL137" i="23" s="1"/>
  <c r="J137" i="23"/>
  <c r="I137" i="23"/>
  <c r="AJ188" i="23"/>
  <c r="AL188" i="23" s="1"/>
  <c r="N188" i="23" s="1"/>
  <c r="I188" i="23"/>
  <c r="K188" i="23"/>
  <c r="J188" i="23"/>
  <c r="Y50" i="4"/>
  <c r="Z50" i="4" s="1"/>
  <c r="Y50" i="24"/>
  <c r="Z50" i="24" s="1"/>
  <c r="N154" i="23"/>
  <c r="N196" i="23"/>
  <c r="N169" i="23"/>
  <c r="N195" i="23"/>
  <c r="N64" i="23"/>
  <c r="N197" i="23"/>
  <c r="J161" i="23"/>
  <c r="I161" i="23"/>
  <c r="K161" i="23"/>
  <c r="AJ161" i="23"/>
  <c r="AL161" i="23" s="1"/>
  <c r="N161" i="23" s="1"/>
  <c r="AJ147" i="23"/>
  <c r="AL147" i="23" s="1"/>
  <c r="I147" i="23"/>
  <c r="K147" i="23"/>
  <c r="J147" i="23"/>
  <c r="N66" i="23"/>
  <c r="N59" i="23"/>
  <c r="N52" i="23"/>
  <c r="N189" i="23"/>
  <c r="N60" i="23"/>
  <c r="N22" i="23"/>
  <c r="N61" i="23"/>
  <c r="N99" i="23"/>
  <c r="AJ121" i="23"/>
  <c r="AL121" i="23" s="1"/>
  <c r="K121" i="23"/>
  <c r="J121" i="23"/>
  <c r="I121" i="23"/>
  <c r="K144" i="23"/>
  <c r="J144" i="23"/>
  <c r="AJ144" i="23"/>
  <c r="AL144" i="23" s="1"/>
  <c r="N144" i="23" s="1"/>
  <c r="I144" i="23"/>
  <c r="K134" i="23"/>
  <c r="AJ134" i="23"/>
  <c r="AL134" i="23" s="1"/>
  <c r="I134" i="23"/>
  <c r="J134" i="23"/>
  <c r="J139" i="23"/>
  <c r="I139" i="23"/>
  <c r="AJ139" i="23"/>
  <c r="AL139" i="23" s="1"/>
  <c r="N139" i="23" s="1"/>
  <c r="K139" i="23"/>
  <c r="K87" i="23"/>
  <c r="I87" i="23"/>
  <c r="AJ87" i="23"/>
  <c r="AL87" i="23" s="1"/>
  <c r="J87" i="23"/>
  <c r="N136" i="23"/>
  <c r="AJ182" i="23"/>
  <c r="AL182" i="23" s="1"/>
  <c r="N182" i="23" s="1"/>
  <c r="K182" i="23"/>
  <c r="J182" i="23"/>
  <c r="I182" i="23"/>
  <c r="J80" i="23"/>
  <c r="I80" i="23"/>
  <c r="AJ80" i="23"/>
  <c r="AL80" i="23" s="1"/>
  <c r="N80" i="23" s="1"/>
  <c r="K80" i="23"/>
  <c r="AJ81" i="23"/>
  <c r="AL81" i="23" s="1"/>
  <c r="N81" i="23" s="1"/>
  <c r="K81" i="23"/>
  <c r="J81" i="23"/>
  <c r="I81" i="23"/>
  <c r="AM88" i="23"/>
  <c r="K110" i="23"/>
  <c r="AJ110" i="23"/>
  <c r="AL110" i="23" s="1"/>
  <c r="J110" i="23"/>
  <c r="I110" i="23"/>
  <c r="J113" i="23"/>
  <c r="I113" i="23"/>
  <c r="K113" i="23"/>
  <c r="AJ113" i="23"/>
  <c r="AL113" i="23" s="1"/>
  <c r="N113" i="23" s="1"/>
  <c r="AJ48" i="23"/>
  <c r="AL48" i="23" s="1"/>
  <c r="K48" i="23"/>
  <c r="J48" i="23"/>
  <c r="I48" i="23"/>
  <c r="J145" i="23"/>
  <c r="AJ145" i="23"/>
  <c r="AL145" i="23" s="1"/>
  <c r="N145" i="23" s="1"/>
  <c r="I145" i="23"/>
  <c r="K145" i="23"/>
  <c r="N88" i="23"/>
  <c r="J167" i="23"/>
  <c r="I167" i="23"/>
  <c r="AJ167" i="23"/>
  <c r="AL167" i="23" s="1"/>
  <c r="K167" i="23"/>
  <c r="N100" i="23"/>
  <c r="AJ122" i="23"/>
  <c r="AL122" i="23" s="1"/>
  <c r="J122" i="23"/>
  <c r="I122" i="23"/>
  <c r="K122" i="23"/>
  <c r="AJ133" i="23"/>
  <c r="AL133" i="23" s="1"/>
  <c r="J133" i="23"/>
  <c r="I133" i="23"/>
  <c r="K133" i="23"/>
  <c r="AJ135" i="23"/>
  <c r="AL135" i="23" s="1"/>
  <c r="K135" i="23"/>
  <c r="J135" i="23"/>
  <c r="I135" i="23"/>
  <c r="K173" i="23"/>
  <c r="J173" i="23"/>
  <c r="I173" i="23"/>
  <c r="AJ173" i="23"/>
  <c r="AL173" i="23" s="1"/>
  <c r="N173" i="23" s="1"/>
  <c r="AJ151" i="23"/>
  <c r="AL151" i="23" s="1"/>
  <c r="N151" i="23" s="1"/>
  <c r="K151" i="23"/>
  <c r="J151" i="23"/>
  <c r="I151" i="23"/>
  <c r="F106" i="6" l="1"/>
  <c r="F108" i="6"/>
  <c r="U35" i="6"/>
  <c r="F109" i="6"/>
  <c r="F105" i="6"/>
  <c r="F103" i="6"/>
  <c r="AM186" i="23"/>
  <c r="R35" i="6"/>
  <c r="O26" i="6"/>
  <c r="U26" i="6" s="1"/>
  <c r="J32" i="23"/>
  <c r="AJ97" i="23"/>
  <c r="AL97" i="23" s="1"/>
  <c r="N97" i="23" s="1"/>
  <c r="K32" i="23"/>
  <c r="AJ32" i="23"/>
  <c r="AL32" i="23" s="1"/>
  <c r="N32" i="23" s="1"/>
  <c r="I97" i="23"/>
  <c r="J97" i="23"/>
  <c r="G80" i="25"/>
  <c r="G81" i="25"/>
  <c r="G78" i="25"/>
  <c r="G79" i="25"/>
  <c r="Q131" i="5"/>
  <c r="K131" i="18" s="1"/>
  <c r="G131" i="18" s="1"/>
  <c r="G82" i="25"/>
  <c r="V22" i="26"/>
  <c r="W22" i="26" s="1"/>
  <c r="X22" i="26" s="1"/>
  <c r="J66" i="25"/>
  <c r="L94" i="26"/>
  <c r="J118" i="6" s="1"/>
  <c r="O24" i="6"/>
  <c r="O133" i="6" s="1"/>
  <c r="D9" i="16" s="1"/>
  <c r="H22" i="14" s="1"/>
  <c r="O70" i="2"/>
  <c r="C21" i="2" s="1"/>
  <c r="D12" i="4" s="1"/>
  <c r="U28" i="6"/>
  <c r="L28" i="6"/>
  <c r="O28" i="6"/>
  <c r="R28" i="6"/>
  <c r="V20" i="26"/>
  <c r="J64" i="25"/>
  <c r="V21" i="26"/>
  <c r="J65" i="25"/>
  <c r="J160" i="23"/>
  <c r="I160" i="23"/>
  <c r="K160" i="23"/>
  <c r="K23" i="23"/>
  <c r="J119" i="23"/>
  <c r="K119" i="23"/>
  <c r="AJ119" i="23"/>
  <c r="AL119" i="23" s="1"/>
  <c r="N119" i="23" s="1"/>
  <c r="J149" i="23"/>
  <c r="J78" i="23"/>
  <c r="K78" i="23"/>
  <c r="I25" i="23"/>
  <c r="I140" i="23"/>
  <c r="K140" i="23"/>
  <c r="AJ78" i="23"/>
  <c r="AL78" i="23" s="1"/>
  <c r="N78" i="23" s="1"/>
  <c r="J140" i="23"/>
  <c r="I143" i="23"/>
  <c r="J143" i="23"/>
  <c r="K143" i="23"/>
  <c r="G72" i="18"/>
  <c r="G157" i="18"/>
  <c r="AJ149" i="23"/>
  <c r="AL149" i="23" s="1"/>
  <c r="N149" i="23" s="1"/>
  <c r="K149" i="23"/>
  <c r="J25" i="23"/>
  <c r="J84" i="23"/>
  <c r="AJ159" i="23"/>
  <c r="AL159" i="23" s="1"/>
  <c r="N159" i="23" s="1"/>
  <c r="J159" i="23"/>
  <c r="K132" i="23"/>
  <c r="I132" i="23"/>
  <c r="N132" i="23"/>
  <c r="G39" i="18"/>
  <c r="I84" i="23"/>
  <c r="J132" i="23"/>
  <c r="J290" i="9"/>
  <c r="J79" i="23"/>
  <c r="AJ79" i="23"/>
  <c r="AL79" i="23" s="1"/>
  <c r="N79" i="23" s="1"/>
  <c r="F62" i="6"/>
  <c r="O93" i="6" s="1"/>
  <c r="D14" i="16" s="1"/>
  <c r="I16" i="23"/>
  <c r="J16" i="23"/>
  <c r="J111" i="23"/>
  <c r="N40" i="23"/>
  <c r="AJ16" i="23"/>
  <c r="AL16" i="23" s="1"/>
  <c r="N16" i="23" s="1"/>
  <c r="I171" i="23"/>
  <c r="K111" i="23"/>
  <c r="J171" i="23"/>
  <c r="K171" i="23"/>
  <c r="K50" i="23"/>
  <c r="J23" i="23"/>
  <c r="K84" i="23"/>
  <c r="W23" i="26"/>
  <c r="X23" i="26" s="1"/>
  <c r="I23" i="23"/>
  <c r="F293" i="9"/>
  <c r="I79" i="23"/>
  <c r="AF42" i="5"/>
  <c r="W95" i="5"/>
  <c r="Z95" i="5" s="1"/>
  <c r="Q95" i="5" s="1"/>
  <c r="K95" i="18" s="1"/>
  <c r="G95" i="18" s="1"/>
  <c r="F294" i="9"/>
  <c r="H15" i="26"/>
  <c r="F21" i="25" s="1"/>
  <c r="AJ111" i="23"/>
  <c r="AL111" i="23" s="1"/>
  <c r="N111" i="23" s="1"/>
  <c r="I50" i="23"/>
  <c r="I159" i="23"/>
  <c r="N50" i="23"/>
  <c r="J50" i="23"/>
  <c r="I29" i="23"/>
  <c r="J90" i="23"/>
  <c r="J29" i="23"/>
  <c r="AJ90" i="23"/>
  <c r="AL90" i="23" s="1"/>
  <c r="AM90" i="23" s="1"/>
  <c r="I90" i="23"/>
  <c r="G189" i="18"/>
  <c r="AF144" i="5"/>
  <c r="O158" i="25"/>
  <c r="I53" i="23"/>
  <c r="AF129" i="5"/>
  <c r="O62" i="25"/>
  <c r="G144" i="18"/>
  <c r="J326" i="8"/>
  <c r="I164" i="23"/>
  <c r="K156" i="23"/>
  <c r="AF123" i="5"/>
  <c r="J20" i="25"/>
  <c r="AJ156" i="23"/>
  <c r="AL156" i="23" s="1"/>
  <c r="N156" i="23" s="1"/>
  <c r="I109" i="23"/>
  <c r="I45" i="23"/>
  <c r="G141" i="18"/>
  <c r="J158" i="25"/>
  <c r="G140" i="18"/>
  <c r="J127" i="25"/>
  <c r="K45" i="23"/>
  <c r="J45" i="23"/>
  <c r="J156" i="23"/>
  <c r="J164" i="23"/>
  <c r="G143" i="18"/>
  <c r="O127" i="25"/>
  <c r="K164" i="23"/>
  <c r="AF124" i="5"/>
  <c r="J32" i="25"/>
  <c r="AJ31" i="23"/>
  <c r="AL31" i="23" s="1"/>
  <c r="N31" i="23" s="1"/>
  <c r="J31" i="23"/>
  <c r="K31" i="23"/>
  <c r="J185" i="23"/>
  <c r="K185" i="23"/>
  <c r="AJ185" i="23"/>
  <c r="AL185" i="23" s="1"/>
  <c r="AM185" i="23" s="1"/>
  <c r="F296" i="9"/>
  <c r="F295" i="9"/>
  <c r="J142" i="23"/>
  <c r="AJ142" i="23"/>
  <c r="AL142" i="23" s="1"/>
  <c r="N142" i="23" s="1"/>
  <c r="I27" i="23"/>
  <c r="K27" i="23"/>
  <c r="J109" i="23"/>
  <c r="K109" i="23"/>
  <c r="N42" i="18"/>
  <c r="H42" i="18" s="1"/>
  <c r="N123" i="18"/>
  <c r="H123" i="18" s="1"/>
  <c r="G87" i="18"/>
  <c r="AF90" i="5"/>
  <c r="G90" i="18"/>
  <c r="I138" i="23"/>
  <c r="J285" i="8"/>
  <c r="AF58" i="5"/>
  <c r="J168" i="13"/>
  <c r="J167" i="13" s="1"/>
  <c r="J138" i="23"/>
  <c r="G37" i="18"/>
  <c r="AF160" i="5"/>
  <c r="AF102" i="5"/>
  <c r="K125" i="23"/>
  <c r="J125" i="23"/>
  <c r="I142" i="23"/>
  <c r="AJ138" i="23"/>
  <c r="AL138" i="23" s="1"/>
  <c r="N138" i="23" s="1"/>
  <c r="J361" i="9"/>
  <c r="N16" i="18"/>
  <c r="O91" i="8" s="1"/>
  <c r="G43" i="18"/>
  <c r="I40" i="18" s="1"/>
  <c r="J112" i="23"/>
  <c r="AF30" i="5"/>
  <c r="AF27" i="5"/>
  <c r="N135" i="18"/>
  <c r="AH135" i="5" s="1"/>
  <c r="J239" i="8"/>
  <c r="J399" i="8"/>
  <c r="I155" i="23"/>
  <c r="J389" i="8"/>
  <c r="AF39" i="5"/>
  <c r="J458" i="8"/>
  <c r="J155" i="23"/>
  <c r="G50" i="18"/>
  <c r="K112" i="23"/>
  <c r="AJ112" i="23"/>
  <c r="AL112" i="23" s="1"/>
  <c r="N112" i="23" s="1"/>
  <c r="AJ158" i="23"/>
  <c r="AL158" i="23" s="1"/>
  <c r="N158" i="23" s="1"/>
  <c r="G191" i="18"/>
  <c r="AF26" i="5"/>
  <c r="G171" i="18"/>
  <c r="I168" i="18" s="1"/>
  <c r="N29" i="18"/>
  <c r="AH29" i="5" s="1"/>
  <c r="AF191" i="5"/>
  <c r="AF171" i="5"/>
  <c r="N68" i="18"/>
  <c r="AH68" i="5" s="1"/>
  <c r="J83" i="14"/>
  <c r="J82" i="14" s="1"/>
  <c r="N139" i="18"/>
  <c r="AH139" i="5" s="1"/>
  <c r="AF97" i="5"/>
  <c r="J262" i="9"/>
  <c r="J261" i="9" s="1"/>
  <c r="K176" i="23"/>
  <c r="G24" i="18"/>
  <c r="AF96" i="5"/>
  <c r="AF137" i="5"/>
  <c r="N176" i="18"/>
  <c r="H176" i="18" s="1"/>
  <c r="G99" i="18"/>
  <c r="AF106" i="5"/>
  <c r="O229" i="8"/>
  <c r="O228" i="8" s="1"/>
  <c r="N149" i="18"/>
  <c r="AH149" i="5" s="1"/>
  <c r="AF11" i="5"/>
  <c r="G67" i="18"/>
  <c r="I64" i="18" s="1"/>
  <c r="AF29" i="5"/>
  <c r="J396" i="9"/>
  <c r="J395" i="9" s="1"/>
  <c r="N167" i="18"/>
  <c r="H167" i="18" s="1"/>
  <c r="AF87" i="5"/>
  <c r="N66" i="18"/>
  <c r="H66" i="18" s="1"/>
  <c r="AF125" i="5"/>
  <c r="N39" i="18"/>
  <c r="H39" i="18" s="1"/>
  <c r="G11" i="18"/>
  <c r="AJ148" i="23"/>
  <c r="AL148" i="23" s="1"/>
  <c r="N148" i="23" s="1"/>
  <c r="AF57" i="5"/>
  <c r="AF86" i="5"/>
  <c r="AD162" i="23"/>
  <c r="AF162" i="23" s="1"/>
  <c r="AG162" i="23" s="1"/>
  <c r="Z162" i="23" s="1"/>
  <c r="AI162" i="23" s="1"/>
  <c r="K162" i="23" s="1"/>
  <c r="J142" i="8"/>
  <c r="I191" i="23"/>
  <c r="AF170" i="5"/>
  <c r="AF72" i="5"/>
  <c r="G19" i="18"/>
  <c r="AF179" i="5"/>
  <c r="AF110" i="5"/>
  <c r="N82" i="18"/>
  <c r="AH82" i="5" s="1"/>
  <c r="N184" i="18"/>
  <c r="AH184" i="5" s="1"/>
  <c r="J222" i="13"/>
  <c r="J221" i="13" s="1"/>
  <c r="J67" i="9"/>
  <c r="AF16" i="5"/>
  <c r="G179" i="18"/>
  <c r="J416" i="9"/>
  <c r="J415" i="9" s="1"/>
  <c r="AF66" i="5"/>
  <c r="AF157" i="5"/>
  <c r="AF25" i="5"/>
  <c r="N77" i="18"/>
  <c r="AH77" i="5" s="1"/>
  <c r="N166" i="18"/>
  <c r="I158" i="23"/>
  <c r="I176" i="23"/>
  <c r="AF161" i="5"/>
  <c r="AF43" i="5"/>
  <c r="J91" i="8"/>
  <c r="AF67" i="5"/>
  <c r="AF24" i="5"/>
  <c r="J25" i="9"/>
  <c r="J112" i="13"/>
  <c r="J202" i="8"/>
  <c r="J201" i="8" s="1"/>
  <c r="N91" i="18"/>
  <c r="H91" i="18" s="1"/>
  <c r="J170" i="8"/>
  <c r="J169" i="8" s="1"/>
  <c r="J330" i="9"/>
  <c r="J329" i="9" s="1"/>
  <c r="K155" i="23"/>
  <c r="AF135" i="5"/>
  <c r="AF52" i="5"/>
  <c r="G86" i="18"/>
  <c r="AF173" i="5"/>
  <c r="J158" i="23"/>
  <c r="J137" i="13"/>
  <c r="J136" i="13" s="1"/>
  <c r="N9" i="18"/>
  <c r="H9" i="18" s="1"/>
  <c r="N112" i="18"/>
  <c r="H112" i="18" s="1"/>
  <c r="G23" i="18"/>
  <c r="N75" i="18"/>
  <c r="AH75" i="5" s="1"/>
  <c r="N151" i="18"/>
  <c r="N41" i="18"/>
  <c r="O317" i="8" s="1"/>
  <c r="N80" i="18"/>
  <c r="H80" i="18" s="1"/>
  <c r="AF92" i="5"/>
  <c r="J76" i="23"/>
  <c r="AF88" i="5"/>
  <c r="K76" i="23"/>
  <c r="I54" i="23"/>
  <c r="I76" i="23"/>
  <c r="J54" i="23"/>
  <c r="I77" i="23"/>
  <c r="J144" i="14"/>
  <c r="J143" i="14" s="1"/>
  <c r="J77" i="23"/>
  <c r="G185" i="18"/>
  <c r="K77" i="23"/>
  <c r="G60" i="18"/>
  <c r="I59" i="18" s="1"/>
  <c r="D60" i="18" s="1"/>
  <c r="AA60" i="5" s="1"/>
  <c r="AJ128" i="23"/>
  <c r="AL128" i="23" s="1"/>
  <c r="N128" i="23" s="1"/>
  <c r="J128" i="13"/>
  <c r="J127" i="13" s="1"/>
  <c r="G159" i="18"/>
  <c r="I158" i="18" s="1"/>
  <c r="J12" i="10"/>
  <c r="AJ187" i="23"/>
  <c r="AL187" i="23" s="1"/>
  <c r="AM187" i="23" s="1"/>
  <c r="J183" i="23"/>
  <c r="AJ183" i="23"/>
  <c r="AL183" i="23" s="1"/>
  <c r="N183" i="23" s="1"/>
  <c r="K183" i="23"/>
  <c r="G113" i="18"/>
  <c r="AF103" i="5"/>
  <c r="G132" i="18"/>
  <c r="AF15" i="5"/>
  <c r="J152" i="23"/>
  <c r="K152" i="23"/>
  <c r="K26" i="23"/>
  <c r="J372" i="9"/>
  <c r="AH6" i="5"/>
  <c r="AE6" i="23" s="1"/>
  <c r="AF34" i="23" s="1"/>
  <c r="AG34" i="23" s="1"/>
  <c r="Z34" i="23" s="1"/>
  <c r="AF31" i="5"/>
  <c r="I17" i="23"/>
  <c r="J28" i="23"/>
  <c r="J193" i="14"/>
  <c r="J192" i="14" s="1"/>
  <c r="J37" i="14"/>
  <c r="J36" i="14" s="1"/>
  <c r="J128" i="23"/>
  <c r="J188" i="13"/>
  <c r="J187" i="13" s="1"/>
  <c r="G187" i="18"/>
  <c r="J126" i="23"/>
  <c r="G108" i="18"/>
  <c r="G98" i="18"/>
  <c r="AF178" i="5"/>
  <c r="G134" i="18"/>
  <c r="AF51" i="5"/>
  <c r="N33" i="18"/>
  <c r="H33" i="18" s="1"/>
  <c r="N62" i="18"/>
  <c r="H62" i="18" s="1"/>
  <c r="N37" i="18"/>
  <c r="O285" i="8" s="1"/>
  <c r="N22" i="18"/>
  <c r="H22" i="18" s="1"/>
  <c r="N67" i="18"/>
  <c r="H67" i="18" s="1"/>
  <c r="N28" i="18"/>
  <c r="H28" i="18" s="1"/>
  <c r="N55" i="18"/>
  <c r="H55" i="18" s="1"/>
  <c r="N71" i="18"/>
  <c r="AH71" i="5" s="1"/>
  <c r="N81" i="18"/>
  <c r="H81" i="18" s="1"/>
  <c r="N70" i="18"/>
  <c r="AH70" i="5" s="1"/>
  <c r="N88" i="18"/>
  <c r="AH88" i="5" s="1"/>
  <c r="N110" i="18"/>
  <c r="H110" i="18" s="1"/>
  <c r="N78" i="18"/>
  <c r="N133" i="18"/>
  <c r="H133" i="18" s="1"/>
  <c r="N116" i="18"/>
  <c r="AH116" i="5" s="1"/>
  <c r="N140" i="18"/>
  <c r="H140" i="18" s="1"/>
  <c r="N162" i="18"/>
  <c r="H162" i="18" s="1"/>
  <c r="N148" i="18"/>
  <c r="AH148" i="5" s="1"/>
  <c r="N174" i="18"/>
  <c r="N146" i="18"/>
  <c r="N182" i="18"/>
  <c r="H182" i="18" s="1"/>
  <c r="N165" i="18"/>
  <c r="AH165" i="5" s="1"/>
  <c r="N192" i="18"/>
  <c r="AH192" i="5" s="1"/>
  <c r="O128" i="13"/>
  <c r="O127" i="13" s="1"/>
  <c r="J211" i="8"/>
  <c r="AF140" i="5"/>
  <c r="AF156" i="5"/>
  <c r="N11" i="18"/>
  <c r="AH11" i="5" s="1"/>
  <c r="N48" i="18"/>
  <c r="N73" i="18"/>
  <c r="AH73" i="5" s="1"/>
  <c r="N40" i="18"/>
  <c r="AH40" i="5" s="1"/>
  <c r="N51" i="18"/>
  <c r="AH51" i="5" s="1"/>
  <c r="N17" i="18"/>
  <c r="H17" i="18" s="1"/>
  <c r="N30" i="18"/>
  <c r="H30" i="18" s="1"/>
  <c r="N43" i="18"/>
  <c r="H43" i="18" s="1"/>
  <c r="N89" i="18"/>
  <c r="AH89" i="5" s="1"/>
  <c r="N102" i="18"/>
  <c r="O361" i="9" s="1"/>
  <c r="N79" i="18"/>
  <c r="AH79" i="5" s="1"/>
  <c r="N95" i="18"/>
  <c r="H95" i="18" s="1"/>
  <c r="N118" i="18"/>
  <c r="H118" i="18" s="1"/>
  <c r="N100" i="18"/>
  <c r="N94" i="18"/>
  <c r="AH94" i="5" s="1"/>
  <c r="N126" i="18"/>
  <c r="H126" i="18" s="1"/>
  <c r="N137" i="18"/>
  <c r="H137" i="18" s="1"/>
  <c r="N172" i="18"/>
  <c r="H172" i="18" s="1"/>
  <c r="N150" i="18"/>
  <c r="H150" i="18" s="1"/>
  <c r="N183" i="18"/>
  <c r="N155" i="18"/>
  <c r="H155" i="18" s="1"/>
  <c r="N190" i="18"/>
  <c r="H190" i="18" s="1"/>
  <c r="N169" i="18"/>
  <c r="AH169" i="5" s="1"/>
  <c r="AF18" i="5"/>
  <c r="J100" i="13"/>
  <c r="J99" i="13" s="1"/>
  <c r="N13" i="18"/>
  <c r="O39" i="8" s="1"/>
  <c r="K40" i="8" s="1"/>
  <c r="N49" i="18"/>
  <c r="AH49" i="5" s="1"/>
  <c r="N10" i="18"/>
  <c r="N57" i="18"/>
  <c r="O449" i="8" s="1"/>
  <c r="N52" i="18"/>
  <c r="H52" i="18" s="1"/>
  <c r="N19" i="18"/>
  <c r="AH19" i="5" s="1"/>
  <c r="N31" i="18"/>
  <c r="H31" i="18" s="1"/>
  <c r="N44" i="18"/>
  <c r="O351" i="8" s="1"/>
  <c r="N90" i="18"/>
  <c r="H90" i="18" s="1"/>
  <c r="N103" i="18"/>
  <c r="H103" i="18" s="1"/>
  <c r="N83" i="18"/>
  <c r="H83" i="18" s="1"/>
  <c r="N96" i="18"/>
  <c r="H96" i="18" s="1"/>
  <c r="N122" i="18"/>
  <c r="H122" i="18" s="1"/>
  <c r="N108" i="18"/>
  <c r="H108" i="18" s="1"/>
  <c r="N98" i="18"/>
  <c r="H98" i="18" s="1"/>
  <c r="N127" i="18"/>
  <c r="AH127" i="5" s="1"/>
  <c r="N141" i="18"/>
  <c r="H141" i="18" s="1"/>
  <c r="N173" i="18"/>
  <c r="H173" i="18" s="1"/>
  <c r="N154" i="18"/>
  <c r="H154" i="18" s="1"/>
  <c r="N185" i="18"/>
  <c r="H185" i="18" s="1"/>
  <c r="N160" i="18"/>
  <c r="AH160" i="5" s="1"/>
  <c r="N191" i="18"/>
  <c r="AH191" i="5" s="1"/>
  <c r="N170" i="18"/>
  <c r="H170" i="18" s="1"/>
  <c r="J125" i="8"/>
  <c r="AF28" i="5"/>
  <c r="AF111" i="5"/>
  <c r="AF46" i="5"/>
  <c r="N12" i="18"/>
  <c r="AH12" i="5" s="1"/>
  <c r="N53" i="18"/>
  <c r="AH53" i="5" s="1"/>
  <c r="N15" i="18"/>
  <c r="H15" i="18" s="1"/>
  <c r="N60" i="18"/>
  <c r="H60" i="18" s="1"/>
  <c r="N56" i="18"/>
  <c r="H56" i="18" s="1"/>
  <c r="N23" i="18"/>
  <c r="H23" i="18" s="1"/>
  <c r="N34" i="18"/>
  <c r="H34" i="18" s="1"/>
  <c r="N45" i="18"/>
  <c r="AH45" i="5" s="1"/>
  <c r="N92" i="18"/>
  <c r="H92" i="18" s="1"/>
  <c r="N109" i="18"/>
  <c r="AH109" i="5" s="1"/>
  <c r="N84" i="18"/>
  <c r="AH84" i="5" s="1"/>
  <c r="N97" i="18"/>
  <c r="AH97" i="5" s="1"/>
  <c r="N124" i="18"/>
  <c r="AH124" i="5" s="1"/>
  <c r="N115" i="18"/>
  <c r="H115" i="18" s="1"/>
  <c r="J114" i="18" s="1"/>
  <c r="E115" i="18" s="1"/>
  <c r="AC115" i="5" s="1"/>
  <c r="N101" i="18"/>
  <c r="AH101" i="5" s="1"/>
  <c r="N128" i="18"/>
  <c r="H128" i="18" s="1"/>
  <c r="N145" i="18"/>
  <c r="AH145" i="5" s="1"/>
  <c r="N178" i="18"/>
  <c r="H178" i="18" s="1"/>
  <c r="N157" i="18"/>
  <c r="H157" i="18" s="1"/>
  <c r="N194" i="18"/>
  <c r="H194" i="18" s="1"/>
  <c r="N164" i="18"/>
  <c r="H164" i="18" s="1"/>
  <c r="N193" i="18"/>
  <c r="H193" i="18" s="1"/>
  <c r="N171" i="18"/>
  <c r="H171" i="18" s="1"/>
  <c r="E79" i="17"/>
  <c r="AF128" i="5"/>
  <c r="J229" i="8"/>
  <c r="J228" i="8" s="1"/>
  <c r="O416" i="9"/>
  <c r="O415" i="9" s="1"/>
  <c r="AF84" i="5"/>
  <c r="J359" i="8"/>
  <c r="N14" i="18"/>
  <c r="AH14" i="5" s="1"/>
  <c r="N54" i="18"/>
  <c r="AH54" i="5" s="1"/>
  <c r="N18" i="18"/>
  <c r="H18" i="18" s="1"/>
  <c r="N65" i="18"/>
  <c r="H65" i="18" s="1"/>
  <c r="N59" i="18"/>
  <c r="AH59" i="5" s="1"/>
  <c r="N24" i="18"/>
  <c r="AH24" i="5" s="1"/>
  <c r="N35" i="18"/>
  <c r="N46" i="18"/>
  <c r="O359" i="8" s="1"/>
  <c r="N93" i="18"/>
  <c r="AH93" i="5" s="1"/>
  <c r="N125" i="18"/>
  <c r="H125" i="18" s="1"/>
  <c r="N85" i="18"/>
  <c r="H85" i="18" s="1"/>
  <c r="N104" i="18"/>
  <c r="H104" i="18" s="1"/>
  <c r="N134" i="18"/>
  <c r="H134" i="18" s="1"/>
  <c r="N117" i="18"/>
  <c r="N105" i="18"/>
  <c r="AH105" i="5" s="1"/>
  <c r="N131" i="18"/>
  <c r="H131" i="18" s="1"/>
  <c r="N153" i="18"/>
  <c r="H153" i="18" s="1"/>
  <c r="N181" i="18"/>
  <c r="AH178" i="5" s="1"/>
  <c r="N159" i="18"/>
  <c r="H159" i="18" s="1"/>
  <c r="N142" i="18"/>
  <c r="AH142" i="5" s="1"/>
  <c r="N177" i="18"/>
  <c r="AH177" i="5" s="1"/>
  <c r="N147" i="18"/>
  <c r="H147" i="18" s="1"/>
  <c r="N175" i="18"/>
  <c r="H175" i="18" s="1"/>
  <c r="AF108" i="5"/>
  <c r="AF98" i="5"/>
  <c r="AF45" i="5"/>
  <c r="O218" i="9"/>
  <c r="O217" i="9" s="1"/>
  <c r="N20" i="18"/>
  <c r="N58" i="18"/>
  <c r="H58" i="18" s="1"/>
  <c r="N32" i="18"/>
  <c r="N74" i="18"/>
  <c r="AH74" i="5" s="1"/>
  <c r="N63" i="18"/>
  <c r="N26" i="18"/>
  <c r="H26" i="18" s="1"/>
  <c r="N38" i="18"/>
  <c r="H38" i="18" s="1"/>
  <c r="N47" i="18"/>
  <c r="O370" i="8" s="1"/>
  <c r="N113" i="18"/>
  <c r="H113" i="18" s="1"/>
  <c r="N130" i="18"/>
  <c r="H130" i="18" s="1"/>
  <c r="N86" i="18"/>
  <c r="AH86" i="5" s="1"/>
  <c r="N106" i="18"/>
  <c r="AH106" i="5" s="1"/>
  <c r="N72" i="18"/>
  <c r="O67" i="9" s="1"/>
  <c r="N121" i="18"/>
  <c r="H121" i="18" s="1"/>
  <c r="N111" i="18"/>
  <c r="H111" i="18" s="1"/>
  <c r="N132" i="18"/>
  <c r="H132" i="18" s="1"/>
  <c r="N156" i="18"/>
  <c r="H156" i="18" s="1"/>
  <c r="N186" i="18"/>
  <c r="AH186" i="5" s="1"/>
  <c r="N163" i="18"/>
  <c r="H163" i="18" s="1"/>
  <c r="N143" i="18"/>
  <c r="H143" i="18" s="1"/>
  <c r="N179" i="18"/>
  <c r="H179" i="18" s="1"/>
  <c r="N152" i="18"/>
  <c r="AH152" i="5" s="1"/>
  <c r="N187" i="18"/>
  <c r="H187" i="18" s="1"/>
  <c r="G70" i="18"/>
  <c r="N25" i="18"/>
  <c r="H25" i="18" s="1"/>
  <c r="N61" i="18"/>
  <c r="H61" i="18" s="1"/>
  <c r="N36" i="18"/>
  <c r="AH36" i="5" s="1"/>
  <c r="N21" i="18"/>
  <c r="AH21" i="5" s="1"/>
  <c r="N64" i="18"/>
  <c r="AH64" i="5" s="1"/>
  <c r="N27" i="18"/>
  <c r="J220" i="8" s="1"/>
  <c r="J219" i="8" s="1"/>
  <c r="N50" i="18"/>
  <c r="H50" i="18" s="1"/>
  <c r="N69" i="18"/>
  <c r="O47" i="9" s="1"/>
  <c r="N119" i="18"/>
  <c r="AH119" i="5" s="1"/>
  <c r="N138" i="18"/>
  <c r="N87" i="18"/>
  <c r="H87" i="18" s="1"/>
  <c r="N107" i="18"/>
  <c r="AH107" i="5" s="1"/>
  <c r="N76" i="18"/>
  <c r="AH76" i="5" s="1"/>
  <c r="N129" i="18"/>
  <c r="H129" i="18" s="1"/>
  <c r="N114" i="18"/>
  <c r="N136" i="18"/>
  <c r="H136" i="18" s="1"/>
  <c r="N158" i="18"/>
  <c r="N188" i="18"/>
  <c r="AH188" i="5" s="1"/>
  <c r="N168" i="18"/>
  <c r="AH168" i="5" s="1"/>
  <c r="N144" i="18"/>
  <c r="H144" i="18" s="1"/>
  <c r="N180" i="18"/>
  <c r="H180" i="18" s="1"/>
  <c r="N161" i="18"/>
  <c r="AH161" i="5" s="1"/>
  <c r="AJ152" i="23"/>
  <c r="AL152" i="23" s="1"/>
  <c r="N152" i="23" s="1"/>
  <c r="J17" i="23"/>
  <c r="K28" i="23"/>
  <c r="E50" i="16"/>
  <c r="AJ75" i="23"/>
  <c r="AL75" i="23" s="1"/>
  <c r="N75" i="23" s="1"/>
  <c r="E57" i="17"/>
  <c r="G155" i="18"/>
  <c r="AF69" i="5"/>
  <c r="I75" i="23"/>
  <c r="AF130" i="5"/>
  <c r="AJ25" i="23"/>
  <c r="AL25" i="23" s="1"/>
  <c r="N25" i="23" s="1"/>
  <c r="AJ28" i="23"/>
  <c r="AL28" i="23" s="1"/>
  <c r="N28" i="23" s="1"/>
  <c r="K75" i="23"/>
  <c r="I26" i="23"/>
  <c r="J469" i="8"/>
  <c r="J468" i="8" s="1"/>
  <c r="G47" i="18"/>
  <c r="AF13" i="5"/>
  <c r="J39" i="8"/>
  <c r="F40" i="8" s="1"/>
  <c r="F45" i="8" s="1"/>
  <c r="AF83" i="5"/>
  <c r="G194" i="18"/>
  <c r="AM23" i="23"/>
  <c r="AF154" i="5"/>
  <c r="G109" i="18"/>
  <c r="AF65" i="5"/>
  <c r="J70" i="13"/>
  <c r="J69" i="13" s="1"/>
  <c r="I44" i="18"/>
  <c r="D46" i="18" s="1"/>
  <c r="AA46" i="5" s="1"/>
  <c r="R46" i="5" s="1"/>
  <c r="AF150" i="5"/>
  <c r="O24" i="13"/>
  <c r="O23" i="13" s="1"/>
  <c r="AF143" i="5"/>
  <c r="J124" i="23"/>
  <c r="J204" i="14"/>
  <c r="J203" i="14" s="1"/>
  <c r="J370" i="8"/>
  <c r="O406" i="9"/>
  <c r="O405" i="9" s="1"/>
  <c r="J263" i="14"/>
  <c r="J262" i="14" s="1"/>
  <c r="AF104" i="5"/>
  <c r="G181" i="18"/>
  <c r="AF81" i="5"/>
  <c r="G83" i="18"/>
  <c r="G52" i="18"/>
  <c r="AF17" i="5"/>
  <c r="O207" i="9"/>
  <c r="O206" i="9" s="1"/>
  <c r="AF34" i="5"/>
  <c r="J14" i="9"/>
  <c r="G88" i="18"/>
  <c r="AF61" i="5"/>
  <c r="K53" i="23"/>
  <c r="K131" i="23"/>
  <c r="J153" i="23"/>
  <c r="AF169" i="5"/>
  <c r="AF163" i="5"/>
  <c r="J108" i="8"/>
  <c r="O273" i="8"/>
  <c r="O272" i="8" s="1"/>
  <c r="AF56" i="5"/>
  <c r="O469" i="8"/>
  <c r="O468" i="8" s="1"/>
  <c r="I131" i="23"/>
  <c r="K153" i="23"/>
  <c r="AF190" i="5"/>
  <c r="J146" i="13"/>
  <c r="J145" i="13" s="1"/>
  <c r="AF147" i="5"/>
  <c r="J438" i="8"/>
  <c r="G426" i="8" s="1"/>
  <c r="G107" i="18"/>
  <c r="AF22" i="5"/>
  <c r="J131" i="23"/>
  <c r="J214" i="14"/>
  <c r="J213" i="14" s="1"/>
  <c r="J13" i="13"/>
  <c r="J12" i="13" s="1"/>
  <c r="J172" i="14"/>
  <c r="J171" i="14" s="1"/>
  <c r="G193" i="18"/>
  <c r="AF95" i="5"/>
  <c r="J154" i="8"/>
  <c r="O121" i="6"/>
  <c r="L121" i="6"/>
  <c r="I141" i="23"/>
  <c r="J150" i="23"/>
  <c r="G167" i="18"/>
  <c r="AF180" i="5"/>
  <c r="AF73" i="5"/>
  <c r="AF44" i="5"/>
  <c r="G176" i="18"/>
  <c r="J74" i="8"/>
  <c r="G165" i="18"/>
  <c r="J256" i="8"/>
  <c r="J141" i="23"/>
  <c r="K150" i="23"/>
  <c r="J74" i="23"/>
  <c r="J146" i="23"/>
  <c r="AF153" i="5"/>
  <c r="J103" i="14"/>
  <c r="J102" i="14" s="1"/>
  <c r="J351" i="8"/>
  <c r="G91" i="18"/>
  <c r="AF175" i="5"/>
  <c r="AF119" i="5"/>
  <c r="K141" i="23"/>
  <c r="AJ150" i="23"/>
  <c r="AL150" i="23" s="1"/>
  <c r="N150" i="23" s="1"/>
  <c r="K74" i="23"/>
  <c r="I146" i="23"/>
  <c r="J60" i="13"/>
  <c r="J59" i="13" s="1"/>
  <c r="AF94" i="5"/>
  <c r="G175" i="18"/>
  <c r="J99" i="10"/>
  <c r="AF182" i="5"/>
  <c r="G53" i="18"/>
  <c r="L127" i="6"/>
  <c r="K146" i="23"/>
  <c r="J187" i="23"/>
  <c r="AJ74" i="23"/>
  <c r="AL74" i="23" s="1"/>
  <c r="N74" i="23" s="1"/>
  <c r="K128" i="23"/>
  <c r="K187" i="23"/>
  <c r="AF80" i="5"/>
  <c r="J57" i="9"/>
  <c r="J56" i="9" s="1"/>
  <c r="AF85" i="5"/>
  <c r="AF120" i="5"/>
  <c r="J207" i="9"/>
  <c r="J206" i="9" s="1"/>
  <c r="J229" i="9"/>
  <c r="J228" i="9" s="1"/>
  <c r="N53" i="23"/>
  <c r="AM53" i="23"/>
  <c r="AF71" i="5"/>
  <c r="G55" i="18"/>
  <c r="I54" i="18" s="1"/>
  <c r="J417" i="8"/>
  <c r="J47" i="9"/>
  <c r="AF38" i="5"/>
  <c r="I157" i="23"/>
  <c r="I153" i="23"/>
  <c r="J157" i="23"/>
  <c r="J53" i="23"/>
  <c r="AJ17" i="23"/>
  <c r="AL17" i="23" s="1"/>
  <c r="N17" i="23" s="1"/>
  <c r="J11" i="23"/>
  <c r="G133" i="18"/>
  <c r="AF116" i="5"/>
  <c r="J449" i="8"/>
  <c r="J211" i="13"/>
  <c r="J210" i="13" s="1"/>
  <c r="AF75" i="5"/>
  <c r="AF149" i="5"/>
  <c r="AF33" i="5"/>
  <c r="AF186" i="5"/>
  <c r="AF164" i="5"/>
  <c r="J384" i="9"/>
  <c r="G116" i="18"/>
  <c r="K157" i="23"/>
  <c r="I11" i="23"/>
  <c r="AF162" i="5"/>
  <c r="AF118" i="5"/>
  <c r="J85" i="9"/>
  <c r="J84" i="9" s="1"/>
  <c r="AF41" i="5"/>
  <c r="AF141" i="5"/>
  <c r="J24" i="13"/>
  <c r="J23" i="13" s="1"/>
  <c r="J273" i="8"/>
  <c r="J272" i="8" s="1"/>
  <c r="O146" i="13"/>
  <c r="O145" i="13" s="1"/>
  <c r="AF115" i="5"/>
  <c r="AF136" i="5"/>
  <c r="AF77" i="5"/>
  <c r="O137" i="13"/>
  <c r="O136" i="13" s="1"/>
  <c r="AF152" i="5"/>
  <c r="J65" i="10"/>
  <c r="J317" i="8"/>
  <c r="AF126" i="5"/>
  <c r="AF76" i="5"/>
  <c r="AJ124" i="23"/>
  <c r="AL124" i="23" s="1"/>
  <c r="N124" i="23" s="1"/>
  <c r="K124" i="23"/>
  <c r="AF181" i="5"/>
  <c r="J183" i="9"/>
  <c r="J182" i="9" s="1"/>
  <c r="J43" i="13"/>
  <c r="J42" i="13" s="1"/>
  <c r="AF155" i="5"/>
  <c r="AF91" i="5"/>
  <c r="AF127" i="5"/>
  <c r="AF131" i="5"/>
  <c r="AF55" i="5"/>
  <c r="AF193" i="5"/>
  <c r="AF107" i="5"/>
  <c r="J131" i="9"/>
  <c r="AF12" i="5"/>
  <c r="J120" i="23"/>
  <c r="I120" i="23"/>
  <c r="K120" i="23"/>
  <c r="AJ54" i="23"/>
  <c r="AL54" i="23" s="1"/>
  <c r="AM54" i="23" s="1"/>
  <c r="I127" i="23"/>
  <c r="K127" i="23"/>
  <c r="J127" i="23"/>
  <c r="K148" i="23"/>
  <c r="J191" i="23"/>
  <c r="I148" i="23"/>
  <c r="AJ191" i="23"/>
  <c r="AL191" i="23" s="1"/>
  <c r="AM191" i="23" s="1"/>
  <c r="I32" i="18"/>
  <c r="D33" i="18" s="1"/>
  <c r="AA33" i="5" s="1"/>
  <c r="I126" i="23"/>
  <c r="AJ82" i="23"/>
  <c r="AL82" i="23" s="1"/>
  <c r="N82" i="23" s="1"/>
  <c r="K82" i="23"/>
  <c r="I82" i="23"/>
  <c r="J82" i="23"/>
  <c r="I165" i="23"/>
  <c r="K83" i="23"/>
  <c r="AJ83" i="23"/>
  <c r="AL83" i="23" s="1"/>
  <c r="N83" i="23" s="1"/>
  <c r="J83" i="23"/>
  <c r="I83" i="23"/>
  <c r="K18" i="6"/>
  <c r="L10" i="6"/>
  <c r="K12" i="6"/>
  <c r="K16" i="6"/>
  <c r="K15" i="6"/>
  <c r="K13" i="6"/>
  <c r="K26" i="6"/>
  <c r="L26" i="6" s="1"/>
  <c r="R26" i="6" s="1"/>
  <c r="K17" i="6"/>
  <c r="K14" i="6"/>
  <c r="K11" i="6"/>
  <c r="J165" i="23"/>
  <c r="K109" i="6"/>
  <c r="L109" i="6" s="1"/>
  <c r="K108" i="6"/>
  <c r="L108" i="6" s="1"/>
  <c r="K104" i="6"/>
  <c r="L104" i="6" s="1"/>
  <c r="K111" i="6"/>
  <c r="L111" i="6" s="1"/>
  <c r="L103" i="6"/>
  <c r="K106" i="6"/>
  <c r="L106" i="6" s="1"/>
  <c r="K110" i="6"/>
  <c r="L110" i="6" s="1"/>
  <c r="K105" i="6"/>
  <c r="L105" i="6" s="1"/>
  <c r="K107" i="6"/>
  <c r="L107" i="6" s="1"/>
  <c r="K165" i="23"/>
  <c r="AJ73" i="23"/>
  <c r="AL73" i="23" s="1"/>
  <c r="N73" i="23" s="1"/>
  <c r="K73" i="23"/>
  <c r="I73" i="23"/>
  <c r="J73" i="23"/>
  <c r="J98" i="23"/>
  <c r="I98" i="23"/>
  <c r="AJ125" i="23"/>
  <c r="AL125" i="23" s="1"/>
  <c r="N125" i="23" s="1"/>
  <c r="K98" i="23"/>
  <c r="I117" i="18"/>
  <c r="D119" i="18" s="1"/>
  <c r="AA119" i="5" s="1"/>
  <c r="R119" i="5" s="1"/>
  <c r="I79" i="18"/>
  <c r="D81" i="18" s="1"/>
  <c r="AA81" i="5" s="1"/>
  <c r="R81" i="5" s="1"/>
  <c r="I101" i="18"/>
  <c r="F84" i="6"/>
  <c r="F82" i="6"/>
  <c r="F85" i="6"/>
  <c r="F83" i="6"/>
  <c r="F81" i="6"/>
  <c r="I124" i="18"/>
  <c r="F278" i="9"/>
  <c r="F277" i="9"/>
  <c r="J272" i="9"/>
  <c r="F276" i="9"/>
  <c r="F279" i="9"/>
  <c r="F275" i="9"/>
  <c r="W94" i="5"/>
  <c r="Z94" i="5" s="1"/>
  <c r="I126" i="18"/>
  <c r="I14" i="18"/>
  <c r="F60" i="6"/>
  <c r="F58" i="6"/>
  <c r="F61" i="6"/>
  <c r="F59" i="6"/>
  <c r="F57" i="6"/>
  <c r="I11" i="18"/>
  <c r="F42" i="6"/>
  <c r="F40" i="6"/>
  <c r="F43" i="6"/>
  <c r="F41" i="6"/>
  <c r="F39" i="6"/>
  <c r="F72" i="6"/>
  <c r="F70" i="6"/>
  <c r="F73" i="6"/>
  <c r="F71" i="6"/>
  <c r="F69" i="6"/>
  <c r="F48" i="6"/>
  <c r="F46" i="6"/>
  <c r="F49" i="6"/>
  <c r="F47" i="6"/>
  <c r="F45" i="6"/>
  <c r="H189" i="18"/>
  <c r="AH189" i="5"/>
  <c r="Q96" i="5"/>
  <c r="K96" i="18" s="1"/>
  <c r="G96" i="18" s="1"/>
  <c r="AD181" i="23"/>
  <c r="AF181" i="23" s="1"/>
  <c r="AG181" i="23" s="1"/>
  <c r="Z181" i="23" s="1"/>
  <c r="AI181" i="23" s="1"/>
  <c r="AD63" i="23"/>
  <c r="AF63" i="23" s="1"/>
  <c r="AG63" i="23" s="1"/>
  <c r="Z63" i="23" s="1"/>
  <c r="AD118" i="23"/>
  <c r="AF118" i="23" s="1"/>
  <c r="AG118" i="23" s="1"/>
  <c r="Z118" i="23" s="1"/>
  <c r="AI118" i="23" s="1"/>
  <c r="AD96" i="23"/>
  <c r="AF96" i="23" s="1"/>
  <c r="AG96" i="23" s="1"/>
  <c r="Z96" i="23" s="1"/>
  <c r="AI96" i="23" s="1"/>
  <c r="F78" i="6"/>
  <c r="F76" i="6"/>
  <c r="F79" i="6"/>
  <c r="F77" i="6"/>
  <c r="F75" i="6"/>
  <c r="I74" i="18"/>
  <c r="I148" i="18"/>
  <c r="F54" i="6"/>
  <c r="F52" i="6"/>
  <c r="F55" i="6"/>
  <c r="F53" i="6"/>
  <c r="F51" i="6"/>
  <c r="Z124" i="5"/>
  <c r="Z114" i="5"/>
  <c r="Q114" i="5" s="1"/>
  <c r="K114" i="18" s="1"/>
  <c r="G114" i="18" s="1"/>
  <c r="R115" i="5"/>
  <c r="F90" i="6"/>
  <c r="F88" i="6"/>
  <c r="F91" i="6"/>
  <c r="F89" i="6"/>
  <c r="F87" i="6"/>
  <c r="J126" i="6"/>
  <c r="D62" i="16"/>
  <c r="AJ123" i="23"/>
  <c r="AL123" i="23" s="1"/>
  <c r="AM123" i="23" s="1"/>
  <c r="K123" i="23"/>
  <c r="J123" i="23"/>
  <c r="I123" i="23"/>
  <c r="J193" i="23"/>
  <c r="I193" i="23"/>
  <c r="AJ193" i="23"/>
  <c r="AL193" i="23" s="1"/>
  <c r="AM193" i="23" s="1"/>
  <c r="K193" i="23"/>
  <c r="AM137" i="23"/>
  <c r="N137" i="23"/>
  <c r="AM172" i="23"/>
  <c r="AM146" i="23"/>
  <c r="AM164" i="23"/>
  <c r="N147" i="23"/>
  <c r="N146" i="23"/>
  <c r="N122" i="23"/>
  <c r="AM122" i="23"/>
  <c r="N121" i="23"/>
  <c r="AM121" i="23"/>
  <c r="AM87" i="23"/>
  <c r="N87" i="23"/>
  <c r="N160" i="23"/>
  <c r="AM133" i="23"/>
  <c r="N133" i="23"/>
  <c r="AM135" i="23"/>
  <c r="N135" i="23"/>
  <c r="AM48" i="23"/>
  <c r="N48" i="23"/>
  <c r="AM171" i="23"/>
  <c r="N171" i="23"/>
  <c r="N164" i="23"/>
  <c r="AM109" i="23"/>
  <c r="N109" i="23"/>
  <c r="AM134" i="23"/>
  <c r="N134" i="23"/>
  <c r="N167" i="23"/>
  <c r="N90" i="23"/>
  <c r="AM110" i="23"/>
  <c r="N110" i="23"/>
  <c r="U17" i="26" l="1"/>
  <c r="W17" i="26" s="1"/>
  <c r="U18" i="26"/>
  <c r="X18" i="26" s="1"/>
  <c r="O113" i="6"/>
  <c r="O134" i="6" s="1"/>
  <c r="D34" i="16" s="1"/>
  <c r="W20" i="26"/>
  <c r="X20" i="26" s="1"/>
  <c r="D5" i="16"/>
  <c r="E5" i="16" s="1"/>
  <c r="D5" i="17"/>
  <c r="E5" i="17" s="1"/>
  <c r="D12" i="24"/>
  <c r="O35" i="6"/>
  <c r="D8" i="16" s="1"/>
  <c r="F63" i="6"/>
  <c r="O94" i="6" s="1"/>
  <c r="D15" i="16" s="1"/>
  <c r="F65" i="6"/>
  <c r="O96" i="6" s="1"/>
  <c r="D17" i="16" s="1"/>
  <c r="L93" i="6"/>
  <c r="E14" i="16" s="1"/>
  <c r="F66" i="6"/>
  <c r="O97" i="6" s="1"/>
  <c r="D18" i="16" s="1"/>
  <c r="S40" i="24"/>
  <c r="S40" i="4"/>
  <c r="W21" i="26"/>
  <c r="X21" i="26" s="1"/>
  <c r="J157" i="25"/>
  <c r="F67" i="6"/>
  <c r="F64" i="6"/>
  <c r="O95" i="6" s="1"/>
  <c r="D16" i="16" s="1"/>
  <c r="I68" i="18"/>
  <c r="D73" i="18" s="1"/>
  <c r="AA73" i="5" s="1"/>
  <c r="R73" i="5" s="1"/>
  <c r="H84" i="18"/>
  <c r="I139" i="18"/>
  <c r="D140" i="18" s="1"/>
  <c r="AA140" i="5" s="1"/>
  <c r="R140" i="5" s="1"/>
  <c r="I36" i="18"/>
  <c r="D38" i="18" s="1"/>
  <c r="AA38" i="5" s="1"/>
  <c r="R38" i="5" s="1"/>
  <c r="O180" i="8"/>
  <c r="J179" i="8" s="1"/>
  <c r="H160" i="18"/>
  <c r="X17" i="26"/>
  <c r="AD180" i="23"/>
  <c r="AF180" i="23" s="1"/>
  <c r="AG180" i="23" s="1"/>
  <c r="Z180" i="23" s="1"/>
  <c r="AI180" i="23" s="1"/>
  <c r="K180" i="23" s="1"/>
  <c r="AD95" i="23"/>
  <c r="AF95" i="23" s="1"/>
  <c r="AG95" i="23" s="1"/>
  <c r="Z95" i="23" s="1"/>
  <c r="AI95" i="23" s="1"/>
  <c r="I95" i="23" s="1"/>
  <c r="AD117" i="23"/>
  <c r="AF117" i="23" s="1"/>
  <c r="AG117" i="23" s="1"/>
  <c r="Z117" i="23" s="1"/>
  <c r="AI117" i="23" s="1"/>
  <c r="I117" i="23" s="1"/>
  <c r="AH157" i="5"/>
  <c r="AD55" i="23"/>
  <c r="AF55" i="23" s="1"/>
  <c r="AG55" i="23" s="1"/>
  <c r="Z55" i="23" s="1"/>
  <c r="AI55" i="23" s="1"/>
  <c r="AJ55" i="23" s="1"/>
  <c r="AL55" i="23" s="1"/>
  <c r="AM55" i="23" s="1"/>
  <c r="I142" i="18"/>
  <c r="D144" i="18" s="1"/>
  <c r="AA144" i="5" s="1"/>
  <c r="R144" i="5" s="1"/>
  <c r="I188" i="18"/>
  <c r="D191" i="18" s="1"/>
  <c r="AA191" i="5" s="1"/>
  <c r="R191" i="5" s="1"/>
  <c r="J66" i="9"/>
  <c r="H109" i="18"/>
  <c r="AH122" i="5"/>
  <c r="AH61" i="5"/>
  <c r="H116" i="18"/>
  <c r="H13" i="18"/>
  <c r="AH176" i="5"/>
  <c r="AH153" i="5"/>
  <c r="AH138" i="5"/>
  <c r="H191" i="18"/>
  <c r="J188" i="18" s="1"/>
  <c r="E189" i="18" s="1"/>
  <c r="AC189" i="5" s="1"/>
  <c r="H107" i="18"/>
  <c r="J284" i="8"/>
  <c r="H76" i="18"/>
  <c r="AH41" i="5"/>
  <c r="J126" i="25"/>
  <c r="AM138" i="23"/>
  <c r="N185" i="23"/>
  <c r="H106" i="18"/>
  <c r="H41" i="18"/>
  <c r="J40" i="18" s="1"/>
  <c r="O13" i="8"/>
  <c r="J12" i="8" s="1"/>
  <c r="AH63" i="5"/>
  <c r="AH80" i="5"/>
  <c r="H37" i="18"/>
  <c r="J36" i="18" s="1"/>
  <c r="E38" i="18" s="1"/>
  <c r="AC38" i="5" s="1"/>
  <c r="T38" i="5" s="1"/>
  <c r="AH180" i="5"/>
  <c r="H11" i="18"/>
  <c r="AH194" i="5"/>
  <c r="AH65" i="5"/>
  <c r="I89" i="18"/>
  <c r="D90" i="18" s="1"/>
  <c r="AA90" i="5" s="1"/>
  <c r="AH170" i="5"/>
  <c r="AH112" i="5"/>
  <c r="AH123" i="5"/>
  <c r="AH42" i="5"/>
  <c r="N187" i="23"/>
  <c r="O326" i="8"/>
  <c r="J325" i="8" s="1"/>
  <c r="J316" i="8"/>
  <c r="O408" i="8"/>
  <c r="J407" i="8" s="1"/>
  <c r="AH134" i="5"/>
  <c r="AM154" i="23"/>
  <c r="I21" i="18"/>
  <c r="D28" i="18" s="1"/>
  <c r="AA28" i="5" s="1"/>
  <c r="R28" i="5" s="1"/>
  <c r="AH108" i="5"/>
  <c r="H94" i="18"/>
  <c r="H149" i="18"/>
  <c r="J148" i="18" s="1"/>
  <c r="AH37" i="5"/>
  <c r="H72" i="18"/>
  <c r="H181" i="18"/>
  <c r="J177" i="18" s="1"/>
  <c r="H16" i="18"/>
  <c r="J14" i="18" s="1"/>
  <c r="E18" i="18" s="1"/>
  <c r="AC18" i="5" s="1"/>
  <c r="T18" i="5" s="1"/>
  <c r="J142" i="18"/>
  <c r="E143" i="18" s="1"/>
  <c r="AC143" i="5" s="1"/>
  <c r="AH111" i="5"/>
  <c r="H24" i="18"/>
  <c r="AH16" i="5"/>
  <c r="J360" i="9"/>
  <c r="AH39" i="5"/>
  <c r="AH62" i="5"/>
  <c r="H70" i="18"/>
  <c r="H169" i="18"/>
  <c r="J168" i="18" s="1"/>
  <c r="H86" i="18"/>
  <c r="O25" i="9"/>
  <c r="J24" i="9" s="1"/>
  <c r="H29" i="18"/>
  <c r="AH66" i="5"/>
  <c r="H186" i="18"/>
  <c r="J184" i="18" s="1"/>
  <c r="AH87" i="5"/>
  <c r="AH172" i="5"/>
  <c r="H135" i="18"/>
  <c r="J131" i="18" s="1"/>
  <c r="O428" i="8"/>
  <c r="J427" i="8" s="1"/>
  <c r="AH126" i="5"/>
  <c r="O306" i="8"/>
  <c r="J305" i="8" s="1"/>
  <c r="AH187" i="5"/>
  <c r="AH60" i="5"/>
  <c r="AH103" i="5"/>
  <c r="AM111" i="23"/>
  <c r="AH52" i="5"/>
  <c r="AH81" i="5"/>
  <c r="AH137" i="5"/>
  <c r="AH167" i="5"/>
  <c r="AH166" i="5" s="1"/>
  <c r="AH9" i="5"/>
  <c r="AH55" i="5"/>
  <c r="AH15" i="5"/>
  <c r="AH46" i="5"/>
  <c r="I184" i="18"/>
  <c r="D185" i="18" s="1"/>
  <c r="AA185" i="5" s="1"/>
  <c r="R185" i="5" s="1"/>
  <c r="AH30" i="5"/>
  <c r="H46" i="18"/>
  <c r="H124" i="18"/>
  <c r="O239" i="8"/>
  <c r="J238" i="8" s="1"/>
  <c r="AH26" i="5"/>
  <c r="AH164" i="5"/>
  <c r="H97" i="18"/>
  <c r="AH22" i="5"/>
  <c r="O417" i="8"/>
  <c r="J416" i="8" s="1"/>
  <c r="H127" i="18"/>
  <c r="J126" i="18" s="1"/>
  <c r="AH58" i="5"/>
  <c r="AF18" i="23"/>
  <c r="AG18" i="23" s="1"/>
  <c r="Z18" i="23" s="1"/>
  <c r="AI18" i="23" s="1"/>
  <c r="J18" i="23" s="1"/>
  <c r="AH131" i="5"/>
  <c r="AH67" i="5"/>
  <c r="AF67" i="23"/>
  <c r="AG67" i="23" s="1"/>
  <c r="Z67" i="23" s="1"/>
  <c r="AI67" i="23" s="1"/>
  <c r="AJ67" i="23" s="1"/>
  <c r="AL67" i="23" s="1"/>
  <c r="N67" i="23" s="1"/>
  <c r="O154" i="8"/>
  <c r="J153" i="8" s="1"/>
  <c r="H53" i="18"/>
  <c r="AH98" i="5"/>
  <c r="H27" i="18"/>
  <c r="O458" i="8"/>
  <c r="J457" i="8" s="1"/>
  <c r="AH147" i="5"/>
  <c r="AH146" i="5" s="1"/>
  <c r="F42" i="8"/>
  <c r="H165" i="18"/>
  <c r="O142" i="8"/>
  <c r="J141" i="8" s="1"/>
  <c r="AH163" i="5"/>
  <c r="AH72" i="5"/>
  <c r="AF14" i="23"/>
  <c r="AG14" i="23" s="1"/>
  <c r="Z14" i="23" s="1"/>
  <c r="AI14" i="23" s="1"/>
  <c r="K14" i="23" s="1"/>
  <c r="H19" i="18"/>
  <c r="J162" i="23"/>
  <c r="AJ162" i="23"/>
  <c r="AL162" i="23" s="1"/>
  <c r="N162" i="23" s="1"/>
  <c r="I177" i="18"/>
  <c r="D179" i="18" s="1"/>
  <c r="AA179" i="5" s="1"/>
  <c r="R179" i="5" s="1"/>
  <c r="I162" i="23"/>
  <c r="AH110" i="5"/>
  <c r="AH130" i="5"/>
  <c r="AH44" i="5"/>
  <c r="H152" i="18"/>
  <c r="AH102" i="5"/>
  <c r="AH175" i="5"/>
  <c r="AH91" i="5"/>
  <c r="H44" i="18"/>
  <c r="H102" i="18"/>
  <c r="J101" i="18" s="1"/>
  <c r="E103" i="18" s="1"/>
  <c r="AC103" i="5" s="1"/>
  <c r="T103" i="5" s="1"/>
  <c r="H88" i="18"/>
  <c r="AH56" i="5"/>
  <c r="O74" i="8"/>
  <c r="AH31" i="5"/>
  <c r="AH43" i="5"/>
  <c r="H77" i="18"/>
  <c r="O438" i="8"/>
  <c r="J437" i="8" s="1"/>
  <c r="O256" i="8"/>
  <c r="J255" i="8" s="1"/>
  <c r="AH125" i="5"/>
  <c r="N191" i="23"/>
  <c r="H145" i="18"/>
  <c r="J121" i="18" s="1"/>
  <c r="E122" i="18" s="1"/>
  <c r="H12" i="18"/>
  <c r="H119" i="18"/>
  <c r="J117" i="18" s="1"/>
  <c r="E119" i="18" s="1"/>
  <c r="AC119" i="5" s="1"/>
  <c r="T119" i="5" s="1"/>
  <c r="H57" i="18"/>
  <c r="J54" i="18" s="1"/>
  <c r="AF19" i="23"/>
  <c r="AG19" i="23" s="1"/>
  <c r="Z19" i="23" s="1"/>
  <c r="AI19" i="23" s="1"/>
  <c r="K19" i="23" s="1"/>
  <c r="AF36" i="23"/>
  <c r="AG36" i="23" s="1"/>
  <c r="Z36" i="23" s="1"/>
  <c r="AI36" i="23" s="1"/>
  <c r="I36" i="23" s="1"/>
  <c r="AF69" i="23"/>
  <c r="AG69" i="23" s="1"/>
  <c r="Z69" i="23" s="1"/>
  <c r="AI69" i="23" s="1"/>
  <c r="I69" i="23" s="1"/>
  <c r="AH96" i="5"/>
  <c r="AH113" i="5"/>
  <c r="AH17" i="5"/>
  <c r="AF10" i="23"/>
  <c r="AG10" i="23" s="1"/>
  <c r="Z10" i="23" s="1"/>
  <c r="AI10" i="23" s="1"/>
  <c r="K10" i="23" s="1"/>
  <c r="AF71" i="23"/>
  <c r="AG71" i="23" s="1"/>
  <c r="Z71" i="23" s="1"/>
  <c r="AI71" i="23" s="1"/>
  <c r="J71" i="23" s="1"/>
  <c r="AH104" i="5"/>
  <c r="AH100" i="5" s="1"/>
  <c r="O14" i="9"/>
  <c r="J13" i="9" s="1"/>
  <c r="AH92" i="5"/>
  <c r="AH25" i="5"/>
  <c r="O108" i="8"/>
  <c r="J107" i="8" s="1"/>
  <c r="AF106" i="23"/>
  <c r="AG106" i="23" s="1"/>
  <c r="Z106" i="23" s="1"/>
  <c r="AI106" i="23" s="1"/>
  <c r="K106" i="23" s="1"/>
  <c r="AF103" i="23"/>
  <c r="AG103" i="23" s="1"/>
  <c r="Z103" i="23" s="1"/>
  <c r="AI103" i="23" s="1"/>
  <c r="I103" i="23" s="1"/>
  <c r="AF92" i="23"/>
  <c r="AG92" i="23" s="1"/>
  <c r="Z92" i="23" s="1"/>
  <c r="AI92" i="23" s="1"/>
  <c r="I92" i="23" s="1"/>
  <c r="O384" i="9"/>
  <c r="J383" i="9" s="1"/>
  <c r="AH33" i="5"/>
  <c r="AH185" i="5"/>
  <c r="AH190" i="5"/>
  <c r="AF15" i="23"/>
  <c r="AG15" i="23" s="1"/>
  <c r="Z15" i="23" s="1"/>
  <c r="AI15" i="23" s="1"/>
  <c r="J15" i="23" s="1"/>
  <c r="AF177" i="23"/>
  <c r="AG177" i="23" s="1"/>
  <c r="Z177" i="23" s="1"/>
  <c r="AI177" i="23" s="1"/>
  <c r="J177" i="23" s="1"/>
  <c r="AF20" i="23"/>
  <c r="AG20" i="23" s="1"/>
  <c r="Z20" i="23" s="1"/>
  <c r="AI20" i="23" s="1"/>
  <c r="K20" i="23" s="1"/>
  <c r="AH32" i="5"/>
  <c r="AH156" i="5"/>
  <c r="AF12" i="23"/>
  <c r="AG12" i="23" s="1"/>
  <c r="Z12" i="23" s="1"/>
  <c r="AI12" i="23" s="1"/>
  <c r="AJ11" i="23" s="1"/>
  <c r="AL11" i="23" s="1"/>
  <c r="N11" i="23" s="1"/>
  <c r="AF68" i="23"/>
  <c r="AG68" i="23" s="1"/>
  <c r="Z68" i="23" s="1"/>
  <c r="AI68" i="23" s="1"/>
  <c r="K68" i="23" s="1"/>
  <c r="AF38" i="23"/>
  <c r="AG38" i="23" s="1"/>
  <c r="Z38" i="23" s="1"/>
  <c r="AI38" i="23" s="1"/>
  <c r="J38" i="23" s="1"/>
  <c r="AH162" i="5"/>
  <c r="AH57" i="5"/>
  <c r="AF175" i="23"/>
  <c r="AG175" i="23" s="1"/>
  <c r="Z175" i="23" s="1"/>
  <c r="AI175" i="23" s="1"/>
  <c r="AJ175" i="23" s="1"/>
  <c r="AL175" i="23" s="1"/>
  <c r="N175" i="23" s="1"/>
  <c r="AF104" i="23"/>
  <c r="AG104" i="23" s="1"/>
  <c r="Z104" i="23" s="1"/>
  <c r="AI104" i="23" s="1"/>
  <c r="I104" i="23" s="1"/>
  <c r="AF35" i="23"/>
  <c r="AG35" i="23" s="1"/>
  <c r="Z35" i="23" s="1"/>
  <c r="AI35" i="23" s="1"/>
  <c r="J35" i="23" s="1"/>
  <c r="AF9" i="23"/>
  <c r="AG9" i="23" s="1"/>
  <c r="Z9" i="23" s="1"/>
  <c r="AI9" i="23" s="1"/>
  <c r="J9" i="23" s="1"/>
  <c r="AF174" i="23"/>
  <c r="AG174" i="23" s="1"/>
  <c r="Z174" i="23" s="1"/>
  <c r="AI174" i="23" s="1"/>
  <c r="K174" i="23" s="1"/>
  <c r="I192" i="18"/>
  <c r="D194" i="18" s="1"/>
  <c r="AA194" i="5" s="1"/>
  <c r="R194" i="5" s="1"/>
  <c r="AH78" i="5"/>
  <c r="H161" i="18"/>
  <c r="H73" i="18"/>
  <c r="AH48" i="5"/>
  <c r="AH183" i="5"/>
  <c r="AH179" i="5"/>
  <c r="AH133" i="5"/>
  <c r="AH28" i="5"/>
  <c r="O211" i="8"/>
  <c r="J210" i="8" s="1"/>
  <c r="AH193" i="5"/>
  <c r="AH129" i="5"/>
  <c r="AH121" i="5"/>
  <c r="AH115" i="5"/>
  <c r="AH114" i="5" s="1"/>
  <c r="AH23" i="5"/>
  <c r="AH90" i="5"/>
  <c r="AH27" i="5"/>
  <c r="AH13" i="5"/>
  <c r="AH150" i="5"/>
  <c r="J369" i="8"/>
  <c r="J139" i="18"/>
  <c r="E141" i="18" s="1"/>
  <c r="AC141" i="5" s="1"/>
  <c r="T141" i="5" s="1"/>
  <c r="O372" i="9"/>
  <c r="J371" i="9" s="1"/>
  <c r="D45" i="18"/>
  <c r="AA45" i="5" s="1"/>
  <c r="R45" i="5" s="1"/>
  <c r="J129" i="18"/>
  <c r="E130" i="18" s="1"/>
  <c r="AH38" i="5"/>
  <c r="AM124" i="23"/>
  <c r="AH34" i="5"/>
  <c r="AH50" i="5"/>
  <c r="J296" i="8"/>
  <c r="J295" i="8" s="1"/>
  <c r="I131" i="18"/>
  <c r="D134" i="18" s="1"/>
  <c r="AA134" i="5" s="1"/>
  <c r="R134" i="5" s="1"/>
  <c r="AM148" i="23"/>
  <c r="AH173" i="5"/>
  <c r="O389" i="8"/>
  <c r="J388" i="8" s="1"/>
  <c r="AH95" i="5"/>
  <c r="W13" i="5"/>
  <c r="I82" i="18"/>
  <c r="D85" i="18" s="1"/>
  <c r="AA85" i="5" s="1"/>
  <c r="R85" i="5" s="1"/>
  <c r="F44" i="8"/>
  <c r="F41" i="8"/>
  <c r="J350" i="8"/>
  <c r="AH171" i="5"/>
  <c r="AH136" i="5"/>
  <c r="AH132" i="5"/>
  <c r="H51" i="18"/>
  <c r="O125" i="8"/>
  <c r="J124" i="8" s="1"/>
  <c r="F43" i="8"/>
  <c r="H45" i="18"/>
  <c r="H69" i="18"/>
  <c r="H47" i="18"/>
  <c r="O399" i="8"/>
  <c r="J398" i="8" s="1"/>
  <c r="AH18" i="5"/>
  <c r="I105" i="18"/>
  <c r="D108" i="18" s="1"/>
  <c r="AA108" i="5" s="1"/>
  <c r="R108" i="5" s="1"/>
  <c r="AH128" i="5"/>
  <c r="AH155" i="5"/>
  <c r="AH158" i="5"/>
  <c r="AH159" i="5"/>
  <c r="AM73" i="23"/>
  <c r="AH154" i="5"/>
  <c r="AH83" i="5"/>
  <c r="H71" i="18"/>
  <c r="AH69" i="5"/>
  <c r="AH118" i="5"/>
  <c r="AH117" i="5" s="1"/>
  <c r="AH47" i="5"/>
  <c r="AH85" i="5"/>
  <c r="AK213" i="23"/>
  <c r="J46" i="9"/>
  <c r="I49" i="18"/>
  <c r="D51" i="18" s="1"/>
  <c r="AA51" i="5" s="1"/>
  <c r="R51" i="5" s="1"/>
  <c r="D34" i="18"/>
  <c r="AA34" i="5" s="1"/>
  <c r="R34" i="5" s="1"/>
  <c r="AM79" i="23"/>
  <c r="D80" i="18"/>
  <c r="AA80" i="5" s="1"/>
  <c r="R80" i="5" s="1"/>
  <c r="D61" i="18"/>
  <c r="AA61" i="5" s="1"/>
  <c r="R61" i="5" s="1"/>
  <c r="J448" i="8"/>
  <c r="N54" i="23"/>
  <c r="L113" i="6"/>
  <c r="L134" i="6" s="1"/>
  <c r="E34" i="16" s="1"/>
  <c r="T41" i="24" s="1"/>
  <c r="K29" i="6"/>
  <c r="L13" i="6"/>
  <c r="L16" i="6"/>
  <c r="K32" i="6"/>
  <c r="K28" i="6"/>
  <c r="L12" i="6"/>
  <c r="L15" i="6"/>
  <c r="K31" i="6"/>
  <c r="K27" i="6"/>
  <c r="L27" i="6" s="1"/>
  <c r="R27" i="6" s="1"/>
  <c r="L11" i="6"/>
  <c r="L14" i="6"/>
  <c r="K30" i="6"/>
  <c r="L18" i="6"/>
  <c r="K34" i="6"/>
  <c r="L34" i="6" s="1"/>
  <c r="R34" i="6" s="1"/>
  <c r="J59" i="18"/>
  <c r="E60" i="18" s="1"/>
  <c r="AC60" i="5" s="1"/>
  <c r="D118" i="18"/>
  <c r="AA118" i="5" s="1"/>
  <c r="R118" i="5" s="1"/>
  <c r="L17" i="6"/>
  <c r="K33" i="6"/>
  <c r="N123" i="23"/>
  <c r="J192" i="18"/>
  <c r="E194" i="18" s="1"/>
  <c r="AC194" i="5" s="1"/>
  <c r="T194" i="5" s="1"/>
  <c r="AH10" i="5"/>
  <c r="R33" i="5"/>
  <c r="I96" i="23"/>
  <c r="AJ96" i="23"/>
  <c r="AL96" i="23" s="1"/>
  <c r="N96" i="23" s="1"/>
  <c r="J96" i="23"/>
  <c r="K96" i="23"/>
  <c r="D58" i="18"/>
  <c r="AA58" i="5" s="1"/>
  <c r="R58" i="5" s="1"/>
  <c r="D57" i="18"/>
  <c r="AA57" i="5" s="1"/>
  <c r="R57" i="5" s="1"/>
  <c r="D56" i="18"/>
  <c r="AA56" i="5" s="1"/>
  <c r="R56" i="5" s="1"/>
  <c r="D55" i="18"/>
  <c r="AA55" i="5" s="1"/>
  <c r="O98" i="6"/>
  <c r="D19" i="16" s="1"/>
  <c r="L98" i="6"/>
  <c r="E19" i="16" s="1"/>
  <c r="D12" i="18"/>
  <c r="AA12" i="5" s="1"/>
  <c r="R12" i="5" s="1"/>
  <c r="D13" i="18"/>
  <c r="AA13" i="5" s="1"/>
  <c r="R13" i="5" s="1"/>
  <c r="J8" i="18"/>
  <c r="D125" i="18"/>
  <c r="AA125" i="5" s="1"/>
  <c r="R125" i="5" s="1"/>
  <c r="D126" i="18"/>
  <c r="AA126" i="5" s="1"/>
  <c r="R126" i="5" s="1"/>
  <c r="J38" i="8"/>
  <c r="D164" i="18"/>
  <c r="AA164" i="5" s="1"/>
  <c r="R164" i="5" s="1"/>
  <c r="D160" i="18"/>
  <c r="AA160" i="5" s="1"/>
  <c r="R160" i="5" s="1"/>
  <c r="D163" i="18"/>
  <c r="AA163" i="5" s="1"/>
  <c r="R163" i="5" s="1"/>
  <c r="D159" i="18"/>
  <c r="AA159" i="5" s="1"/>
  <c r="D162" i="18"/>
  <c r="AA162" i="5" s="1"/>
  <c r="R162" i="5" s="1"/>
  <c r="D161" i="18"/>
  <c r="AA161" i="5" s="1"/>
  <c r="R161" i="5" s="1"/>
  <c r="AK214" i="23"/>
  <c r="J32" i="18"/>
  <c r="R60" i="5"/>
  <c r="D77" i="18"/>
  <c r="AA77" i="5" s="1"/>
  <c r="R77" i="5" s="1"/>
  <c r="D76" i="18"/>
  <c r="AA76" i="5" s="1"/>
  <c r="R76" i="5" s="1"/>
  <c r="D75" i="18"/>
  <c r="AA75" i="5" s="1"/>
  <c r="I118" i="23"/>
  <c r="AJ118" i="23"/>
  <c r="AL118" i="23" s="1"/>
  <c r="N118" i="23" s="1"/>
  <c r="K118" i="23"/>
  <c r="J118" i="23"/>
  <c r="J89" i="18"/>
  <c r="K44" i="8"/>
  <c r="K42" i="8"/>
  <c r="K45" i="8"/>
  <c r="K43" i="8"/>
  <c r="K41" i="8"/>
  <c r="X13" i="5"/>
  <c r="AI34" i="23"/>
  <c r="J124" i="18"/>
  <c r="D67" i="18"/>
  <c r="AA67" i="5" s="1"/>
  <c r="R67" i="5" s="1"/>
  <c r="D66" i="18"/>
  <c r="AA66" i="5" s="1"/>
  <c r="R66" i="5" s="1"/>
  <c r="D65" i="18"/>
  <c r="AA65" i="5" s="1"/>
  <c r="D41" i="18"/>
  <c r="AA41" i="5" s="1"/>
  <c r="D43" i="18"/>
  <c r="AA43" i="5" s="1"/>
  <c r="R43" i="5" s="1"/>
  <c r="D42" i="18"/>
  <c r="AA42" i="5" s="1"/>
  <c r="R42" i="5" s="1"/>
  <c r="D102" i="18"/>
  <c r="AA102" i="5" s="1"/>
  <c r="D103" i="18"/>
  <c r="AA103" i="5" s="1"/>
  <c r="R103" i="5" s="1"/>
  <c r="T115" i="5"/>
  <c r="AB114" i="5"/>
  <c r="AC114" i="5"/>
  <c r="T114" i="5" s="1"/>
  <c r="Q124" i="5"/>
  <c r="K124" i="18" s="1"/>
  <c r="G124" i="18" s="1"/>
  <c r="AD124" i="5"/>
  <c r="U124" i="5" s="1"/>
  <c r="AD57" i="23"/>
  <c r="AF57" i="23" s="1"/>
  <c r="AG57" i="23" s="1"/>
  <c r="Z57" i="23" s="1"/>
  <c r="AI57" i="23" s="1"/>
  <c r="D150" i="18"/>
  <c r="AA150" i="5" s="1"/>
  <c r="R150" i="5" s="1"/>
  <c r="D149" i="18"/>
  <c r="AA149" i="5" s="1"/>
  <c r="AI63" i="23"/>
  <c r="D128" i="18"/>
  <c r="AA128" i="5" s="1"/>
  <c r="R128" i="5" s="1"/>
  <c r="D127" i="18"/>
  <c r="AA127" i="5" s="1"/>
  <c r="R127" i="5" s="1"/>
  <c r="Q94" i="5"/>
  <c r="K94" i="18" s="1"/>
  <c r="G94" i="18" s="1"/>
  <c r="I93" i="18" s="1"/>
  <c r="AD116" i="23"/>
  <c r="AF116" i="23" s="1"/>
  <c r="AG116" i="23" s="1"/>
  <c r="Z116" i="23" s="1"/>
  <c r="AI116" i="23" s="1"/>
  <c r="AD94" i="23"/>
  <c r="AF94" i="23" s="1"/>
  <c r="AG94" i="23" s="1"/>
  <c r="Z94" i="23" s="1"/>
  <c r="AI94" i="23" s="1"/>
  <c r="AD179" i="23"/>
  <c r="AF179" i="23" s="1"/>
  <c r="AG179" i="23" s="1"/>
  <c r="Z179" i="23" s="1"/>
  <c r="AI179" i="23" s="1"/>
  <c r="J79" i="18"/>
  <c r="J64" i="18"/>
  <c r="I181" i="23"/>
  <c r="AJ181" i="23"/>
  <c r="AL181" i="23" s="1"/>
  <c r="N181" i="23" s="1"/>
  <c r="K181" i="23"/>
  <c r="J181" i="23"/>
  <c r="I22" i="14"/>
  <c r="T40" i="4"/>
  <c r="T40" i="24"/>
  <c r="D171" i="18"/>
  <c r="AA171" i="5" s="1"/>
  <c r="R171" i="5" s="1"/>
  <c r="D169" i="18"/>
  <c r="AA169" i="5" s="1"/>
  <c r="D170" i="18"/>
  <c r="AA170" i="5" s="1"/>
  <c r="R170" i="5" s="1"/>
  <c r="D15" i="18"/>
  <c r="AA15" i="5" s="1"/>
  <c r="D16" i="18"/>
  <c r="AA16" i="5" s="1"/>
  <c r="R16" i="5" s="1"/>
  <c r="D17" i="18"/>
  <c r="AA17" i="5" s="1"/>
  <c r="R17" i="5" s="1"/>
  <c r="D18" i="18"/>
  <c r="AA18" i="5" s="1"/>
  <c r="R18" i="5" s="1"/>
  <c r="AL213" i="23"/>
  <c r="AD50" i="24" s="1"/>
  <c r="AL214" i="23"/>
  <c r="AD51" i="24" s="1"/>
  <c r="N193" i="23"/>
  <c r="L94" i="6" l="1"/>
  <c r="E15" i="16" s="1"/>
  <c r="L96" i="6"/>
  <c r="E17" i="16" s="1"/>
  <c r="L97" i="6"/>
  <c r="E18" i="16" s="1"/>
  <c r="D141" i="18"/>
  <c r="AA141" i="5" s="1"/>
  <c r="R141" i="5" s="1"/>
  <c r="W18" i="26"/>
  <c r="M21" i="26" s="1"/>
  <c r="L95" i="6"/>
  <c r="E16" i="16" s="1"/>
  <c r="D71" i="18"/>
  <c r="AA71" i="5" s="1"/>
  <c r="R71" i="5" s="1"/>
  <c r="D70" i="18"/>
  <c r="AA70" i="5" s="1"/>
  <c r="R70" i="5" s="1"/>
  <c r="D69" i="18"/>
  <c r="AA69" i="5" s="1"/>
  <c r="R69" i="5" s="1"/>
  <c r="D72" i="18"/>
  <c r="AA72" i="5" s="1"/>
  <c r="R72" i="5" s="1"/>
  <c r="D37" i="18"/>
  <c r="AA37" i="5" s="1"/>
  <c r="R37" i="5" s="1"/>
  <c r="D39" i="18"/>
  <c r="AA39" i="5" s="1"/>
  <c r="R39" i="5" s="1"/>
  <c r="J158" i="18"/>
  <c r="E161" i="18" s="1"/>
  <c r="AC161" i="5" s="1"/>
  <c r="T161" i="5" s="1"/>
  <c r="AH174" i="5"/>
  <c r="K117" i="23"/>
  <c r="AJ117" i="23"/>
  <c r="AL117" i="23" s="1"/>
  <c r="N117" i="23" s="1"/>
  <c r="D181" i="18"/>
  <c r="AA181" i="5" s="1"/>
  <c r="R181" i="5" s="1"/>
  <c r="AJ95" i="23"/>
  <c r="AL95" i="23" s="1"/>
  <c r="N95" i="23" s="1"/>
  <c r="K95" i="23"/>
  <c r="J117" i="23"/>
  <c r="AJ180" i="23"/>
  <c r="AL180" i="23" s="1"/>
  <c r="N180" i="23" s="1"/>
  <c r="J180" i="23"/>
  <c r="L35" i="6"/>
  <c r="E8" i="16" s="1"/>
  <c r="M20" i="26"/>
  <c r="I55" i="23"/>
  <c r="J95" i="23"/>
  <c r="J82" i="18"/>
  <c r="E84" i="18" s="1"/>
  <c r="AC84" i="5" s="1"/>
  <c r="T84" i="5" s="1"/>
  <c r="N55" i="23"/>
  <c r="D91" i="18"/>
  <c r="AA91" i="5" s="1"/>
  <c r="R91" i="5" s="1"/>
  <c r="I180" i="23"/>
  <c r="D92" i="18"/>
  <c r="AA92" i="5" s="1"/>
  <c r="R92" i="5" s="1"/>
  <c r="K55" i="23"/>
  <c r="J55" i="23"/>
  <c r="J49" i="18"/>
  <c r="E52" i="18" s="1"/>
  <c r="AC52" i="5" s="1"/>
  <c r="T52" i="5" s="1"/>
  <c r="D189" i="18"/>
  <c r="AA189" i="5" s="1"/>
  <c r="R189" i="5" s="1"/>
  <c r="D143" i="18"/>
  <c r="AA143" i="5" s="1"/>
  <c r="Z142" i="5" s="1"/>
  <c r="Q142" i="5" s="1"/>
  <c r="K142" i="18" s="1"/>
  <c r="G142" i="18" s="1"/>
  <c r="D190" i="18"/>
  <c r="AA190" i="5" s="1"/>
  <c r="R190" i="5" s="1"/>
  <c r="K36" i="23"/>
  <c r="J105" i="18"/>
  <c r="E106" i="18" s="1"/>
  <c r="AC106" i="5" s="1"/>
  <c r="J11" i="18"/>
  <c r="E12" i="18" s="1"/>
  <c r="AC12" i="5" s="1"/>
  <c r="T12" i="5" s="1"/>
  <c r="AJ38" i="23"/>
  <c r="AL38" i="23" s="1"/>
  <c r="N38" i="23" s="1"/>
  <c r="J103" i="23"/>
  <c r="D29" i="18"/>
  <c r="AA29" i="5" s="1"/>
  <c r="R29" i="5" s="1"/>
  <c r="D23" i="18"/>
  <c r="AA23" i="5" s="1"/>
  <c r="R23" i="5" s="1"/>
  <c r="J12" i="23"/>
  <c r="K12" i="23"/>
  <c r="AJ176" i="23"/>
  <c r="AL176" i="23" s="1"/>
  <c r="N176" i="23" s="1"/>
  <c r="I177" i="23"/>
  <c r="D22" i="18"/>
  <c r="AA22" i="5" s="1"/>
  <c r="R22" i="5" s="1"/>
  <c r="D25" i="18"/>
  <c r="AA25" i="5" s="1"/>
  <c r="R25" i="5" s="1"/>
  <c r="E144" i="18"/>
  <c r="AC144" i="5" s="1"/>
  <c r="T144" i="5" s="1"/>
  <c r="J21" i="18"/>
  <c r="E29" i="18" s="1"/>
  <c r="AC29" i="5" s="1"/>
  <c r="T29" i="5" s="1"/>
  <c r="E140" i="18"/>
  <c r="AC140" i="5" s="1"/>
  <c r="T140" i="5" s="1"/>
  <c r="I106" i="23"/>
  <c r="J93" i="18"/>
  <c r="E97" i="18" s="1"/>
  <c r="AC97" i="5" s="1"/>
  <c r="T97" i="5" s="1"/>
  <c r="E181" i="18"/>
  <c r="AC181" i="5" s="1"/>
  <c r="T181" i="5" s="1"/>
  <c r="E179" i="18"/>
  <c r="AC179" i="5" s="1"/>
  <c r="T179" i="5" s="1"/>
  <c r="AH35" i="5"/>
  <c r="D26" i="18"/>
  <c r="AA26" i="5" s="1"/>
  <c r="R26" i="5" s="1"/>
  <c r="D187" i="18"/>
  <c r="AA187" i="5" s="1"/>
  <c r="R187" i="5" s="1"/>
  <c r="J44" i="18"/>
  <c r="E46" i="18" s="1"/>
  <c r="AC46" i="5" s="1"/>
  <c r="T46" i="5" s="1"/>
  <c r="I19" i="23"/>
  <c r="D27" i="18"/>
  <c r="AA27" i="5" s="1"/>
  <c r="R27" i="5" s="1"/>
  <c r="K103" i="23"/>
  <c r="AH20" i="5"/>
  <c r="K18" i="23"/>
  <c r="D178" i="18"/>
  <c r="AA178" i="5" s="1"/>
  <c r="R178" i="5" s="1"/>
  <c r="AJ18" i="23"/>
  <c r="AL18" i="23" s="1"/>
  <c r="N18" i="23" s="1"/>
  <c r="AJ19" i="23"/>
  <c r="AL19" i="23" s="1"/>
  <c r="N19" i="23" s="1"/>
  <c r="D24" i="18"/>
  <c r="AA24" i="5" s="1"/>
  <c r="R24" i="5" s="1"/>
  <c r="I18" i="23"/>
  <c r="J19" i="23"/>
  <c r="K38" i="23"/>
  <c r="D87" i="18"/>
  <c r="AA87" i="5" s="1"/>
  <c r="R87" i="5" s="1"/>
  <c r="J20" i="23"/>
  <c r="I71" i="23"/>
  <c r="K177" i="23"/>
  <c r="I35" i="23"/>
  <c r="K71" i="23"/>
  <c r="K15" i="23"/>
  <c r="E178" i="18"/>
  <c r="AC178" i="5" s="1"/>
  <c r="T178" i="5" s="1"/>
  <c r="AJ20" i="23"/>
  <c r="AL20" i="23" s="1"/>
  <c r="N20" i="23" s="1"/>
  <c r="AJ15" i="23"/>
  <c r="AL15" i="23" s="1"/>
  <c r="N15" i="23" s="1"/>
  <c r="K9" i="23"/>
  <c r="AJ71" i="23"/>
  <c r="AL71" i="23" s="1"/>
  <c r="N71" i="23" s="1"/>
  <c r="AJ9" i="23"/>
  <c r="AL9" i="23" s="1"/>
  <c r="N9" i="23" s="1"/>
  <c r="I20" i="23"/>
  <c r="K35" i="23"/>
  <c r="AJ35" i="23"/>
  <c r="AL35" i="23" s="1"/>
  <c r="N35" i="23" s="1"/>
  <c r="D186" i="18"/>
  <c r="AA186" i="5" s="1"/>
  <c r="R186" i="5" s="1"/>
  <c r="D86" i="18"/>
  <c r="AA86" i="5" s="1"/>
  <c r="R86" i="5" s="1"/>
  <c r="E180" i="18"/>
  <c r="AC180" i="5" s="1"/>
  <c r="T180" i="5" s="1"/>
  <c r="I15" i="23"/>
  <c r="I9" i="23"/>
  <c r="K104" i="23"/>
  <c r="J104" i="23"/>
  <c r="E193" i="18"/>
  <c r="AC193" i="5" s="1"/>
  <c r="T193" i="5" s="1"/>
  <c r="J67" i="23"/>
  <c r="J36" i="23"/>
  <c r="J106" i="23"/>
  <c r="I67" i="23"/>
  <c r="E145" i="18"/>
  <c r="K67" i="23"/>
  <c r="AJ14" i="23"/>
  <c r="AL14" i="23" s="1"/>
  <c r="N14" i="23" s="1"/>
  <c r="AJ36" i="23"/>
  <c r="AL36" i="23" s="1"/>
  <c r="N36" i="23" s="1"/>
  <c r="K175" i="23"/>
  <c r="I14" i="23"/>
  <c r="D132" i="18"/>
  <c r="AA132" i="5" s="1"/>
  <c r="R132" i="5" s="1"/>
  <c r="J14" i="23"/>
  <c r="D110" i="18"/>
  <c r="AA110" i="5" s="1"/>
  <c r="R110" i="5" s="1"/>
  <c r="D136" i="18"/>
  <c r="AA136" i="5" s="1"/>
  <c r="R136" i="5" s="1"/>
  <c r="D133" i="18"/>
  <c r="AA133" i="5" s="1"/>
  <c r="R133" i="5" s="1"/>
  <c r="E39" i="18"/>
  <c r="AC39" i="5" s="1"/>
  <c r="T39" i="5" s="1"/>
  <c r="K92" i="23"/>
  <c r="I12" i="23"/>
  <c r="E37" i="18"/>
  <c r="AC37" i="5" s="1"/>
  <c r="T37" i="5" s="1"/>
  <c r="D180" i="18"/>
  <c r="AA180" i="5" s="1"/>
  <c r="R180" i="5" s="1"/>
  <c r="D135" i="18"/>
  <c r="AA135" i="5" s="1"/>
  <c r="R135" i="5" s="1"/>
  <c r="D193" i="18"/>
  <c r="AA193" i="5" s="1"/>
  <c r="R193" i="5" s="1"/>
  <c r="E118" i="18"/>
  <c r="AC118" i="5" s="1"/>
  <c r="T118" i="5" s="1"/>
  <c r="J92" i="23"/>
  <c r="I38" i="23"/>
  <c r="AJ92" i="23"/>
  <c r="AL92" i="23" s="1"/>
  <c r="N92" i="23" s="1"/>
  <c r="I10" i="23"/>
  <c r="AJ10" i="23"/>
  <c r="AL10" i="23" s="1"/>
  <c r="N10" i="23" s="1"/>
  <c r="I175" i="23"/>
  <c r="J175" i="23"/>
  <c r="J10" i="23"/>
  <c r="AJ68" i="23"/>
  <c r="AL68" i="23" s="1"/>
  <c r="N68" i="23" s="1"/>
  <c r="E131" i="18"/>
  <c r="K69" i="23"/>
  <c r="I68" i="23"/>
  <c r="J69" i="23"/>
  <c r="AJ174" i="23"/>
  <c r="AL174" i="23" s="1"/>
  <c r="J68" i="23"/>
  <c r="I174" i="23"/>
  <c r="AJ69" i="23"/>
  <c r="AL69" i="23" s="1"/>
  <c r="N69" i="23" s="1"/>
  <c r="Z79" i="5"/>
  <c r="Q79" i="5" s="1"/>
  <c r="K79" i="18" s="1"/>
  <c r="G79" i="18" s="1"/>
  <c r="J174" i="23"/>
  <c r="AH151" i="5"/>
  <c r="E172" i="18"/>
  <c r="E190" i="18"/>
  <c r="AC190" i="5" s="1"/>
  <c r="J68" i="18"/>
  <c r="E69" i="18" s="1"/>
  <c r="AC69" i="5" s="1"/>
  <c r="D88" i="18"/>
  <c r="AA88" i="5" s="1"/>
  <c r="R88" i="5" s="1"/>
  <c r="D52" i="18"/>
  <c r="AA52" i="5" s="1"/>
  <c r="R52" i="5" s="1"/>
  <c r="D53" i="18"/>
  <c r="AA53" i="5" s="1"/>
  <c r="R53" i="5" s="1"/>
  <c r="D50" i="18"/>
  <c r="AA50" i="5" s="1"/>
  <c r="R50" i="5" s="1"/>
  <c r="D83" i="18"/>
  <c r="AA83" i="5" s="1"/>
  <c r="D84" i="18"/>
  <c r="AA84" i="5" s="1"/>
  <c r="R84" i="5" s="1"/>
  <c r="D107" i="18"/>
  <c r="AA107" i="5" s="1"/>
  <c r="R107" i="5" s="1"/>
  <c r="D111" i="18"/>
  <c r="AA111" i="5" s="1"/>
  <c r="R111" i="5" s="1"/>
  <c r="D106" i="18"/>
  <c r="AA106" i="5" s="1"/>
  <c r="R106" i="5" s="1"/>
  <c r="D109" i="18"/>
  <c r="AA109" i="5" s="1"/>
  <c r="R109" i="5" s="1"/>
  <c r="E15" i="18"/>
  <c r="AC15" i="5" s="1"/>
  <c r="T15" i="5" s="1"/>
  <c r="Z139" i="5"/>
  <c r="Q139" i="5" s="1"/>
  <c r="M102" i="26" s="1"/>
  <c r="N102" i="26" s="1"/>
  <c r="L71" i="26" s="1"/>
  <c r="T41" i="4"/>
  <c r="I23" i="14"/>
  <c r="Z32" i="5"/>
  <c r="Q32" i="5" s="1"/>
  <c r="K32" i="18" s="1"/>
  <c r="G32" i="18" s="1"/>
  <c r="E16" i="18"/>
  <c r="AC16" i="5" s="1"/>
  <c r="T16" i="5" s="1"/>
  <c r="E17" i="18"/>
  <c r="AC17" i="5" s="1"/>
  <c r="T17" i="5" s="1"/>
  <c r="E191" i="18"/>
  <c r="AC191" i="5" s="1"/>
  <c r="T191" i="5" s="1"/>
  <c r="Z59" i="5"/>
  <c r="Q59" i="5" s="1"/>
  <c r="K59" i="18" s="1"/>
  <c r="G59" i="18" s="1"/>
  <c r="E61" i="18"/>
  <c r="AC61" i="5" s="1"/>
  <c r="T61" i="5" s="1"/>
  <c r="E102" i="18"/>
  <c r="AC102" i="5" s="1"/>
  <c r="T102" i="5" s="1"/>
  <c r="Z117" i="5"/>
  <c r="Q117" i="5" s="1"/>
  <c r="K117" i="18" s="1"/>
  <c r="G117" i="18" s="1"/>
  <c r="I112" i="18" s="1"/>
  <c r="D114" i="18" s="1"/>
  <c r="AA114" i="5" s="1"/>
  <c r="R114" i="5" s="1"/>
  <c r="L24" i="6"/>
  <c r="L133" i="6" s="1"/>
  <c r="E9" i="16" s="1"/>
  <c r="S41" i="24" s="1"/>
  <c r="R15" i="5"/>
  <c r="Z14" i="5"/>
  <c r="Q14" i="5" s="1"/>
  <c r="K14" i="18" s="1"/>
  <c r="G14" i="18" s="1"/>
  <c r="I10" i="18" s="1"/>
  <c r="T143" i="5"/>
  <c r="R169" i="5"/>
  <c r="Z168" i="5"/>
  <c r="Q168" i="5" s="1"/>
  <c r="K168" i="18" s="1"/>
  <c r="G168" i="18" s="1"/>
  <c r="I166" i="18" s="1"/>
  <c r="E57" i="18"/>
  <c r="AC57" i="5" s="1"/>
  <c r="T57" i="5" s="1"/>
  <c r="E58" i="18"/>
  <c r="AC58" i="5" s="1"/>
  <c r="T58" i="5" s="1"/>
  <c r="E55" i="18"/>
  <c r="AC55" i="5" s="1"/>
  <c r="E56" i="18"/>
  <c r="AC56" i="5" s="1"/>
  <c r="T56" i="5" s="1"/>
  <c r="E42" i="18"/>
  <c r="AC42" i="5" s="1"/>
  <c r="T42" i="5" s="1"/>
  <c r="E43" i="18"/>
  <c r="AC43" i="5" s="1"/>
  <c r="T43" i="5" s="1"/>
  <c r="E41" i="18"/>
  <c r="AC41" i="5" s="1"/>
  <c r="I94" i="23"/>
  <c r="AJ94" i="23"/>
  <c r="AL94" i="23" s="1"/>
  <c r="N94" i="23" s="1"/>
  <c r="K94" i="23"/>
  <c r="J94" i="23"/>
  <c r="R149" i="5"/>
  <c r="Z148" i="5"/>
  <c r="Z40" i="5"/>
  <c r="Q40" i="5" s="1"/>
  <c r="K40" i="18" s="1"/>
  <c r="G40" i="18" s="1"/>
  <c r="R41" i="5"/>
  <c r="R75" i="5"/>
  <c r="Z74" i="5"/>
  <c r="Q74" i="5" s="1"/>
  <c r="K74" i="18" s="1"/>
  <c r="G74" i="18" s="1"/>
  <c r="R55" i="5"/>
  <c r="Z54" i="5"/>
  <c r="E65" i="18"/>
  <c r="AC65" i="5" s="1"/>
  <c r="E66" i="18"/>
  <c r="AC66" i="5" s="1"/>
  <c r="T66" i="5" s="1"/>
  <c r="E67" i="18"/>
  <c r="AC67" i="5" s="1"/>
  <c r="T67" i="5" s="1"/>
  <c r="I116" i="23"/>
  <c r="AJ116" i="23"/>
  <c r="AL116" i="23" s="1"/>
  <c r="N116" i="23" s="1"/>
  <c r="K116" i="23"/>
  <c r="J116" i="23"/>
  <c r="T189" i="5"/>
  <c r="R65" i="5"/>
  <c r="Z64" i="5"/>
  <c r="E33" i="18"/>
  <c r="AC33" i="5" s="1"/>
  <c r="E34" i="18"/>
  <c r="AC34" i="5" s="1"/>
  <c r="T34" i="5" s="1"/>
  <c r="E150" i="18"/>
  <c r="AC150" i="5" s="1"/>
  <c r="T150" i="5" s="1"/>
  <c r="E149" i="18"/>
  <c r="AC149" i="5" s="1"/>
  <c r="E185" i="18"/>
  <c r="AC185" i="5" s="1"/>
  <c r="E186" i="18"/>
  <c r="AC186" i="5" s="1"/>
  <c r="T186" i="5" s="1"/>
  <c r="E187" i="18"/>
  <c r="AC187" i="5" s="1"/>
  <c r="T187" i="5" s="1"/>
  <c r="E81" i="18"/>
  <c r="AC81" i="5" s="1"/>
  <c r="T81" i="5" s="1"/>
  <c r="E80" i="18"/>
  <c r="AC80" i="5" s="1"/>
  <c r="D97" i="18"/>
  <c r="AA97" i="5" s="1"/>
  <c r="R97" i="5" s="1"/>
  <c r="D94" i="18"/>
  <c r="AA94" i="5" s="1"/>
  <c r="D95" i="18"/>
  <c r="AA95" i="5" s="1"/>
  <c r="R95" i="5" s="1"/>
  <c r="D98" i="18"/>
  <c r="AA98" i="5" s="1"/>
  <c r="R98" i="5" s="1"/>
  <c r="D96" i="18"/>
  <c r="AA96" i="5" s="1"/>
  <c r="R96" i="5" s="1"/>
  <c r="I57" i="23"/>
  <c r="J57" i="23"/>
  <c r="AJ57" i="23"/>
  <c r="AL57" i="23" s="1"/>
  <c r="N57" i="23" s="1"/>
  <c r="K57" i="23"/>
  <c r="E126" i="18"/>
  <c r="AC126" i="5" s="1"/>
  <c r="T126" i="5" s="1"/>
  <c r="E125" i="18"/>
  <c r="AC125" i="5" s="1"/>
  <c r="T125" i="5" s="1"/>
  <c r="I34" i="23"/>
  <c r="AJ34" i="23"/>
  <c r="AL34" i="23" s="1"/>
  <c r="N34" i="23" s="1"/>
  <c r="K34" i="23"/>
  <c r="J34" i="23"/>
  <c r="E91" i="18"/>
  <c r="AC91" i="5" s="1"/>
  <c r="T91" i="5" s="1"/>
  <c r="E90" i="18"/>
  <c r="AC90" i="5" s="1"/>
  <c r="E92" i="18"/>
  <c r="AC92" i="5" s="1"/>
  <c r="T92" i="5" s="1"/>
  <c r="E112" i="18"/>
  <c r="E62" i="18"/>
  <c r="E9" i="18"/>
  <c r="T60" i="5"/>
  <c r="AJ179" i="23"/>
  <c r="AL179" i="23" s="1"/>
  <c r="N179" i="23" s="1"/>
  <c r="K179" i="23"/>
  <c r="J179" i="23"/>
  <c r="I179" i="23"/>
  <c r="R90" i="5"/>
  <c r="AJ63" i="23"/>
  <c r="AL63" i="23" s="1"/>
  <c r="J63" i="23"/>
  <c r="K63" i="23"/>
  <c r="I63" i="23"/>
  <c r="S61" i="4"/>
  <c r="T61" i="4" s="1"/>
  <c r="S61" i="24"/>
  <c r="T61" i="24" s="1"/>
  <c r="S114" i="5"/>
  <c r="L114" i="18" s="1"/>
  <c r="H114" i="18" s="1"/>
  <c r="AD114" i="5"/>
  <c r="U114" i="5" s="1"/>
  <c r="R102" i="5"/>
  <c r="Z101" i="5"/>
  <c r="E133" i="18"/>
  <c r="AC133" i="5" s="1"/>
  <c r="T133" i="5" s="1"/>
  <c r="E134" i="18"/>
  <c r="AC134" i="5" s="1"/>
  <c r="T134" i="5" s="1"/>
  <c r="E136" i="18"/>
  <c r="AC136" i="5" s="1"/>
  <c r="T136" i="5" s="1"/>
  <c r="E132" i="18"/>
  <c r="AC132" i="5" s="1"/>
  <c r="T132" i="5" s="1"/>
  <c r="E135" i="18"/>
  <c r="AC135" i="5" s="1"/>
  <c r="T135" i="5" s="1"/>
  <c r="R159" i="5"/>
  <c r="Z158" i="5"/>
  <c r="Q158" i="5" s="1"/>
  <c r="K158" i="18" s="1"/>
  <c r="G158" i="18" s="1"/>
  <c r="I151" i="18" s="1"/>
  <c r="E171" i="18"/>
  <c r="AC171" i="5" s="1"/>
  <c r="T171" i="5" s="1"/>
  <c r="E170" i="18"/>
  <c r="AC170" i="5" s="1"/>
  <c r="T170" i="5" s="1"/>
  <c r="E169" i="18"/>
  <c r="AC169" i="5" s="1"/>
  <c r="E127" i="18"/>
  <c r="AC127" i="5" s="1"/>
  <c r="T127" i="5" s="1"/>
  <c r="E128" i="18"/>
  <c r="AC128" i="5" s="1"/>
  <c r="T128" i="5" s="1"/>
  <c r="N71" i="26" l="1"/>
  <c r="I118" i="6" s="1"/>
  <c r="E162" i="18"/>
  <c r="AC162" i="5" s="1"/>
  <c r="T162" i="5" s="1"/>
  <c r="Z68" i="5"/>
  <c r="Q68" i="5" s="1"/>
  <c r="K68" i="18" s="1"/>
  <c r="G68" i="18" s="1"/>
  <c r="Z36" i="5"/>
  <c r="Q36" i="5" s="1"/>
  <c r="K36" i="18" s="1"/>
  <c r="G36" i="18" s="1"/>
  <c r="I35" i="18" s="1"/>
  <c r="D36" i="18" s="1"/>
  <c r="AA36" i="5" s="1"/>
  <c r="E159" i="18"/>
  <c r="AC159" i="5" s="1"/>
  <c r="E86" i="18"/>
  <c r="AC86" i="5" s="1"/>
  <c r="T86" i="5" s="1"/>
  <c r="E163" i="18"/>
  <c r="AC163" i="5" s="1"/>
  <c r="T163" i="5" s="1"/>
  <c r="E87" i="18"/>
  <c r="AC87" i="5" s="1"/>
  <c r="T87" i="5" s="1"/>
  <c r="E110" i="18"/>
  <c r="AC110" i="5" s="1"/>
  <c r="T110" i="5" s="1"/>
  <c r="E164" i="18"/>
  <c r="AC164" i="5" s="1"/>
  <c r="T164" i="5" s="1"/>
  <c r="E160" i="18"/>
  <c r="AC160" i="5" s="1"/>
  <c r="T160" i="5" s="1"/>
  <c r="J36" i="26"/>
  <c r="G63" i="25" s="1"/>
  <c r="Q130" i="5" s="1"/>
  <c r="K130" i="18" s="1"/>
  <c r="G130" i="18" s="1"/>
  <c r="I129" i="18" s="1"/>
  <c r="E111" i="18"/>
  <c r="AC111" i="5" s="1"/>
  <c r="T111" i="5" s="1"/>
  <c r="E88" i="18"/>
  <c r="AC88" i="5" s="1"/>
  <c r="T88" i="5" s="1"/>
  <c r="E107" i="18"/>
  <c r="AC107" i="5" s="1"/>
  <c r="T107" i="5" s="1"/>
  <c r="Z89" i="5"/>
  <c r="Q89" i="5" s="1"/>
  <c r="K89" i="18" s="1"/>
  <c r="G89" i="18" s="1"/>
  <c r="E108" i="18"/>
  <c r="AC108" i="5" s="1"/>
  <c r="T108" i="5" s="1"/>
  <c r="E83" i="18"/>
  <c r="AC83" i="5" s="1"/>
  <c r="T83" i="5" s="1"/>
  <c r="E85" i="18"/>
  <c r="AC85" i="5" s="1"/>
  <c r="T85" i="5" s="1"/>
  <c r="E51" i="18"/>
  <c r="AC51" i="5" s="1"/>
  <c r="T51" i="5" s="1"/>
  <c r="E95" i="18"/>
  <c r="AC95" i="5" s="1"/>
  <c r="T95" i="5" s="1"/>
  <c r="E50" i="18"/>
  <c r="AC50" i="5" s="1"/>
  <c r="T50" i="5" s="1"/>
  <c r="AB177" i="5"/>
  <c r="S177" i="5" s="1"/>
  <c r="L177" i="18" s="1"/>
  <c r="H177" i="18" s="1"/>
  <c r="J174" i="18" s="1"/>
  <c r="E177" i="18" s="1"/>
  <c r="AC177" i="5" s="1"/>
  <c r="T177" i="5" s="1"/>
  <c r="E98" i="18"/>
  <c r="AC98" i="5" s="1"/>
  <c r="T98" i="5" s="1"/>
  <c r="E53" i="18"/>
  <c r="AC53" i="5" s="1"/>
  <c r="T53" i="5" s="1"/>
  <c r="E94" i="18"/>
  <c r="AC94" i="5" s="1"/>
  <c r="E96" i="18"/>
  <c r="AC96" i="5" s="1"/>
  <c r="T96" i="5" s="1"/>
  <c r="Z188" i="5"/>
  <c r="Q188" i="5" s="1"/>
  <c r="K188" i="18" s="1"/>
  <c r="G188" i="18" s="1"/>
  <c r="R143" i="5"/>
  <c r="E109" i="18"/>
  <c r="AC109" i="5" s="1"/>
  <c r="T109" i="5" s="1"/>
  <c r="E13" i="18"/>
  <c r="AC13" i="5" s="1"/>
  <c r="T13" i="5" s="1"/>
  <c r="AB139" i="5"/>
  <c r="S139" i="5" s="1"/>
  <c r="L139" i="18" s="1"/>
  <c r="H139" i="18" s="1"/>
  <c r="E45" i="18"/>
  <c r="AC45" i="5" s="1"/>
  <c r="T45" i="5" s="1"/>
  <c r="E73" i="18"/>
  <c r="AC73" i="5" s="1"/>
  <c r="E72" i="18"/>
  <c r="AC72" i="5" s="1"/>
  <c r="T72" i="5" s="1"/>
  <c r="AB142" i="5"/>
  <c r="S142" i="5" s="1"/>
  <c r="L142" i="18" s="1"/>
  <c r="H142" i="18" s="1"/>
  <c r="E26" i="18"/>
  <c r="AC26" i="5" s="1"/>
  <c r="T26" i="5" s="1"/>
  <c r="E27" i="18"/>
  <c r="AC27" i="5" s="1"/>
  <c r="T27" i="5" s="1"/>
  <c r="E25" i="18"/>
  <c r="AC25" i="5" s="1"/>
  <c r="T25" i="5" s="1"/>
  <c r="E28" i="18"/>
  <c r="AC28" i="5" s="1"/>
  <c r="T28" i="5" s="1"/>
  <c r="E22" i="18"/>
  <c r="AC22" i="5" s="1"/>
  <c r="T22" i="5" s="1"/>
  <c r="E23" i="18"/>
  <c r="AC23" i="5" s="1"/>
  <c r="T23" i="5" s="1"/>
  <c r="E24" i="18"/>
  <c r="AC24" i="5" s="1"/>
  <c r="T24" i="5" s="1"/>
  <c r="AM174" i="23"/>
  <c r="AB59" i="5"/>
  <c r="S59" i="5" s="1"/>
  <c r="L59" i="18" s="1"/>
  <c r="H59" i="18" s="1"/>
  <c r="AB14" i="5"/>
  <c r="S14" i="5" s="1"/>
  <c r="L14" i="18" s="1"/>
  <c r="H14" i="18" s="1"/>
  <c r="J10" i="18" s="1"/>
  <c r="E11" i="18" s="1"/>
  <c r="AC11" i="5" s="1"/>
  <c r="Z177" i="5"/>
  <c r="Q177" i="5" s="1"/>
  <c r="K177" i="18" s="1"/>
  <c r="G177" i="18" s="1"/>
  <c r="I174" i="18" s="1"/>
  <c r="D175" i="18" s="1"/>
  <c r="AA175" i="5" s="1"/>
  <c r="R175" i="5" s="1"/>
  <c r="E71" i="18"/>
  <c r="AC71" i="5" s="1"/>
  <c r="T71" i="5" s="1"/>
  <c r="Z184" i="5"/>
  <c r="Q184" i="5" s="1"/>
  <c r="K184" i="18" s="1"/>
  <c r="G184" i="18" s="1"/>
  <c r="Z21" i="5"/>
  <c r="Q21" i="5" s="1"/>
  <c r="K21" i="18" s="1"/>
  <c r="G21" i="18" s="1"/>
  <c r="I20" i="18" s="1"/>
  <c r="AB117" i="5"/>
  <c r="S117" i="5" s="1"/>
  <c r="L117" i="18" s="1"/>
  <c r="H117" i="18" s="1"/>
  <c r="J112" i="18" s="1"/>
  <c r="AB192" i="5"/>
  <c r="S192" i="5" s="1"/>
  <c r="L192" i="18" s="1"/>
  <c r="H192" i="18" s="1"/>
  <c r="AM18" i="23"/>
  <c r="AD93" i="23"/>
  <c r="AD115" i="23"/>
  <c r="AD178" i="23"/>
  <c r="AM9" i="23"/>
  <c r="AC117" i="5"/>
  <c r="T117" i="5" s="1"/>
  <c r="AB36" i="5"/>
  <c r="S36" i="5" s="1"/>
  <c r="L36" i="18" s="1"/>
  <c r="H36" i="18" s="1"/>
  <c r="AB101" i="5"/>
  <c r="AE43" i="23" s="1"/>
  <c r="Z192" i="5"/>
  <c r="AD30" i="23" s="1"/>
  <c r="Z82" i="5"/>
  <c r="Q82" i="5" s="1"/>
  <c r="K82" i="18" s="1"/>
  <c r="G82" i="18" s="1"/>
  <c r="E70" i="18"/>
  <c r="AC70" i="5" s="1"/>
  <c r="AM92" i="23"/>
  <c r="N174" i="23"/>
  <c r="R83" i="5"/>
  <c r="Z49" i="5"/>
  <c r="Q49" i="5" s="1"/>
  <c r="K49" i="18" s="1"/>
  <c r="G49" i="18" s="1"/>
  <c r="Z105" i="5"/>
  <c r="Q105" i="5" s="1"/>
  <c r="K105" i="18" s="1"/>
  <c r="G105" i="18" s="1"/>
  <c r="AB188" i="5"/>
  <c r="S188" i="5" s="1"/>
  <c r="L188" i="18" s="1"/>
  <c r="H188" i="18" s="1"/>
  <c r="H23" i="14"/>
  <c r="S41" i="4"/>
  <c r="D117" i="18"/>
  <c r="AA117" i="5" s="1"/>
  <c r="R117" i="5" s="1"/>
  <c r="D116" i="18"/>
  <c r="AA116" i="5" s="1"/>
  <c r="R116" i="5" s="1"/>
  <c r="D113" i="18"/>
  <c r="AA113" i="5" s="1"/>
  <c r="R113" i="5" s="1"/>
  <c r="T169" i="5"/>
  <c r="AB168" i="5"/>
  <c r="S168" i="5" s="1"/>
  <c r="L168" i="18" s="1"/>
  <c r="H168" i="18" s="1"/>
  <c r="J166" i="18" s="1"/>
  <c r="Q101" i="5"/>
  <c r="K101" i="18" s="1"/>
  <c r="G101" i="18" s="1"/>
  <c r="AD43" i="23"/>
  <c r="Q64" i="5"/>
  <c r="K64" i="18" s="1"/>
  <c r="G64" i="18" s="1"/>
  <c r="K139" i="18"/>
  <c r="G139" i="18" s="1"/>
  <c r="I138" i="18" s="1"/>
  <c r="D167" i="18"/>
  <c r="AA167" i="5" s="1"/>
  <c r="D168" i="18"/>
  <c r="AA168" i="5" s="1"/>
  <c r="R168" i="5" s="1"/>
  <c r="D11" i="18"/>
  <c r="AA11" i="5" s="1"/>
  <c r="D19" i="18"/>
  <c r="AA19" i="5" s="1"/>
  <c r="R19" i="5" s="1"/>
  <c r="D14" i="18"/>
  <c r="AA14" i="5" s="1"/>
  <c r="R14" i="5" s="1"/>
  <c r="D158" i="18"/>
  <c r="AA158" i="5" s="1"/>
  <c r="R158" i="5" s="1"/>
  <c r="D155" i="18"/>
  <c r="AA155" i="5" s="1"/>
  <c r="R155" i="5" s="1"/>
  <c r="D157" i="18"/>
  <c r="AA157" i="5" s="1"/>
  <c r="R157" i="5" s="1"/>
  <c r="D154" i="18"/>
  <c r="AA154" i="5" s="1"/>
  <c r="R154" i="5" s="1"/>
  <c r="D156" i="18"/>
  <c r="AA156" i="5" s="1"/>
  <c r="R156" i="5" s="1"/>
  <c r="D153" i="18"/>
  <c r="AA153" i="5" s="1"/>
  <c r="R153" i="5" s="1"/>
  <c r="D165" i="18"/>
  <c r="AA165" i="5" s="1"/>
  <c r="R165" i="5" s="1"/>
  <c r="D152" i="18"/>
  <c r="AA152" i="5" s="1"/>
  <c r="T159" i="5"/>
  <c r="R94" i="5"/>
  <c r="Z93" i="5"/>
  <c r="Q93" i="5" s="1"/>
  <c r="K93" i="18" s="1"/>
  <c r="G93" i="18" s="1"/>
  <c r="AB184" i="5"/>
  <c r="T185" i="5"/>
  <c r="AB32" i="5"/>
  <c r="S32" i="5" s="1"/>
  <c r="L32" i="18" s="1"/>
  <c r="H32" i="18" s="1"/>
  <c r="T33" i="5"/>
  <c r="T65" i="5"/>
  <c r="AB64" i="5"/>
  <c r="Q148" i="5"/>
  <c r="K148" i="18" s="1"/>
  <c r="G148" i="18" s="1"/>
  <c r="I146" i="18" s="1"/>
  <c r="AD49" i="23"/>
  <c r="AB40" i="5"/>
  <c r="S40" i="5" s="1"/>
  <c r="L40" i="18" s="1"/>
  <c r="H40" i="18" s="1"/>
  <c r="T41" i="5"/>
  <c r="T55" i="5"/>
  <c r="AB54" i="5"/>
  <c r="AM63" i="23"/>
  <c r="N63" i="23"/>
  <c r="T106" i="5"/>
  <c r="T90" i="5"/>
  <c r="AB89" i="5"/>
  <c r="S89" i="5" s="1"/>
  <c r="T149" i="5"/>
  <c r="AB148" i="5"/>
  <c r="AD107" i="23"/>
  <c r="Q54" i="5"/>
  <c r="K54" i="18" s="1"/>
  <c r="G54" i="18" s="1"/>
  <c r="AD13" i="23"/>
  <c r="AD70" i="23"/>
  <c r="AD37" i="23"/>
  <c r="T69" i="5"/>
  <c r="T80" i="5"/>
  <c r="AB79" i="5"/>
  <c r="I63" i="18" l="1"/>
  <c r="AB158" i="5"/>
  <c r="S158" i="5" s="1"/>
  <c r="L158" i="18" s="1"/>
  <c r="H158" i="18" s="1"/>
  <c r="J151" i="18" s="1"/>
  <c r="E153" i="18" s="1"/>
  <c r="AC153" i="5" s="1"/>
  <c r="T153" i="5" s="1"/>
  <c r="AB82" i="5"/>
  <c r="S82" i="5" s="1"/>
  <c r="L82" i="18" s="1"/>
  <c r="H82" i="18" s="1"/>
  <c r="D130" i="18"/>
  <c r="AA130" i="5" s="1"/>
  <c r="R130" i="5" s="1"/>
  <c r="D131" i="18"/>
  <c r="AA131" i="5" s="1"/>
  <c r="R131" i="5" s="1"/>
  <c r="J138" i="18"/>
  <c r="E139" i="18" s="1"/>
  <c r="AC139" i="5" s="1"/>
  <c r="AB49" i="5"/>
  <c r="S49" i="5" s="1"/>
  <c r="L49" i="18" s="1"/>
  <c r="H49" i="18" s="1"/>
  <c r="E176" i="18"/>
  <c r="AC176" i="5" s="1"/>
  <c r="T176" i="5" s="1"/>
  <c r="AB93" i="5"/>
  <c r="S93" i="5" s="1"/>
  <c r="L89" i="18" s="1"/>
  <c r="H89" i="18" s="1"/>
  <c r="E182" i="18"/>
  <c r="AC182" i="5" s="1"/>
  <c r="T182" i="5" s="1"/>
  <c r="E175" i="18"/>
  <c r="AC175" i="5" s="1"/>
  <c r="AB105" i="5"/>
  <c r="S105" i="5" s="1"/>
  <c r="L105" i="18" s="1"/>
  <c r="H105" i="18" s="1"/>
  <c r="AB68" i="5"/>
  <c r="S68" i="5" s="1"/>
  <c r="L68" i="18" s="1"/>
  <c r="H68" i="18" s="1"/>
  <c r="T94" i="5"/>
  <c r="AB21" i="5"/>
  <c r="S21" i="5" s="1"/>
  <c r="L21" i="18" s="1"/>
  <c r="H21" i="18" s="1"/>
  <c r="J20" i="18" s="1"/>
  <c r="AE30" i="23"/>
  <c r="AF30" i="23" s="1"/>
  <c r="AG30" i="23" s="1"/>
  <c r="Z30" i="23" s="1"/>
  <c r="AI30" i="23" s="1"/>
  <c r="AJ30" i="23" s="1"/>
  <c r="AL30" i="23" s="1"/>
  <c r="AE130" i="23"/>
  <c r="D176" i="18"/>
  <c r="AA176" i="5" s="1"/>
  <c r="R176" i="5" s="1"/>
  <c r="D177" i="18"/>
  <c r="AA177" i="5" s="1"/>
  <c r="R177" i="5" s="1"/>
  <c r="D182" i="18"/>
  <c r="AA182" i="5" s="1"/>
  <c r="R182" i="5" s="1"/>
  <c r="E19" i="18"/>
  <c r="AC19" i="5" s="1"/>
  <c r="T19" i="5" s="1"/>
  <c r="E14" i="18"/>
  <c r="AC14" i="5" s="1"/>
  <c r="T14" i="5" s="1"/>
  <c r="AD117" i="5"/>
  <c r="U117" i="5" s="1"/>
  <c r="Y51" i="4" s="1"/>
  <c r="Z51" i="4" s="1"/>
  <c r="S101" i="5"/>
  <c r="L101" i="18" s="1"/>
  <c r="H101" i="18" s="1"/>
  <c r="D47" i="18"/>
  <c r="AA47" i="5" s="1"/>
  <c r="R47" i="5" s="1"/>
  <c r="I78" i="18"/>
  <c r="D79" i="18" s="1"/>
  <c r="AA79" i="5" s="1"/>
  <c r="Q192" i="5"/>
  <c r="K192" i="18" s="1"/>
  <c r="G192" i="18" s="1"/>
  <c r="I183" i="18" s="1"/>
  <c r="D188" i="18" s="1"/>
  <c r="AA188" i="5" s="1"/>
  <c r="R188" i="5" s="1"/>
  <c r="AD130" i="23"/>
  <c r="D44" i="18"/>
  <c r="AA44" i="5" s="1"/>
  <c r="R44" i="5" s="1"/>
  <c r="D40" i="18"/>
  <c r="AA40" i="5" s="1"/>
  <c r="R40" i="5" s="1"/>
  <c r="I100" i="18"/>
  <c r="D105" i="18" s="1"/>
  <c r="AA105" i="5" s="1"/>
  <c r="R105" i="5" s="1"/>
  <c r="AF43" i="23"/>
  <c r="AG43" i="23" s="1"/>
  <c r="Z43" i="23" s="1"/>
  <c r="AI43" i="23" s="1"/>
  <c r="K43" i="23" s="1"/>
  <c r="J35" i="18"/>
  <c r="E36" i="18" s="1"/>
  <c r="AC36" i="5" s="1"/>
  <c r="I21" i="7"/>
  <c r="I48" i="7" s="1"/>
  <c r="H21" i="7"/>
  <c r="H48" i="7" s="1"/>
  <c r="I8" i="7"/>
  <c r="H8" i="7"/>
  <c r="S148" i="5"/>
  <c r="L148" i="18" s="1"/>
  <c r="H148" i="18" s="1"/>
  <c r="J146" i="18" s="1"/>
  <c r="AE49" i="23"/>
  <c r="AF49" i="23" s="1"/>
  <c r="AG49" i="23" s="1"/>
  <c r="Z49" i="23" s="1"/>
  <c r="AI49" i="23" s="1"/>
  <c r="S54" i="5"/>
  <c r="L54" i="18" s="1"/>
  <c r="H54" i="18" s="1"/>
  <c r="AE70" i="23"/>
  <c r="AF70" i="23" s="1"/>
  <c r="AG70" i="23" s="1"/>
  <c r="Z70" i="23" s="1"/>
  <c r="AI70" i="23" s="1"/>
  <c r="AE105" i="23"/>
  <c r="AF105" i="23" s="1"/>
  <c r="AG105" i="23" s="1"/>
  <c r="Z105" i="23" s="1"/>
  <c r="AI105" i="23" s="1"/>
  <c r="AE37" i="23"/>
  <c r="AF37" i="23" s="1"/>
  <c r="AG37" i="23" s="1"/>
  <c r="Z37" i="23" s="1"/>
  <c r="AI37" i="23" s="1"/>
  <c r="AE13" i="23"/>
  <c r="AF13" i="23" s="1"/>
  <c r="AG13" i="23" s="1"/>
  <c r="Z13" i="23" s="1"/>
  <c r="AI13" i="23" s="1"/>
  <c r="R152" i="5"/>
  <c r="Z151" i="5"/>
  <c r="Q151" i="5" s="1"/>
  <c r="K151" i="18" s="1"/>
  <c r="G151" i="18" s="1"/>
  <c r="Z166" i="5"/>
  <c r="Q166" i="5" s="1"/>
  <c r="K166" i="18" s="1"/>
  <c r="G166" i="18" s="1"/>
  <c r="R167" i="5"/>
  <c r="T11" i="5"/>
  <c r="D148" i="18"/>
  <c r="AA148" i="5" s="1"/>
  <c r="R148" i="5" s="1"/>
  <c r="D147" i="18"/>
  <c r="AA147" i="5" s="1"/>
  <c r="E117" i="18"/>
  <c r="E116" i="18"/>
  <c r="AC116" i="5" s="1"/>
  <c r="T116" i="5" s="1"/>
  <c r="E114" i="18"/>
  <c r="E113" i="18"/>
  <c r="AC113" i="5" s="1"/>
  <c r="T113" i="5" s="1"/>
  <c r="S79" i="5"/>
  <c r="AE178" i="23"/>
  <c r="AF178" i="23" s="1"/>
  <c r="AG178" i="23" s="1"/>
  <c r="Z178" i="23" s="1"/>
  <c r="AE115" i="23"/>
  <c r="AF115" i="23" s="1"/>
  <c r="AG115" i="23" s="1"/>
  <c r="Z115" i="23" s="1"/>
  <c r="AE93" i="23"/>
  <c r="AF93" i="23" s="1"/>
  <c r="AG93" i="23" s="1"/>
  <c r="Z93" i="23" s="1"/>
  <c r="D21" i="18"/>
  <c r="AA21" i="5" s="1"/>
  <c r="D32" i="18"/>
  <c r="AA32" i="5" s="1"/>
  <c r="R32" i="5" s="1"/>
  <c r="D31" i="18"/>
  <c r="AA31" i="5" s="1"/>
  <c r="R31" i="5" s="1"/>
  <c r="D30" i="18"/>
  <c r="AA30" i="5" s="1"/>
  <c r="R30" i="5" s="1"/>
  <c r="R36" i="5"/>
  <c r="S64" i="5"/>
  <c r="L64" i="18" s="1"/>
  <c r="H64" i="18" s="1"/>
  <c r="R11" i="5"/>
  <c r="Z10" i="5"/>
  <c r="I125" i="6"/>
  <c r="E167" i="18"/>
  <c r="AC167" i="5" s="1"/>
  <c r="E168" i="18"/>
  <c r="AC168" i="5" s="1"/>
  <c r="T168" i="5" s="1"/>
  <c r="S184" i="5"/>
  <c r="L184" i="18" s="1"/>
  <c r="H184" i="18" s="1"/>
  <c r="J183" i="18" s="1"/>
  <c r="D142" i="18"/>
  <c r="AA142" i="5" s="1"/>
  <c r="R142" i="5" s="1"/>
  <c r="D139" i="18"/>
  <c r="AA139" i="5" s="1"/>
  <c r="D74" i="18"/>
  <c r="AA74" i="5" s="1"/>
  <c r="R74" i="5" s="1"/>
  <c r="D68" i="18"/>
  <c r="AA68" i="5" s="1"/>
  <c r="R68" i="5" s="1"/>
  <c r="D64" i="18"/>
  <c r="AA64" i="5" s="1"/>
  <c r="I48" i="18"/>
  <c r="E142" i="18" l="1"/>
  <c r="AC142" i="5" s="1"/>
  <c r="T142" i="5" s="1"/>
  <c r="E155" i="18"/>
  <c r="AC155" i="5" s="1"/>
  <c r="T155" i="5" s="1"/>
  <c r="E156" i="18"/>
  <c r="AC156" i="5" s="1"/>
  <c r="T156" i="5" s="1"/>
  <c r="E154" i="18"/>
  <c r="AC154" i="5" s="1"/>
  <c r="T154" i="5" s="1"/>
  <c r="E157" i="18"/>
  <c r="AC157" i="5" s="1"/>
  <c r="T157" i="5" s="1"/>
  <c r="E152" i="18"/>
  <c r="AC152" i="5" s="1"/>
  <c r="T152" i="5" s="1"/>
  <c r="E165" i="18"/>
  <c r="AC165" i="5" s="1"/>
  <c r="T165" i="5" s="1"/>
  <c r="E158" i="18"/>
  <c r="AC158" i="5" s="1"/>
  <c r="T158" i="5" s="1"/>
  <c r="L93" i="18"/>
  <c r="H93" i="18" s="1"/>
  <c r="AC174" i="5"/>
  <c r="T174" i="5" s="1"/>
  <c r="AB174" i="5"/>
  <c r="S174" i="5" s="1"/>
  <c r="L174" i="18" s="1"/>
  <c r="H174" i="18" s="1"/>
  <c r="T175" i="5"/>
  <c r="AF130" i="23"/>
  <c r="AG130" i="23" s="1"/>
  <c r="Z130" i="23" s="1"/>
  <c r="AI130" i="23" s="1"/>
  <c r="K130" i="23" s="1"/>
  <c r="J100" i="18"/>
  <c r="E101" i="18" s="1"/>
  <c r="AC101" i="5" s="1"/>
  <c r="T101" i="5" s="1"/>
  <c r="D93" i="18"/>
  <c r="AA93" i="5" s="1"/>
  <c r="R93" i="5" s="1"/>
  <c r="AC10" i="5"/>
  <c r="T10" i="5" s="1"/>
  <c r="D89" i="18"/>
  <c r="AA89" i="5" s="1"/>
  <c r="R89" i="5" s="1"/>
  <c r="AD112" i="5"/>
  <c r="U112" i="5" s="1"/>
  <c r="Y46" i="24" s="1"/>
  <c r="Z174" i="5"/>
  <c r="Q174" i="5" s="1"/>
  <c r="K174" i="18" s="1"/>
  <c r="G174" i="18" s="1"/>
  <c r="Y51" i="24"/>
  <c r="Z51" i="24" s="1"/>
  <c r="D82" i="18"/>
  <c r="AA82" i="5" s="1"/>
  <c r="R82" i="5" s="1"/>
  <c r="AB10" i="5"/>
  <c r="AE21" i="23" s="1"/>
  <c r="D192" i="18"/>
  <c r="AA192" i="5" s="1"/>
  <c r="R192" i="5" s="1"/>
  <c r="D184" i="18"/>
  <c r="AA184" i="5" s="1"/>
  <c r="R184" i="5" s="1"/>
  <c r="Z35" i="5"/>
  <c r="Q35" i="5" s="1"/>
  <c r="E40" i="18"/>
  <c r="AC40" i="5" s="1"/>
  <c r="T40" i="5" s="1"/>
  <c r="E44" i="18"/>
  <c r="AC44" i="5" s="1"/>
  <c r="T44" i="5" s="1"/>
  <c r="E47" i="18"/>
  <c r="AC47" i="5" s="1"/>
  <c r="T47" i="5" s="1"/>
  <c r="K30" i="23"/>
  <c r="J30" i="23"/>
  <c r="I30" i="23"/>
  <c r="D104" i="18"/>
  <c r="AA104" i="5" s="1"/>
  <c r="R104" i="5" s="1"/>
  <c r="D101" i="18"/>
  <c r="AA101" i="5" s="1"/>
  <c r="R101" i="5" s="1"/>
  <c r="I43" i="23"/>
  <c r="AJ43" i="23"/>
  <c r="AL43" i="23" s="1"/>
  <c r="AM43" i="23" s="1"/>
  <c r="J43" i="23"/>
  <c r="N30" i="23"/>
  <c r="AM25" i="23"/>
  <c r="AI178" i="23"/>
  <c r="T139" i="5"/>
  <c r="AC138" i="5"/>
  <c r="T138" i="5" s="1"/>
  <c r="AB138" i="5"/>
  <c r="K37" i="23"/>
  <c r="AJ37" i="23"/>
  <c r="AL37" i="23" s="1"/>
  <c r="I37" i="23"/>
  <c r="J37" i="23"/>
  <c r="J49" i="23"/>
  <c r="I49" i="23"/>
  <c r="AJ49" i="23"/>
  <c r="AL49" i="23" s="1"/>
  <c r="K49" i="23"/>
  <c r="E192" i="18"/>
  <c r="AC192" i="5" s="1"/>
  <c r="T192" i="5" s="1"/>
  <c r="E184" i="18"/>
  <c r="AC184" i="5" s="1"/>
  <c r="E188" i="18"/>
  <c r="AC188" i="5" s="1"/>
  <c r="T188" i="5" s="1"/>
  <c r="D59" i="18"/>
  <c r="AA59" i="5" s="1"/>
  <c r="R59" i="5" s="1"/>
  <c r="D54" i="18"/>
  <c r="AA54" i="5" s="1"/>
  <c r="R54" i="5" s="1"/>
  <c r="D49" i="18"/>
  <c r="AA49" i="5" s="1"/>
  <c r="R139" i="5"/>
  <c r="Z138" i="5"/>
  <c r="T36" i="5"/>
  <c r="AD102" i="23"/>
  <c r="AF102" i="23" s="1"/>
  <c r="AG102" i="23" s="1"/>
  <c r="Z102" i="23" s="1"/>
  <c r="AD39" i="23"/>
  <c r="AD21" i="23"/>
  <c r="Q10" i="5"/>
  <c r="AD72" i="23"/>
  <c r="L75" i="18"/>
  <c r="H75" i="18" s="1"/>
  <c r="J74" i="18" s="1"/>
  <c r="L79" i="18"/>
  <c r="H79" i="18" s="1"/>
  <c r="K105" i="23"/>
  <c r="I105" i="23"/>
  <c r="J105" i="23"/>
  <c r="E148" i="18"/>
  <c r="AC148" i="5" s="1"/>
  <c r="T148" i="5" s="1"/>
  <c r="E147" i="18"/>
  <c r="AC147" i="5" s="1"/>
  <c r="R79" i="5"/>
  <c r="R64" i="5"/>
  <c r="Z63" i="5"/>
  <c r="Q63" i="5" s="1"/>
  <c r="AC166" i="5"/>
  <c r="T166" i="5" s="1"/>
  <c r="T167" i="5"/>
  <c r="AB166" i="5"/>
  <c r="R21" i="5"/>
  <c r="Z20" i="5"/>
  <c r="Q20" i="5" s="1"/>
  <c r="AI93" i="23"/>
  <c r="J48" i="18"/>
  <c r="J70" i="23"/>
  <c r="K70" i="23"/>
  <c r="I70" i="23"/>
  <c r="AJ70" i="23"/>
  <c r="AL70" i="23" s="1"/>
  <c r="AI115" i="23"/>
  <c r="R147" i="5"/>
  <c r="Z146" i="5"/>
  <c r="Q146" i="5" s="1"/>
  <c r="K13" i="23"/>
  <c r="J13" i="23"/>
  <c r="I13" i="23"/>
  <c r="AJ13" i="23"/>
  <c r="AL13" i="23" s="1"/>
  <c r="E21" i="18"/>
  <c r="AC21" i="5" s="1"/>
  <c r="E32" i="18"/>
  <c r="AC32" i="5" s="1"/>
  <c r="T32" i="5" s="1"/>
  <c r="E31" i="18"/>
  <c r="AC31" i="5" s="1"/>
  <c r="T31" i="5" s="1"/>
  <c r="E30" i="18"/>
  <c r="AC30" i="5" s="1"/>
  <c r="T30" i="5" s="1"/>
  <c r="AB151" i="5" l="1"/>
  <c r="J78" i="18"/>
  <c r="E89" i="18" s="1"/>
  <c r="AC89" i="5" s="1"/>
  <c r="T89" i="5" s="1"/>
  <c r="AC151" i="5"/>
  <c r="T151" i="5" s="1"/>
  <c r="AJ130" i="23"/>
  <c r="AL130" i="23" s="1"/>
  <c r="AM125" i="23" s="1"/>
  <c r="I130" i="23"/>
  <c r="J130" i="23"/>
  <c r="E105" i="18"/>
  <c r="AC105" i="5" s="1"/>
  <c r="T105" i="5" s="1"/>
  <c r="E104" i="18"/>
  <c r="AC104" i="5" s="1"/>
  <c r="T104" i="5" s="1"/>
  <c r="Z46" i="24"/>
  <c r="Z78" i="5"/>
  <c r="Q78" i="5" s="1"/>
  <c r="K78" i="18" s="1"/>
  <c r="G78" i="18" s="1"/>
  <c r="Z46" i="4"/>
  <c r="Y46" i="4"/>
  <c r="K112" i="18"/>
  <c r="G112" i="18" s="1"/>
  <c r="AE107" i="23"/>
  <c r="AF107" i="23" s="1"/>
  <c r="AG107" i="23" s="1"/>
  <c r="Z107" i="23" s="1"/>
  <c r="AI107" i="23" s="1"/>
  <c r="K107" i="23" s="1"/>
  <c r="AE39" i="23"/>
  <c r="AF39" i="23" s="1"/>
  <c r="AG39" i="23" s="1"/>
  <c r="Z39" i="23" s="1"/>
  <c r="AD10" i="5"/>
  <c r="U10" i="5" s="1"/>
  <c r="AE72" i="23"/>
  <c r="AF72" i="23" s="1"/>
  <c r="AG72" i="23" s="1"/>
  <c r="Z72" i="23" s="1"/>
  <c r="AC35" i="5"/>
  <c r="T35" i="5" s="1"/>
  <c r="S10" i="5"/>
  <c r="L10" i="18" s="1"/>
  <c r="H10" i="18" s="1"/>
  <c r="AD174" i="5"/>
  <c r="U174" i="5" s="1"/>
  <c r="Y61" i="4" s="1"/>
  <c r="Z61" i="4" s="1"/>
  <c r="Z183" i="5"/>
  <c r="Q183" i="5" s="1"/>
  <c r="K183" i="18" s="1"/>
  <c r="G183" i="18" s="1"/>
  <c r="AB35" i="5"/>
  <c r="S35" i="5" s="1"/>
  <c r="L35" i="18" s="1"/>
  <c r="Z100" i="5"/>
  <c r="Q100" i="5" s="1"/>
  <c r="K100" i="18" s="1"/>
  <c r="G100" i="18" s="1"/>
  <c r="N43" i="23"/>
  <c r="K146" i="18"/>
  <c r="G146" i="18" s="1"/>
  <c r="I145" i="18" s="1"/>
  <c r="D146" i="18" s="1"/>
  <c r="AA146" i="5" s="1"/>
  <c r="R146" i="5" s="1"/>
  <c r="AF21" i="23"/>
  <c r="AG21" i="23" s="1"/>
  <c r="Z21" i="23" s="1"/>
  <c r="AI21" i="23" s="1"/>
  <c r="T21" i="5"/>
  <c r="AC20" i="5"/>
  <c r="T20" i="5" s="1"/>
  <c r="AB20" i="5"/>
  <c r="I115" i="23"/>
  <c r="K115" i="23"/>
  <c r="AJ115" i="23"/>
  <c r="AL115" i="23" s="1"/>
  <c r="J115" i="23"/>
  <c r="E54" i="18"/>
  <c r="AC54" i="5" s="1"/>
  <c r="T54" i="5" s="1"/>
  <c r="E49" i="18"/>
  <c r="AC49" i="5" s="1"/>
  <c r="E59" i="18"/>
  <c r="AC59" i="5" s="1"/>
  <c r="T59" i="5" s="1"/>
  <c r="K93" i="23"/>
  <c r="J93" i="23"/>
  <c r="I93" i="23"/>
  <c r="AJ93" i="23"/>
  <c r="AL93" i="23" s="1"/>
  <c r="E75" i="18"/>
  <c r="AC75" i="5" s="1"/>
  <c r="E77" i="18"/>
  <c r="AC77" i="5" s="1"/>
  <c r="T77" i="5" s="1"/>
  <c r="E76" i="18"/>
  <c r="AC76" i="5" s="1"/>
  <c r="T76" i="5" s="1"/>
  <c r="AL205" i="23"/>
  <c r="AD42" i="24" s="1"/>
  <c r="AK205" i="23"/>
  <c r="AI102" i="23"/>
  <c r="Q138" i="5"/>
  <c r="K138" i="18" s="1"/>
  <c r="G138" i="18" s="1"/>
  <c r="AD163" i="23"/>
  <c r="AD62" i="23"/>
  <c r="S138" i="5"/>
  <c r="L138" i="18" s="1"/>
  <c r="H138" i="18" s="1"/>
  <c r="J122" i="18" s="1"/>
  <c r="AD138" i="5"/>
  <c r="U138" i="5" s="1"/>
  <c r="AE163" i="23"/>
  <c r="AE62" i="23"/>
  <c r="N49" i="23"/>
  <c r="AM49" i="23"/>
  <c r="I178" i="23"/>
  <c r="AJ178" i="23"/>
  <c r="AL178" i="23" s="1"/>
  <c r="K178" i="23"/>
  <c r="J178" i="23"/>
  <c r="N13" i="23"/>
  <c r="AM13" i="23"/>
  <c r="N70" i="23"/>
  <c r="S166" i="5"/>
  <c r="L166" i="18" s="1"/>
  <c r="H166" i="18" s="1"/>
  <c r="AD166" i="5"/>
  <c r="U166" i="5" s="1"/>
  <c r="S151" i="5"/>
  <c r="L151" i="18" s="1"/>
  <c r="H151" i="18" s="1"/>
  <c r="AD151" i="5"/>
  <c r="U151" i="5" s="1"/>
  <c r="AB146" i="5"/>
  <c r="T147" i="5"/>
  <c r="AC146" i="5"/>
  <c r="T146" i="5" s="1"/>
  <c r="E93" i="18"/>
  <c r="AC93" i="5" s="1"/>
  <c r="T93" i="5" s="1"/>
  <c r="E79" i="18"/>
  <c r="AC79" i="5" s="1"/>
  <c r="E82" i="18"/>
  <c r="AC82" i="5" s="1"/>
  <c r="T82" i="5" s="1"/>
  <c r="R49" i="5"/>
  <c r="Z48" i="5"/>
  <c r="Q48" i="5" s="1"/>
  <c r="AC183" i="5"/>
  <c r="T183" i="5" s="1"/>
  <c r="T184" i="5"/>
  <c r="AB183" i="5"/>
  <c r="N37" i="23"/>
  <c r="Z9" i="24"/>
  <c r="O43" i="24"/>
  <c r="AC100" i="5" l="1"/>
  <c r="T100" i="5" s="1"/>
  <c r="N130" i="23"/>
  <c r="Z9" i="4"/>
  <c r="AB9" i="4"/>
  <c r="AB100" i="5"/>
  <c r="S100" i="5" s="1"/>
  <c r="L100" i="18" s="1"/>
  <c r="H100" i="18" s="1"/>
  <c r="O43" i="4"/>
  <c r="I107" i="23"/>
  <c r="J107" i="23"/>
  <c r="Y61" i="24"/>
  <c r="Z61" i="24" s="1"/>
  <c r="AD35" i="5"/>
  <c r="U35" i="5" s="1"/>
  <c r="S51" i="24" s="1"/>
  <c r="T51" i="24" s="1"/>
  <c r="K10" i="18"/>
  <c r="G10" i="18" s="1"/>
  <c r="AF62" i="23"/>
  <c r="AG62" i="23" s="1"/>
  <c r="Z62" i="23" s="1"/>
  <c r="AI62" i="23" s="1"/>
  <c r="D166" i="18"/>
  <c r="AA166" i="5" s="1"/>
  <c r="R166" i="5" s="1"/>
  <c r="D151" i="18"/>
  <c r="AA151" i="5" s="1"/>
  <c r="R151" i="5" s="1"/>
  <c r="H40" i="7" s="1"/>
  <c r="AF163" i="23"/>
  <c r="AG163" i="23" s="1"/>
  <c r="Z163" i="23" s="1"/>
  <c r="AI163" i="23" s="1"/>
  <c r="I163" i="23" s="1"/>
  <c r="T79" i="5"/>
  <c r="AC78" i="5"/>
  <c r="T78" i="5" s="1"/>
  <c r="AB78" i="5"/>
  <c r="V62" i="24"/>
  <c r="W62" i="24" s="1"/>
  <c r="V62" i="4"/>
  <c r="W62" i="4" s="1"/>
  <c r="AK206" i="23"/>
  <c r="AL206" i="23"/>
  <c r="AD43" i="24" s="1"/>
  <c r="AJ102" i="23"/>
  <c r="AL102" i="23" s="1"/>
  <c r="I102" i="23"/>
  <c r="J102" i="23"/>
  <c r="K102" i="23"/>
  <c r="AI39" i="23"/>
  <c r="AJ21" i="23"/>
  <c r="AL21" i="23" s="1"/>
  <c r="K21" i="23"/>
  <c r="I21" i="23"/>
  <c r="J21" i="23"/>
  <c r="S146" i="5"/>
  <c r="L146" i="18" s="1"/>
  <c r="H146" i="18" s="1"/>
  <c r="J145" i="18" s="1"/>
  <c r="AD146" i="5"/>
  <c r="AI72" i="23"/>
  <c r="S49" i="4"/>
  <c r="S49" i="24"/>
  <c r="AM93" i="23"/>
  <c r="N93" i="23"/>
  <c r="AM115" i="23"/>
  <c r="N115" i="23"/>
  <c r="AD20" i="5"/>
  <c r="U20" i="5" s="1"/>
  <c r="S20" i="5"/>
  <c r="L20" i="18" s="1"/>
  <c r="V61" i="4"/>
  <c r="W61" i="4" s="1"/>
  <c r="V61" i="24"/>
  <c r="W61" i="24" s="1"/>
  <c r="AM178" i="23"/>
  <c r="N178" i="23"/>
  <c r="S63" i="4"/>
  <c r="T63" i="4" s="1"/>
  <c r="S63" i="24"/>
  <c r="T63" i="24" s="1"/>
  <c r="AD183" i="5"/>
  <c r="U183" i="5" s="1"/>
  <c r="S183" i="5"/>
  <c r="L183" i="18" s="1"/>
  <c r="H183" i="18" s="1"/>
  <c r="J172" i="18" s="1"/>
  <c r="H35" i="18"/>
  <c r="K35" i="18"/>
  <c r="G35" i="18" s="1"/>
  <c r="E124" i="18"/>
  <c r="AC124" i="5" s="1"/>
  <c r="T124" i="5" s="1"/>
  <c r="E129" i="18"/>
  <c r="AC129" i="5" s="1"/>
  <c r="T129" i="5" s="1"/>
  <c r="E138" i="18"/>
  <c r="E123" i="18"/>
  <c r="AC123" i="5" s="1"/>
  <c r="T123" i="5" s="1"/>
  <c r="T75" i="5"/>
  <c r="AB74" i="5"/>
  <c r="S74" i="5" s="1"/>
  <c r="AC48" i="5"/>
  <c r="T48" i="5" s="1"/>
  <c r="T49" i="5"/>
  <c r="AB48" i="5"/>
  <c r="AD100" i="5" l="1"/>
  <c r="U100" i="5" s="1"/>
  <c r="V51" i="4" s="1"/>
  <c r="W51" i="4" s="1"/>
  <c r="S51" i="4"/>
  <c r="T51" i="4" s="1"/>
  <c r="K163" i="23"/>
  <c r="AJ163" i="23"/>
  <c r="AL163" i="23" s="1"/>
  <c r="N163" i="23" s="1"/>
  <c r="H70" i="7"/>
  <c r="I70" i="7"/>
  <c r="J163" i="23"/>
  <c r="I40" i="7"/>
  <c r="I29" i="7"/>
  <c r="H29" i="7"/>
  <c r="E183" i="18"/>
  <c r="E174" i="18"/>
  <c r="E173" i="18"/>
  <c r="AC173" i="5" s="1"/>
  <c r="T173" i="5" s="1"/>
  <c r="E166" i="18"/>
  <c r="E151" i="18"/>
  <c r="E146" i="18"/>
  <c r="AM21" i="23"/>
  <c r="N21" i="23"/>
  <c r="I62" i="23"/>
  <c r="AJ62" i="23"/>
  <c r="AL62" i="23" s="1"/>
  <c r="K62" i="23"/>
  <c r="J62" i="23"/>
  <c r="K20" i="18"/>
  <c r="G20" i="18" s="1"/>
  <c r="H20" i="18"/>
  <c r="T49" i="24"/>
  <c r="R54" i="24"/>
  <c r="J72" i="23"/>
  <c r="K72" i="23"/>
  <c r="I72" i="23"/>
  <c r="AJ72" i="23"/>
  <c r="AL72" i="23" s="1"/>
  <c r="J39" i="23"/>
  <c r="I39" i="23"/>
  <c r="AJ39" i="23"/>
  <c r="AL39" i="23" s="1"/>
  <c r="K39" i="23"/>
  <c r="AM102" i="23"/>
  <c r="N102" i="23"/>
  <c r="S78" i="5"/>
  <c r="AD78" i="5"/>
  <c r="U78" i="5" s="1"/>
  <c r="S48" i="5"/>
  <c r="L48" i="18" s="1"/>
  <c r="AD48" i="5"/>
  <c r="U48" i="5" s="1"/>
  <c r="Y62" i="4"/>
  <c r="Z62" i="4" s="1"/>
  <c r="Y62" i="24"/>
  <c r="Z62" i="24" s="1"/>
  <c r="S50" i="4"/>
  <c r="T50" i="4" s="1"/>
  <c r="S50" i="24"/>
  <c r="T50" i="24" s="1"/>
  <c r="AL209" i="23"/>
  <c r="AD46" i="24" s="1"/>
  <c r="AK209" i="23"/>
  <c r="T49" i="4"/>
  <c r="R54" i="4"/>
  <c r="U146" i="5"/>
  <c r="AD145" i="5"/>
  <c r="V51" i="24" l="1"/>
  <c r="W51" i="24" s="1"/>
  <c r="AM160" i="23"/>
  <c r="W57" i="24"/>
  <c r="U145" i="5"/>
  <c r="W57" i="4"/>
  <c r="S52" i="4"/>
  <c r="T52" i="4" s="1"/>
  <c r="S52" i="24"/>
  <c r="T52" i="24" s="1"/>
  <c r="AM62" i="23"/>
  <c r="N62" i="23"/>
  <c r="K48" i="18"/>
  <c r="G48" i="18" s="1"/>
  <c r="I9" i="18" s="1"/>
  <c r="H48" i="18"/>
  <c r="J9" i="18" s="1"/>
  <c r="AL210" i="23"/>
  <c r="AD47" i="24" s="1"/>
  <c r="AK210" i="23"/>
  <c r="V60" i="4"/>
  <c r="W60" i="4" s="1"/>
  <c r="V60" i="24"/>
  <c r="W60" i="24" s="1"/>
  <c r="V50" i="4"/>
  <c r="W50" i="4" s="1"/>
  <c r="V50" i="24"/>
  <c r="W50" i="24" s="1"/>
  <c r="AM67" i="23"/>
  <c r="N72" i="23"/>
  <c r="L74" i="18"/>
  <c r="H74" i="18" s="1"/>
  <c r="J63" i="18" s="1"/>
  <c r="L78" i="18"/>
  <c r="H78" i="18" s="1"/>
  <c r="AM34" i="23"/>
  <c r="N39" i="23"/>
  <c r="AK203" i="23"/>
  <c r="AL203" i="23"/>
  <c r="AD40" i="24" s="1"/>
  <c r="E35" i="18" l="1"/>
  <c r="E48" i="18"/>
  <c r="E20" i="18"/>
  <c r="E10" i="18"/>
  <c r="E74" i="18"/>
  <c r="AC74" i="5" s="1"/>
  <c r="T74" i="5" s="1"/>
  <c r="E68" i="18"/>
  <c r="AC68" i="5" s="1"/>
  <c r="T68" i="5" s="1"/>
  <c r="E64" i="18"/>
  <c r="AC64" i="5" s="1"/>
  <c r="D20" i="18"/>
  <c r="AA20" i="5" s="1"/>
  <c r="R20" i="5" s="1"/>
  <c r="D10" i="18"/>
  <c r="AA10" i="5" s="1"/>
  <c r="D35" i="18"/>
  <c r="AA35" i="5" s="1"/>
  <c r="R35" i="5" s="1"/>
  <c r="D48" i="18"/>
  <c r="AA48" i="5" s="1"/>
  <c r="R48" i="5" s="1"/>
  <c r="V57" i="4"/>
  <c r="V57" i="24"/>
  <c r="K145" i="18"/>
  <c r="G145" i="18" s="1"/>
  <c r="AL204" i="23"/>
  <c r="AD41" i="24" s="1"/>
  <c r="AK204" i="23"/>
  <c r="AK208" i="23"/>
  <c r="AL208" i="23"/>
  <c r="AD45" i="24" s="1"/>
  <c r="AB11" i="4" l="1"/>
  <c r="Z11" i="4"/>
  <c r="H17" i="7"/>
  <c r="I17" i="7" s="1"/>
  <c r="R10" i="5"/>
  <c r="AD9" i="5"/>
  <c r="K54" i="24"/>
  <c r="Z11" i="24"/>
  <c r="AC63" i="5"/>
  <c r="T63" i="5" s="1"/>
  <c r="T64" i="5"/>
  <c r="AB63" i="5"/>
  <c r="K54" i="4"/>
  <c r="T46" i="24" l="1"/>
  <c r="U9" i="5"/>
  <c r="T46" i="4"/>
  <c r="AD63" i="5"/>
  <c r="S63" i="5"/>
  <c r="L63" i="18" s="1"/>
  <c r="H63" i="18" l="1"/>
  <c r="J62" i="18" s="1"/>
  <c r="K63" i="18"/>
  <c r="G63" i="18" s="1"/>
  <c r="I62" i="18" s="1"/>
  <c r="S46" i="24"/>
  <c r="S46" i="4"/>
  <c r="K9" i="18"/>
  <c r="G9" i="18" s="1"/>
  <c r="U63" i="5"/>
  <c r="Z13" i="4" l="1"/>
  <c r="AB13" i="4"/>
  <c r="G43" i="4"/>
  <c r="V49" i="4"/>
  <c r="W49" i="4" s="1"/>
  <c r="V49" i="24"/>
  <c r="W49" i="24" s="1"/>
  <c r="Z13" i="24"/>
  <c r="G43" i="24"/>
  <c r="D63" i="18"/>
  <c r="AA63" i="5" s="1"/>
  <c r="D100" i="18"/>
  <c r="AA100" i="5" s="1"/>
  <c r="R100" i="5" s="1"/>
  <c r="D78" i="18"/>
  <c r="AA78" i="5" s="1"/>
  <c r="R78" i="5" s="1"/>
  <c r="E78" i="18"/>
  <c r="E100" i="18"/>
  <c r="E63" i="18"/>
  <c r="I37" i="7" l="1"/>
  <c r="I66" i="7"/>
  <c r="H37" i="7"/>
  <c r="H66" i="7"/>
  <c r="R63" i="5"/>
  <c r="AD62" i="5"/>
  <c r="W46" i="24" l="1"/>
  <c r="W46" i="4"/>
  <c r="U62" i="5"/>
  <c r="K62" i="18" l="1"/>
  <c r="G62" i="18" s="1"/>
  <c r="I8" i="18" s="1"/>
  <c r="V46" i="24"/>
  <c r="V46" i="4"/>
  <c r="Z8" i="4" s="1"/>
  <c r="AB8" i="4" l="1"/>
  <c r="K43" i="4"/>
  <c r="K43" i="24"/>
  <c r="Z8" i="24"/>
  <c r="D112" i="18"/>
  <c r="AA112" i="5" s="1"/>
  <c r="R112" i="5" s="1"/>
  <c r="D62" i="18"/>
  <c r="AA62" i="5" s="1"/>
  <c r="R62" i="5" s="1"/>
  <c r="D9" i="18"/>
  <c r="AA9" i="5" s="1"/>
  <c r="R9" i="5" l="1"/>
  <c r="AD8" i="5"/>
  <c r="S7" i="4" l="1"/>
  <c r="S9" i="4" s="1"/>
  <c r="U8" i="5"/>
  <c r="S7" i="24"/>
  <c r="S9" i="24" s="1"/>
  <c r="N41" i="24" l="1"/>
  <c r="N41" i="4"/>
  <c r="T25" i="24"/>
  <c r="T25" i="4"/>
  <c r="T27" i="24" l="1"/>
  <c r="U27" i="24"/>
  <c r="T27" i="4"/>
  <c r="U27" i="4"/>
  <c r="N106" i="26" l="1"/>
  <c r="I120" i="6" s="1"/>
  <c r="I126" i="6" l="1"/>
  <c r="L126" i="6" s="1"/>
  <c r="L120" i="6"/>
  <c r="P106" i="26"/>
  <c r="H120" i="6" s="1"/>
  <c r="E85" i="17" l="1"/>
  <c r="E88" i="17" s="1"/>
  <c r="E89" i="17" s="1"/>
  <c r="E59" i="16"/>
  <c r="D59" i="16"/>
  <c r="O120" i="6"/>
  <c r="G24" i="25" l="1"/>
  <c r="G25" i="25"/>
  <c r="G23" i="25"/>
  <c r="G27" i="25"/>
  <c r="G26" i="25"/>
  <c r="F25" i="25" l="1"/>
  <c r="W123" i="5"/>
  <c r="Z123" i="5" s="1"/>
  <c r="F27" i="25"/>
  <c r="F24" i="25"/>
  <c r="F26" i="25"/>
  <c r="J11" i="25"/>
  <c r="F23" i="25"/>
  <c r="J125" i="6"/>
  <c r="L125" i="6" s="1"/>
  <c r="L123" i="6" s="1"/>
  <c r="D61" i="16" l="1"/>
  <c r="L118" i="6"/>
  <c r="L116" i="6" s="1"/>
  <c r="E46" i="16" s="1"/>
  <c r="U41" i="4" s="1"/>
  <c r="Y41" i="4" s="1"/>
  <c r="O118" i="6"/>
  <c r="O116" i="6" s="1"/>
  <c r="O135" i="6" s="1"/>
  <c r="D46" i="16" s="1"/>
  <c r="AD123" i="5"/>
  <c r="U123" i="5" s="1"/>
  <c r="Q123" i="5"/>
  <c r="K123" i="18" s="1"/>
  <c r="G123" i="18" s="1"/>
  <c r="AD56" i="23"/>
  <c r="AF56" i="23" s="1"/>
  <c r="AG56" i="23" s="1"/>
  <c r="Z56" i="23" s="1"/>
  <c r="E47" i="16"/>
  <c r="L135" i="6"/>
  <c r="L136" i="6" s="1"/>
  <c r="O136" i="6" l="1"/>
  <c r="U41" i="24"/>
  <c r="Y41" i="24" s="1"/>
  <c r="AI56" i="23"/>
  <c r="S60" i="4"/>
  <c r="T60" i="4" s="1"/>
  <c r="S60" i="24"/>
  <c r="T60" i="24" s="1"/>
  <c r="V42" i="24"/>
  <c r="Y42" i="24" s="1"/>
  <c r="V42" i="4"/>
  <c r="Y42" i="4" s="1"/>
  <c r="E52" i="16"/>
  <c r="U40" i="4"/>
  <c r="Y40" i="4" s="1"/>
  <c r="X41" i="4" s="1"/>
  <c r="U40" i="24"/>
  <c r="Y40" i="24" s="1"/>
  <c r="J22" i="14"/>
  <c r="K22" i="14" s="1"/>
  <c r="X41" i="24" l="1"/>
  <c r="K56" i="23"/>
  <c r="J56" i="23"/>
  <c r="AJ56" i="23"/>
  <c r="AL56" i="23" s="1"/>
  <c r="N56" i="23" s="1"/>
  <c r="I56" i="23"/>
  <c r="J23" i="14"/>
  <c r="K23" i="14" s="1"/>
  <c r="L23" i="14" s="1"/>
  <c r="O22" i="14" s="1"/>
  <c r="F13" i="14" s="1"/>
  <c r="W43" i="24"/>
  <c r="Y43" i="24" s="1"/>
  <c r="X43" i="24" s="1"/>
  <c r="W43" i="4"/>
  <c r="Y43" i="4" s="1"/>
  <c r="X43" i="4" s="1"/>
  <c r="X42" i="4"/>
  <c r="T36" i="4" s="1"/>
  <c r="S36" i="4" s="1"/>
  <c r="S37" i="4" s="1"/>
  <c r="X42" i="24"/>
  <c r="T36" i="24" s="1"/>
  <c r="S36" i="24" s="1"/>
  <c r="S37" i="24" s="1"/>
  <c r="J11" i="14" l="1"/>
  <c r="W173" i="5"/>
  <c r="Z173" i="5" s="1"/>
  <c r="F17" i="14"/>
  <c r="F15" i="14"/>
  <c r="F14" i="14"/>
  <c r="F16" i="14"/>
  <c r="F18" i="14"/>
  <c r="AD173" i="5" l="1"/>
  <c r="U173" i="5" s="1"/>
  <c r="AD168" i="23"/>
  <c r="AF168" i="23" s="1"/>
  <c r="AG168" i="23" s="1"/>
  <c r="Z168" i="23" s="1"/>
  <c r="AD170" i="23"/>
  <c r="AF170" i="23" s="1"/>
  <c r="AG170" i="23" s="1"/>
  <c r="Z170" i="23" s="1"/>
  <c r="AD65" i="23"/>
  <c r="AF65" i="23" s="1"/>
  <c r="AG65" i="23" s="1"/>
  <c r="Z65" i="23" s="1"/>
  <c r="Q173" i="5"/>
  <c r="K173" i="18" s="1"/>
  <c r="G173" i="18" s="1"/>
  <c r="I172" i="18" s="1"/>
  <c r="AI65" i="23" l="1"/>
  <c r="AI170" i="23"/>
  <c r="AI168" i="23"/>
  <c r="D173" i="18"/>
  <c r="AA173" i="5" s="1"/>
  <c r="D174" i="18"/>
  <c r="AA174" i="5" s="1"/>
  <c r="R174" i="5" s="1"/>
  <c r="D183" i="18"/>
  <c r="AA183" i="5" s="1"/>
  <c r="R183" i="5" s="1"/>
  <c r="Y60" i="4"/>
  <c r="Z60" i="4" s="1"/>
  <c r="Y60" i="24"/>
  <c r="Z60" i="24" s="1"/>
  <c r="H13" i="7" l="1"/>
  <c r="I44" i="7"/>
  <c r="I36" i="7" s="1"/>
  <c r="H44" i="7"/>
  <c r="I13" i="7"/>
  <c r="AJ170" i="23"/>
  <c r="AL170" i="23" s="1"/>
  <c r="J170" i="23"/>
  <c r="I170" i="23"/>
  <c r="K170" i="23"/>
  <c r="AD172" i="5"/>
  <c r="R173" i="5"/>
  <c r="AJ168" i="23"/>
  <c r="AL168" i="23" s="1"/>
  <c r="K168" i="23"/>
  <c r="J168" i="23"/>
  <c r="I168" i="23"/>
  <c r="J65" i="23"/>
  <c r="AJ65" i="23"/>
  <c r="AL65" i="23" s="1"/>
  <c r="I65" i="23"/>
  <c r="K65" i="23"/>
  <c r="AM170" i="23" l="1"/>
  <c r="AL212" i="23" s="1"/>
  <c r="AD49" i="24" s="1"/>
  <c r="N170" i="23"/>
  <c r="AM168" i="23"/>
  <c r="AL211" i="23" s="1"/>
  <c r="AD48" i="24" s="1"/>
  <c r="N168" i="23"/>
  <c r="AM65" i="23"/>
  <c r="N65" i="23"/>
  <c r="Z57" i="24"/>
  <c r="U172" i="5"/>
  <c r="Z57" i="4"/>
  <c r="I57" i="7"/>
  <c r="I33" i="7"/>
  <c r="I7" i="7"/>
  <c r="H57" i="7"/>
  <c r="H33" i="7"/>
  <c r="AK211" i="23" l="1"/>
  <c r="AK212" i="23"/>
  <c r="Y57" i="4"/>
  <c r="Y57" i="24"/>
  <c r="K172" i="18"/>
  <c r="G172" i="18" s="1"/>
  <c r="Z10" i="4" l="1"/>
  <c r="AB10" i="4"/>
  <c r="Z10" i="24"/>
  <c r="O54" i="24"/>
  <c r="O54" i="4"/>
  <c r="G66" i="25" l="1"/>
  <c r="F63" i="25"/>
  <c r="G64" i="25"/>
  <c r="G68" i="25"/>
  <c r="G67" i="25"/>
  <c r="G65" i="25"/>
  <c r="F65" i="25" l="1"/>
  <c r="F67" i="25"/>
  <c r="J60" i="25"/>
  <c r="F66" i="25"/>
  <c r="W129" i="5"/>
  <c r="Z129" i="5" s="1"/>
  <c r="F64" i="25"/>
  <c r="F68" i="25"/>
  <c r="AD129" i="5" l="1"/>
  <c r="U129" i="5" s="1"/>
  <c r="AD58" i="23"/>
  <c r="AF58" i="23" s="1"/>
  <c r="AG58" i="23" s="1"/>
  <c r="Z58" i="23" s="1"/>
  <c r="AI58" i="23" s="1"/>
  <c r="Q129" i="5"/>
  <c r="K129" i="18" s="1"/>
  <c r="G129" i="18" s="1"/>
  <c r="I122" i="18" s="1"/>
  <c r="D138" i="18" l="1"/>
  <c r="AA138" i="5" s="1"/>
  <c r="R138" i="5" s="1"/>
  <c r="D129" i="18"/>
  <c r="AA129" i="5" s="1"/>
  <c r="R129" i="5" s="1"/>
  <c r="D124" i="18"/>
  <c r="AA124" i="5" s="1"/>
  <c r="R124" i="5" s="1"/>
  <c r="D123" i="18"/>
  <c r="AA123" i="5" s="1"/>
  <c r="K58" i="23"/>
  <c r="AJ58" i="23"/>
  <c r="AL58" i="23" s="1"/>
  <c r="J58" i="23"/>
  <c r="I58" i="23"/>
  <c r="S62" i="4"/>
  <c r="T62" i="4" s="1"/>
  <c r="S62" i="24"/>
  <c r="T62" i="24" s="1"/>
  <c r="N58" i="23" l="1"/>
  <c r="AM56" i="23"/>
  <c r="AD122" i="5"/>
  <c r="R123" i="5"/>
  <c r="H24" i="7" s="1"/>
  <c r="T57" i="24" l="1"/>
  <c r="U122" i="5"/>
  <c r="T57" i="4"/>
  <c r="AL207" i="23"/>
  <c r="AD44" i="24" s="1"/>
  <c r="AK207" i="23"/>
  <c r="AK201" i="23" s="1"/>
  <c r="I24" i="7"/>
  <c r="H52" i="7"/>
  <c r="H74" i="7"/>
  <c r="I52" i="7" l="1"/>
  <c r="I47" i="7" s="1"/>
  <c r="I74" i="7"/>
  <c r="I16" i="7"/>
  <c r="AM201" i="23"/>
  <c r="AN201" i="23"/>
  <c r="AK43" i="24" s="1"/>
  <c r="AK44" i="24" s="1"/>
  <c r="AK45" i="24" s="1"/>
  <c r="K122" i="18"/>
  <c r="G122" i="18" s="1"/>
  <c r="I121" i="18" s="1"/>
  <c r="S57" i="4"/>
  <c r="Z12" i="4" s="1"/>
  <c r="S57" i="24"/>
  <c r="AB12" i="4" l="1"/>
  <c r="I61" i="7"/>
  <c r="G54" i="24"/>
  <c r="Z12" i="24"/>
  <c r="G54" i="4"/>
  <c r="D172" i="18"/>
  <c r="AA172" i="5" s="1"/>
  <c r="R172" i="5" s="1"/>
  <c r="D122" i="18"/>
  <c r="AA122" i="5" s="1"/>
  <c r="D145" i="18"/>
  <c r="AA145" i="5" s="1"/>
  <c r="R145" i="5" s="1"/>
  <c r="AD121" i="5" l="1"/>
  <c r="R122" i="5"/>
  <c r="U121" i="5" l="1"/>
  <c r="S8" i="24"/>
  <c r="S10" i="24" s="1"/>
  <c r="S8" i="4"/>
  <c r="S10" i="4" s="1"/>
  <c r="T24" i="4" l="1"/>
  <c r="S11" i="4"/>
  <c r="T24" i="24"/>
  <c r="S11" i="24"/>
  <c r="N52" i="4"/>
  <c r="K121" i="18"/>
  <c r="G121" i="18" s="1"/>
  <c r="N52" i="24"/>
  <c r="S12" i="24" l="1"/>
  <c r="C25" i="24" s="1"/>
  <c r="T26" i="24"/>
  <c r="S26" i="24"/>
  <c r="S12" i="4"/>
  <c r="C25" i="4" s="1"/>
  <c r="S26" i="4"/>
  <c r="T26" i="4"/>
  <c r="S13" i="4" l="1"/>
  <c r="S14" i="4" s="1"/>
  <c r="S13" i="24"/>
  <c r="S14"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日建設計 </author>
    <author>Junko ENDO</author>
  </authors>
  <commentList>
    <comment ref="C15" authorId="0" shapeId="0" xr:uid="{00000000-0006-0000-0000-000001000000}">
      <text>
        <r>
          <rPr>
            <sz val="9"/>
            <color indexed="81"/>
            <rFont val="ＭＳ Ｐゴシック"/>
            <family val="3"/>
            <charset val="128"/>
          </rPr>
          <t>2003/6等と入力して下さい。
2003年6月と表示されます。</t>
        </r>
      </text>
    </comment>
    <comment ref="C39" authorId="0" shapeId="0" xr:uid="{00000000-0006-0000-0000-000002000000}">
      <text>
        <r>
          <rPr>
            <sz val="9"/>
            <color indexed="81"/>
            <rFont val="ＭＳ Ｐゴシック"/>
            <family val="3"/>
            <charset val="128"/>
          </rPr>
          <t>2003/6/15等と入力して下さい。
2003年6月15日と表示されます。</t>
        </r>
      </text>
    </comment>
    <comment ref="B41" authorId="1" shapeId="0" xr:uid="{00000000-0006-0000-0000-000003000000}">
      <text>
        <r>
          <rPr>
            <sz val="9"/>
            <color indexed="81"/>
            <rFont val="ＭＳ Ｐゴシック"/>
            <family val="3"/>
            <charset val="128"/>
          </rPr>
          <t>第３者による評価結果の確認などを行っている場合は記述する。</t>
        </r>
      </text>
    </comment>
    <comment ref="C41" authorId="0" shapeId="0" xr:uid="{00000000-0006-0000-0000-000004000000}">
      <text>
        <r>
          <rPr>
            <sz val="9"/>
            <color indexed="81"/>
            <rFont val="ＭＳ Ｐゴシック"/>
            <family val="3"/>
            <charset val="128"/>
          </rPr>
          <t>2003/6/15等と入力して下さい。
2003年6月15日と表示されます。</t>
        </r>
      </text>
    </comment>
    <comment ref="F71" authorId="0" shapeId="0" xr:uid="{00000000-0006-0000-0000-000005000000}">
      <text>
        <r>
          <rPr>
            <sz val="9"/>
            <color indexed="81"/>
            <rFont val="ＭＳ Ｐゴシック"/>
            <family val="3"/>
            <charset val="128"/>
          </rPr>
          <t>小数値(「0.9」など)で
比率を入力して下さい。</t>
        </r>
      </text>
    </comment>
    <comment ref="F72" authorId="0" shapeId="0" xr:uid="{00000000-0006-0000-0000-000006000000}">
      <text>
        <r>
          <rPr>
            <sz val="9"/>
            <color indexed="81"/>
            <rFont val="ＭＳ Ｐゴシック"/>
            <family val="3"/>
            <charset val="128"/>
          </rPr>
          <t>小数値(「0.9」など)で
比率を入力して下さい。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Q131" authorId="0" shapeId="0" xr:uid="{00000000-0006-0000-0500-000001000000}">
      <text>
        <r>
          <rPr>
            <b/>
            <sz val="9"/>
            <color indexed="81"/>
            <rFont val="ＭＳ Ｐゴシック"/>
            <family val="3"/>
            <charset val="128"/>
          </rPr>
          <t>専有部と共用部(3aによる評価)の床面積による加重平均</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JUNKO</author>
  </authors>
  <commentList>
    <comment ref="H197" authorId="0" shapeId="0" xr:uid="{00000000-0006-0000-0600-000001000000}">
      <text>
        <r>
          <rPr>
            <b/>
            <sz val="9"/>
            <color indexed="81"/>
            <rFont val="ＭＳ Ｐゴシック"/>
            <family val="3"/>
            <charset val="128"/>
          </rPr>
          <t>全住戸の最大値または平均値</t>
        </r>
      </text>
    </comment>
    <comment ref="J197" authorId="0" shapeId="0" xr:uid="{00000000-0006-0000-0600-000002000000}">
      <text>
        <r>
          <rPr>
            <b/>
            <sz val="9"/>
            <color indexed="81"/>
            <rFont val="ＭＳ Ｐゴシック"/>
            <family val="3"/>
            <charset val="128"/>
          </rPr>
          <t>全住戸の最大値もしくは全住戸の平均値（住棟単位外皮平均熱貫流率）</t>
        </r>
      </text>
    </comment>
    <comment ref="L197" authorId="0" shapeId="0" xr:uid="{00000000-0006-0000-0600-000003000000}">
      <text>
        <r>
          <rPr>
            <b/>
            <sz val="9"/>
            <color indexed="81"/>
            <rFont val="ＭＳ Ｐゴシック"/>
            <family val="3"/>
            <charset val="128"/>
          </rPr>
          <t>全住戸の最大値（最低値）</t>
        </r>
      </text>
    </comment>
    <comment ref="N197" authorId="0" shapeId="0" xr:uid="{00000000-0006-0000-0600-000004000000}">
      <text>
        <r>
          <rPr>
            <b/>
            <sz val="9"/>
            <color indexed="81"/>
            <rFont val="ＭＳ Ｐゴシック"/>
            <family val="3"/>
            <charset val="128"/>
          </rPr>
          <t>全住戸の最小値（最低値）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JUNKO</author>
  </authors>
  <commentList>
    <comment ref="I114" authorId="0" shapeId="0" xr:uid="{00000000-0006-0000-0800-000001000000}">
      <text>
        <r>
          <rPr>
            <b/>
            <sz val="9"/>
            <color indexed="81"/>
            <rFont val="ＭＳ Ｐゴシック"/>
            <family val="3"/>
            <charset val="128"/>
          </rPr>
          <t>敷地面積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F21" authorId="0" shapeId="0" xr:uid="{00000000-0006-0000-0900-000001000000}">
      <text>
        <r>
          <rPr>
            <b/>
            <sz val="9"/>
            <color indexed="81"/>
            <rFont val="ＭＳ Ｐゴシック"/>
            <family val="3"/>
            <charset val="128"/>
          </rPr>
          <t>住宅部分と非住宅部分の床面積による加重平均（小数第2位で切捨）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Junko ENDO</author>
    <author>junko_000</author>
    <author>-</author>
  </authors>
  <commentList>
    <comment ref="H20" authorId="0" shapeId="0" xr:uid="{00000000-0006-0000-0A00-000001000000}">
      <text>
        <r>
          <rPr>
            <b/>
            <sz val="9"/>
            <color indexed="81"/>
            <rFont val="MS P ゴシック"/>
            <family val="3"/>
            <charset val="128"/>
          </rPr>
          <t xml:space="preserve">一次エネルギー削減率
⇒BEI*(共用部も含む）に換算入力してください。
</t>
        </r>
      </text>
    </comment>
    <comment ref="H21" authorId="0" shapeId="0" xr:uid="{00000000-0006-0000-0A00-000002000000}">
      <text>
        <r>
          <rPr>
            <b/>
            <sz val="9"/>
            <color indexed="81"/>
            <rFont val="MS P ゴシック"/>
            <family val="3"/>
            <charset val="128"/>
          </rPr>
          <t xml:space="preserve">一次エネルギー削減率
⇒BEI(共用部も含む）に換算入力してください。
</t>
        </r>
      </text>
    </comment>
    <comment ref="K60" authorId="1" shapeId="0" xr:uid="{00000000-0006-0000-0A00-000003000000}">
      <text>
        <r>
          <rPr>
            <b/>
            <sz val="9"/>
            <color indexed="81"/>
            <rFont val="ＭＳ Ｐゴシック"/>
            <family val="3"/>
            <charset val="128"/>
          </rPr>
          <t>算定プログラムを使わない場合は空欄</t>
        </r>
      </text>
    </comment>
    <comment ref="L60" authorId="2" shapeId="0" xr:uid="{00000000-0006-0000-0A00-000004000000}">
      <text>
        <r>
          <rPr>
            <b/>
            <sz val="8"/>
            <color indexed="10"/>
            <rFont val="ＭＳ Ｐゴシック"/>
            <family val="3"/>
            <charset val="128"/>
          </rPr>
          <t xml:space="preserve">住戸部分のみで評価した場合は、
実績統計値に基づく一次エネルギー消費量で入力する。
522(屋外廊下)又は801（屋内廊下）[MJ/㎡年]×共用部面積[㎡]/1000
</t>
        </r>
      </text>
    </comment>
    <comment ref="K61" authorId="1" shapeId="0" xr:uid="{00000000-0006-0000-0A00-000005000000}">
      <text>
        <r>
          <rPr>
            <b/>
            <sz val="9"/>
            <color indexed="81"/>
            <rFont val="ＭＳ Ｐゴシック"/>
            <family val="3"/>
            <charset val="128"/>
          </rPr>
          <t>算定プログラムを使わない場合は空欄</t>
        </r>
      </text>
    </comment>
    <comment ref="L61" authorId="2" shapeId="0" xr:uid="{00000000-0006-0000-0A00-000006000000}">
      <text>
        <r>
          <rPr>
            <b/>
            <sz val="8"/>
            <color indexed="10"/>
            <rFont val="ＭＳ Ｐゴシック"/>
            <family val="3"/>
            <charset val="128"/>
          </rPr>
          <t>住戸部分のみで評価した場合は、
基準一次エネルギー消費量×BEI※
※住戸部分を仕様基準で評価した場合のBEIは、レベル２＝１．００、レベル１＝１．１０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JUNKO</author>
  </authors>
  <commentList>
    <comment ref="I52" authorId="0" shapeId="0" xr:uid="{00000000-0006-0000-0C00-000001000000}">
      <text>
        <r>
          <rPr>
            <b/>
            <sz val="9"/>
            <color indexed="81"/>
            <rFont val="ＭＳ Ｐゴシック"/>
            <family val="3"/>
            <charset val="128"/>
          </rPr>
          <t>敷地面積</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48" authorId="0" shapeId="0" xr:uid="{00000000-0006-0000-1000-000001000000}">
      <text>
        <r>
          <rPr>
            <sz val="9"/>
            <color indexed="81"/>
            <rFont val="ＭＳ Ｐゴシック"/>
            <family val="3"/>
            <charset val="128"/>
          </rPr>
          <t>下表＜参考＞　[1]の数値を利用できる。</t>
        </r>
      </text>
    </comment>
    <comment ref="D56" authorId="0" shapeId="0" xr:uid="{00000000-0006-0000-1000-000002000000}">
      <text>
        <r>
          <rPr>
            <sz val="9"/>
            <color indexed="81"/>
            <rFont val="ＭＳ Ｐゴシック"/>
            <family val="3"/>
            <charset val="128"/>
          </rPr>
          <t>下表＜参考＞　[2]の数値を利用できる。</t>
        </r>
      </text>
    </comment>
  </commentList>
</comments>
</file>

<file path=xl/sharedStrings.xml><?xml version="1.0" encoding="utf-8"?>
<sst xmlns="http://schemas.openxmlformats.org/spreadsheetml/2006/main" count="11210" uniqueCount="4288">
  <si>
    <t>内装計画</t>
    <rPh sb="0" eb="2">
      <t>ナイソウ</t>
    </rPh>
    <rPh sb="2" eb="4">
      <t>ケイカク</t>
    </rPh>
    <phoneticPr fontId="27"/>
  </si>
  <si>
    <t>維持管理</t>
    <rPh sb="0" eb="2">
      <t>イジ</t>
    </rPh>
    <rPh sb="2" eb="4">
      <t>カンリ</t>
    </rPh>
    <phoneticPr fontId="27"/>
  </si>
  <si>
    <t>維持管理に配慮した設計</t>
  </si>
  <si>
    <t>維持管理用機能の確保</t>
  </si>
  <si>
    <t>衛生管理業務</t>
    <rPh sb="0" eb="2">
      <t>エイセイ</t>
    </rPh>
    <rPh sb="2" eb="4">
      <t>カンリ</t>
    </rPh>
    <rPh sb="4" eb="6">
      <t>ギョウム</t>
    </rPh>
    <phoneticPr fontId="27"/>
  </si>
  <si>
    <t>耐用性・信頼性</t>
    <rPh sb="0" eb="3">
      <t>ﾀｲﾖｳｾｲ</t>
    </rPh>
    <rPh sb="4" eb="6">
      <t>ｼﾝﾗｲ</t>
    </rPh>
    <rPh sb="6" eb="7">
      <t>ｾｲ</t>
    </rPh>
    <phoneticPr fontId="39" type="noConversion"/>
  </si>
  <si>
    <t>リサイクル資材を用いていない。</t>
    <rPh sb="8" eb="9">
      <t>モチ</t>
    </rPh>
    <phoneticPr fontId="27"/>
  </si>
  <si>
    <t>リサイクル資材を１品目用いている。</t>
    <rPh sb="9" eb="11">
      <t>ヒンモク</t>
    </rPh>
    <rPh sb="11" eb="12">
      <t>モチ</t>
    </rPh>
    <phoneticPr fontId="27"/>
  </si>
  <si>
    <t>リサイクル資材を２品目用いている。</t>
    <rPh sb="9" eb="11">
      <t>ヒンモク</t>
    </rPh>
    <rPh sb="11" eb="12">
      <t>モチ</t>
    </rPh>
    <phoneticPr fontId="27"/>
  </si>
  <si>
    <t>リサイクル資材を３品目以上用いている。</t>
    <rPh sb="9" eb="11">
      <t>ヒンモク</t>
    </rPh>
    <rPh sb="11" eb="13">
      <t>イジョウ</t>
    </rPh>
    <rPh sb="13" eb="14">
      <t>モチ</t>
    </rPh>
    <phoneticPr fontId="27"/>
  </si>
  <si>
    <t>[照度]＜300lx、または1000lx≦[照度]</t>
  </si>
  <si>
    <t>自動制御ブラインド等によりグレアを制御。</t>
    <rPh sb="9" eb="10">
      <t>トウ</t>
    </rPh>
    <phoneticPr fontId="27"/>
  </si>
  <si>
    <t>確実な対策を行うために、レベル４を超える特別な配慮を行っている。かつ、それらの設備のメンテナンスが容易な計画となっている。</t>
    <phoneticPr fontId="27"/>
  </si>
  <si>
    <t>窓が開閉不可能な居室において、自然換気有効開口面積が25cm2/m2以上。あるいは、窓が開閉可能な居室において、自然換気有効開口面積が居室床面積の1/30以上。あるいは、必要外気量の２倍以上の外気冷房の採用により室内空気質の向上が期待できる。</t>
  </si>
  <si>
    <t>窓が開閉不可能な居室において、自然換気有効開口面積が50cm2/m2以上。あるいは、窓が開閉可能な居室において、自然換気有効開口面積が居室床面積の1/15以上。あるいは、レベル４の自然換気有効開口面積を満たし、かつ必要外気量の２倍以上の外気冷房の採用により室内空気質の向上が期待できる。</t>
  </si>
  <si>
    <t>自然換気有効開口面積が居室床面積の1/20以上</t>
  </si>
  <si>
    <t>自然換気有効開口面積が居室床面積の1/15以上</t>
  </si>
  <si>
    <t>自然換気有効開口面積が居室床面積の1/10以上</t>
  </si>
  <si>
    <t>学（小中高）</t>
    <phoneticPr fontId="27"/>
  </si>
  <si>
    <t>リフレッシュスペースがない。</t>
  </si>
  <si>
    <t>リフレッシュスペースが執務スペースの1％以上</t>
  </si>
  <si>
    <t>執務スペースの1％以上のリフレッシュスペース＋自動販売機等の設置</t>
  </si>
  <si>
    <t>レベル３を満たさない。</t>
    <rPh sb="5" eb="6">
      <t>ミ</t>
    </rPh>
    <phoneticPr fontId="27"/>
  </si>
  <si>
    <t>②　清掃用資材の洗い場を設置し、安全な排水設備への排水経路を確保している。
※病院建築物においては上記に加え、病床数に応じた清掃資材用の洗濯機を設置するスペースを確保している。</t>
    <phoneticPr fontId="27"/>
  </si>
  <si>
    <t>事・学(大学等)・物・飲・会・病・ホ・工・住</t>
    <rPh sb="4" eb="6">
      <t>ダイガク</t>
    </rPh>
    <rPh sb="6" eb="7">
      <t>トウ</t>
    </rPh>
    <phoneticPr fontId="27"/>
  </si>
  <si>
    <t>（該当するレベルなし）</t>
    <phoneticPr fontId="27"/>
  </si>
  <si>
    <t>建築基準法に定められた耐震性を有する。</t>
    <phoneticPr fontId="27"/>
  </si>
  <si>
    <t>建築基準法に定められた25％増の耐震性を有する。</t>
    <phoneticPr fontId="27"/>
  </si>
  <si>
    <t>評価する取組みが3つ。</t>
    <phoneticPr fontId="27"/>
  </si>
  <si>
    <t>評価する取組みが4つ以上。</t>
    <phoneticPr fontId="27"/>
  </si>
  <si>
    <t>評価する取組みが3つ以上。</t>
    <phoneticPr fontId="27"/>
  </si>
  <si>
    <t>取組数</t>
    <rPh sb="0" eb="2">
      <t>トリクミ</t>
    </rPh>
    <rPh sb="2" eb="3">
      <t>スウ</t>
    </rPh>
    <phoneticPr fontId="27"/>
  </si>
  <si>
    <t>①非常用発電設備を備えている。</t>
    <phoneticPr fontId="27"/>
  </si>
  <si>
    <t>事・学・物・飲・会・病・ホ・工・住</t>
    <phoneticPr fontId="27"/>
  </si>
  <si>
    <t>事・学・物・飲・会・病・ホ・工・住【&lt;2000㎡】</t>
    <phoneticPr fontId="27"/>
  </si>
  <si>
    <t>評価する取組みが1つまたは2つ。</t>
    <phoneticPr fontId="27"/>
  </si>
  <si>
    <t>③重要設備系の受電設備の二重化を行っている。</t>
    <phoneticPr fontId="27"/>
  </si>
  <si>
    <t>⑤電源車接続時に利用可能な用の照明等の配線が設置されている。</t>
    <phoneticPr fontId="27"/>
  </si>
  <si>
    <t>⑥異なる変電所からの引き込みを二重化している。</t>
    <phoneticPr fontId="27"/>
  </si>
  <si>
    <t>評価する取組みがない。</t>
    <phoneticPr fontId="27"/>
  </si>
  <si>
    <t>評価する取組みが1つ。</t>
    <phoneticPr fontId="27"/>
  </si>
  <si>
    <t>評価する取組みが2つ以上。</t>
    <phoneticPr fontId="27"/>
  </si>
  <si>
    <t>耐震クラスA（Bクラスに加えて、大きな補修をすることなく重要な機能が確保できる。）または、動的解析を行った上で設計用水平震度KHを1.5以上としている。</t>
  </si>
  <si>
    <t>評価する取組みが4つ以上。</t>
    <rPh sb="10" eb="12">
      <t>イジョウ</t>
    </rPh>
    <phoneticPr fontId="27"/>
  </si>
  <si>
    <t>主要設備機器の更新に対応したルート又はマシンハッチが確保されておらず、更新・修繕時に建物機能を維持できない状況。</t>
    <phoneticPr fontId="27"/>
  </si>
  <si>
    <t>主要設備機器の更新に対応したルート又はマシンハッチが確保されているが、更新・修繕時に建物機能を維持できない状況。</t>
    <phoneticPr fontId="27"/>
  </si>
  <si>
    <t>主要設備機器の更新に対応したルート又はマシンハッチが確保され、かつ更新・修繕時に建物機能を維持できる状況。</t>
    <phoneticPr fontId="27"/>
  </si>
  <si>
    <t>主要設備機器の更新に対応した仮設スペースが確保でき、かつ更新・修繕時に建物機能を維持できる状況。</t>
    <phoneticPr fontId="27"/>
  </si>
  <si>
    <t>既存の建築躯体を再利用していない。</t>
    <phoneticPr fontId="27"/>
  </si>
  <si>
    <t>構造耐力上主要な部分にリサイクル資材をひとつも用いていない。</t>
    <rPh sb="0" eb="2">
      <t>コウゾウ</t>
    </rPh>
    <rPh sb="2" eb="4">
      <t>タイリョク</t>
    </rPh>
    <rPh sb="4" eb="5">
      <t>ジョウ</t>
    </rPh>
    <rPh sb="5" eb="7">
      <t>シュヨウ</t>
    </rPh>
    <rPh sb="8" eb="10">
      <t>ブブン</t>
    </rPh>
    <rPh sb="16" eb="18">
      <t>シザイ</t>
    </rPh>
    <rPh sb="23" eb="24">
      <t>モチ</t>
    </rPh>
    <phoneticPr fontId="27"/>
  </si>
  <si>
    <t>構造耐力上主要な部分にリサイクル資材を用いている。</t>
    <rPh sb="0" eb="2">
      <t>コウゾウ</t>
    </rPh>
    <rPh sb="2" eb="4">
      <t>タイリョク</t>
    </rPh>
    <rPh sb="4" eb="5">
      <t>ジョウ</t>
    </rPh>
    <rPh sb="5" eb="7">
      <t>シュヨウ</t>
    </rPh>
    <rPh sb="8" eb="10">
      <t>ブブン</t>
    </rPh>
    <rPh sb="16" eb="18">
      <t>シザイ</t>
    </rPh>
    <rPh sb="19" eb="20">
      <t>モチ</t>
    </rPh>
    <phoneticPr fontId="27"/>
  </si>
  <si>
    <t>躯体材料以外におけるリサイクル材の使用</t>
    <rPh sb="0" eb="2">
      <t>クタイ</t>
    </rPh>
    <rPh sb="2" eb="4">
      <t>ザイリョウ</t>
    </rPh>
    <rPh sb="4" eb="6">
      <t>イガイ</t>
    </rPh>
    <rPh sb="15" eb="16">
      <t>ザイ</t>
    </rPh>
    <rPh sb="17" eb="19">
      <t>シヨウ</t>
    </rPh>
    <phoneticPr fontId="27"/>
  </si>
  <si>
    <t>再利用できるユニット部材を用いている。</t>
    <phoneticPr fontId="27"/>
  </si>
  <si>
    <t>構造部材あるいはそのユニットが容易に分解でき、再利用できる。</t>
    <phoneticPr fontId="27"/>
  </si>
  <si>
    <t>不活性ガス消火剤を使用している。または、ODPが0でGWPが50未満のものを使用している。</t>
    <rPh sb="0" eb="3">
      <t>フカッセイ</t>
    </rPh>
    <rPh sb="5" eb="8">
      <t>ショウカザイ</t>
    </rPh>
    <rPh sb="9" eb="11">
      <t>シヨウ</t>
    </rPh>
    <rPh sb="32" eb="34">
      <t>ミマン</t>
    </rPh>
    <rPh sb="38" eb="40">
      <t>シヨウ</t>
    </rPh>
    <phoneticPr fontId="27"/>
  </si>
  <si>
    <t>１地域</t>
    <rPh sb="1" eb="3">
      <t>チイキ</t>
    </rPh>
    <phoneticPr fontId="27"/>
  </si>
  <si>
    <t>２地域</t>
    <rPh sb="1" eb="3">
      <t>チイキ</t>
    </rPh>
    <phoneticPr fontId="27"/>
  </si>
  <si>
    <t>３地域</t>
    <rPh sb="1" eb="3">
      <t>チイキ</t>
    </rPh>
    <phoneticPr fontId="27"/>
  </si>
  <si>
    <t>４地域</t>
    <rPh sb="1" eb="3">
      <t>チイキ</t>
    </rPh>
    <phoneticPr fontId="27"/>
  </si>
  <si>
    <t>５地域</t>
    <rPh sb="1" eb="3">
      <t>チイキ</t>
    </rPh>
    <phoneticPr fontId="27"/>
  </si>
  <si>
    <t>６地域</t>
    <rPh sb="1" eb="3">
      <t>チイキ</t>
    </rPh>
    <phoneticPr fontId="27"/>
  </si>
  <si>
    <t>７地域</t>
    <rPh sb="1" eb="3">
      <t>チイキ</t>
    </rPh>
    <phoneticPr fontId="27"/>
  </si>
  <si>
    <t>８地域</t>
    <rPh sb="1" eb="3">
      <t>チイキ</t>
    </rPh>
    <phoneticPr fontId="27"/>
  </si>
  <si>
    <t>屋上（屋根）・外壁仕上げ材の更新</t>
    <rPh sb="0" eb="2">
      <t>オクジョウ</t>
    </rPh>
    <rPh sb="3" eb="5">
      <t>ヤネ</t>
    </rPh>
    <rPh sb="7" eb="9">
      <t>ガイヘキ</t>
    </rPh>
    <rPh sb="9" eb="11">
      <t>シア</t>
    </rPh>
    <rPh sb="12" eb="13">
      <t>ザイ</t>
    </rPh>
    <rPh sb="14" eb="16">
      <t>コウシン</t>
    </rPh>
    <phoneticPr fontId="27"/>
  </si>
  <si>
    <t>配管・配線材の更新</t>
    <rPh sb="0" eb="2">
      <t>ハイカン</t>
    </rPh>
    <rPh sb="3" eb="5">
      <t>ハイセン</t>
    </rPh>
    <rPh sb="5" eb="6">
      <t>ザイ</t>
    </rPh>
    <rPh sb="7" eb="9">
      <t>コウシン</t>
    </rPh>
    <phoneticPr fontId="27"/>
  </si>
  <si>
    <t>主用設備機器の更新</t>
    <rPh sb="0" eb="2">
      <t>シュヨウ</t>
    </rPh>
    <rPh sb="2" eb="4">
      <t>セツビ</t>
    </rPh>
    <rPh sb="4" eb="6">
      <t>キキ</t>
    </rPh>
    <rPh sb="7" eb="9">
      <t>コウシン</t>
    </rPh>
    <phoneticPr fontId="27"/>
  </si>
  <si>
    <t>信頼性</t>
    <rPh sb="0" eb="3">
      <t>シンライセイ</t>
    </rPh>
    <phoneticPr fontId="27"/>
  </si>
  <si>
    <t>空調・換気設備</t>
    <rPh sb="0" eb="2">
      <t>クウチョウ</t>
    </rPh>
    <rPh sb="3" eb="5">
      <t>カンキ</t>
    </rPh>
    <rPh sb="5" eb="7">
      <t>セツビ</t>
    </rPh>
    <phoneticPr fontId="27"/>
  </si>
  <si>
    <t>給排水・衛生設備</t>
    <rPh sb="0" eb="3">
      <t>キュウハイスイ</t>
    </rPh>
    <rPh sb="4" eb="6">
      <t>エイセイ</t>
    </rPh>
    <rPh sb="6" eb="8">
      <t>セツビ</t>
    </rPh>
    <phoneticPr fontId="27"/>
  </si>
  <si>
    <t>電気設備</t>
    <rPh sb="0" eb="2">
      <t>デンキ</t>
    </rPh>
    <rPh sb="2" eb="4">
      <t>セツビ</t>
    </rPh>
    <phoneticPr fontId="27"/>
  </si>
  <si>
    <t>地域性・文化</t>
    <rPh sb="0" eb="3">
      <t>チイキセイ</t>
    </rPh>
    <rPh sb="4" eb="6">
      <t>ブンカ</t>
    </rPh>
    <phoneticPr fontId="27"/>
  </si>
  <si>
    <t>空気質環境</t>
    <rPh sb="3" eb="5">
      <t>カンキョウ</t>
    </rPh>
    <phoneticPr fontId="27"/>
  </si>
  <si>
    <t>LR-2 資源ﾏﾃﾘｱﾙ</t>
    <rPh sb="5" eb="7">
      <t>シゲン</t>
    </rPh>
    <phoneticPr fontId="27"/>
  </si>
  <si>
    <t>日本住宅性能表示基準「5-1断熱等性能等級」における等級1相当の屋根・外壁・床の部材構成、開口部の仕様を設定している。</t>
    <rPh sb="14" eb="16">
      <t>ダンネツ</t>
    </rPh>
    <rPh sb="16" eb="17">
      <t>トウ</t>
    </rPh>
    <rPh sb="17" eb="19">
      <t>セイノウ</t>
    </rPh>
    <rPh sb="19" eb="21">
      <t>トウキュウ</t>
    </rPh>
    <phoneticPr fontId="27"/>
  </si>
  <si>
    <t>振動規制法に定める現行の規制基準*1を上回っている</t>
    <rPh sb="0" eb="2">
      <t>シンドウ</t>
    </rPh>
    <rPh sb="2" eb="5">
      <t>キセイホウ</t>
    </rPh>
    <rPh sb="6" eb="7">
      <t>サダ</t>
    </rPh>
    <rPh sb="9" eb="11">
      <t>ゲンコウ</t>
    </rPh>
    <rPh sb="12" eb="14">
      <t>キセイ</t>
    </rPh>
    <rPh sb="14" eb="16">
      <t>キジュン</t>
    </rPh>
    <rPh sb="19" eb="21">
      <t>ウワマワ</t>
    </rPh>
    <phoneticPr fontId="27"/>
  </si>
  <si>
    <t>振動規制法に定める特定施設を含む建物を対象とする。これらに当てはまらない場合は対象外とする。</t>
    <rPh sb="0" eb="2">
      <t>シンドウ</t>
    </rPh>
    <rPh sb="2" eb="4">
      <t>キセイ</t>
    </rPh>
    <rPh sb="4" eb="5">
      <t>ホウ</t>
    </rPh>
    <rPh sb="6" eb="7">
      <t>サダ</t>
    </rPh>
    <rPh sb="9" eb="11">
      <t>トクテイ</t>
    </rPh>
    <rPh sb="11" eb="13">
      <t>シセツ</t>
    </rPh>
    <rPh sb="14" eb="15">
      <t>フク</t>
    </rPh>
    <rPh sb="16" eb="18">
      <t>タテモノ</t>
    </rPh>
    <rPh sb="19" eb="21">
      <t>タイショウ</t>
    </rPh>
    <rPh sb="29" eb="30">
      <t>ア</t>
    </rPh>
    <rPh sb="36" eb="38">
      <t>バアイ</t>
    </rPh>
    <rPh sb="39" eb="42">
      <t>タイショウガイ</t>
    </rPh>
    <phoneticPr fontId="27"/>
  </si>
  <si>
    <t>振動規制法に定める現行の規制基準*1以下に抑えられている</t>
    <rPh sb="0" eb="2">
      <t>シンドウ</t>
    </rPh>
    <rPh sb="2" eb="5">
      <t>キセイホウ</t>
    </rPh>
    <rPh sb="6" eb="7">
      <t>サダ</t>
    </rPh>
    <rPh sb="9" eb="11">
      <t>ゲンコウ</t>
    </rPh>
    <rPh sb="12" eb="14">
      <t>キセイ</t>
    </rPh>
    <rPh sb="14" eb="16">
      <t>キジュン</t>
    </rPh>
    <rPh sb="18" eb="20">
      <t>イカ</t>
    </rPh>
    <rPh sb="21" eb="22">
      <t>オサ</t>
    </rPh>
    <phoneticPr fontId="27"/>
  </si>
  <si>
    <t>振動規制法に定める現行の規制基準*1より大幅*2に抑えられている</t>
    <phoneticPr fontId="27"/>
  </si>
  <si>
    <t>事・学・物・飲・会・病・ホ・工・住</t>
    <phoneticPr fontId="27"/>
  </si>
  <si>
    <t>建物外壁（ガラスを含む）の反射光（グレア）の発生を低減させる取組みを行っている。</t>
  </si>
  <si>
    <t>事・学・物・飲・会・病・ホ・住・工</t>
    <rPh sb="0" eb="1">
      <t>コト</t>
    </rPh>
    <rPh sb="2" eb="3">
      <t>ガク</t>
    </rPh>
    <rPh sb="4" eb="5">
      <t>モノ</t>
    </rPh>
    <rPh sb="6" eb="7">
      <t>ノ</t>
    </rPh>
    <rPh sb="8" eb="9">
      <t>カイ</t>
    </rPh>
    <rPh sb="10" eb="11">
      <t>ヤマイ</t>
    </rPh>
    <rPh sb="14" eb="15">
      <t>ジュウ</t>
    </rPh>
    <rPh sb="16" eb="17">
      <t>コウ</t>
    </rPh>
    <phoneticPr fontId="27"/>
  </si>
  <si>
    <t/>
  </si>
  <si>
    <t>維持管理に配慮した設計において、取り組みにおいて該当する項目数が十分でない。（評価する取組みが 0～2）</t>
    <rPh sb="0" eb="2">
      <t>イジ</t>
    </rPh>
    <rPh sb="2" eb="4">
      <t>カンリ</t>
    </rPh>
    <rPh sb="5" eb="7">
      <t>ハイリョ</t>
    </rPh>
    <rPh sb="9" eb="11">
      <t>セッケイ</t>
    </rPh>
    <rPh sb="16" eb="17">
      <t>ト</t>
    </rPh>
    <rPh sb="18" eb="19">
      <t>ク</t>
    </rPh>
    <rPh sb="32" eb="34">
      <t>ジュウブン</t>
    </rPh>
    <rPh sb="39" eb="41">
      <t>ヒョウカ</t>
    </rPh>
    <rPh sb="43" eb="45">
      <t>トリク</t>
    </rPh>
    <phoneticPr fontId="27"/>
  </si>
  <si>
    <t>維持管理に配慮した設計において、取り組みにおいて該当する項目数が標準である。（評価する取組みが 3～5）</t>
    <rPh sb="0" eb="2">
      <t>イジ</t>
    </rPh>
    <rPh sb="2" eb="4">
      <t>カンリ</t>
    </rPh>
    <rPh sb="5" eb="7">
      <t>ハイリョ</t>
    </rPh>
    <rPh sb="9" eb="11">
      <t>セッケイ</t>
    </rPh>
    <rPh sb="16" eb="17">
      <t>ト</t>
    </rPh>
    <rPh sb="18" eb="19">
      <t>ク</t>
    </rPh>
    <rPh sb="32" eb="34">
      <t>ヒョウジュン</t>
    </rPh>
    <rPh sb="39" eb="41">
      <t>ヒョウカ</t>
    </rPh>
    <rPh sb="43" eb="45">
      <t>トリク</t>
    </rPh>
    <phoneticPr fontId="27"/>
  </si>
  <si>
    <t>維持管理に配慮した設計において、取り組みにおいて該当する項目数が標準以上である。（評価する取組みが 6～8）</t>
    <rPh sb="0" eb="2">
      <t>イジ</t>
    </rPh>
    <rPh sb="2" eb="4">
      <t>カンリ</t>
    </rPh>
    <rPh sb="5" eb="7">
      <t>ハイリョ</t>
    </rPh>
    <rPh sb="9" eb="11">
      <t>セッケイ</t>
    </rPh>
    <rPh sb="16" eb="17">
      <t>ト</t>
    </rPh>
    <rPh sb="18" eb="19">
      <t>ク</t>
    </rPh>
    <rPh sb="32" eb="34">
      <t>ヒョウジュン</t>
    </rPh>
    <rPh sb="34" eb="36">
      <t>イジョウ</t>
    </rPh>
    <rPh sb="41" eb="43">
      <t>ヒョウカ</t>
    </rPh>
    <rPh sb="45" eb="47">
      <t>トリク</t>
    </rPh>
    <phoneticPr fontId="27"/>
  </si>
  <si>
    <r>
      <t xml:space="preserve">3.3.4 </t>
    </r>
    <r>
      <rPr>
        <b/>
        <sz val="10"/>
        <rFont val="ＭＳ Ｐゴシック"/>
        <family val="3"/>
        <charset val="128"/>
      </rPr>
      <t>通信配線の更新性</t>
    </r>
    <phoneticPr fontId="27"/>
  </si>
  <si>
    <t>構造部材を痛めることなく電気配線の更新・修繕ができる。</t>
    <phoneticPr fontId="27"/>
  </si>
  <si>
    <t>構造部材を痛めることなく通信配線の更新・修繕ができる。</t>
    <phoneticPr fontId="27"/>
  </si>
  <si>
    <t xml:space="preserve"> </t>
    <phoneticPr fontId="27"/>
  </si>
  <si>
    <t>加湿・除湿機能を有し、45％～55％の快適範囲を設定し、なおかつ、熱橋となる部分の断熱補強、防湿層、通気層の設置等の結露防止対策がとられている。</t>
    <phoneticPr fontId="27"/>
  </si>
  <si>
    <t>⑨　バルブ等の日常的に調整が必要な機器は、操作が容易な位置に設定されている。</t>
    <phoneticPr fontId="27"/>
  </si>
  <si>
    <t>非住宅部分</t>
    <rPh sb="0" eb="1">
      <t>ヒ</t>
    </rPh>
    <rPh sb="1" eb="3">
      <t>ジュウタク</t>
    </rPh>
    <rPh sb="3" eb="5">
      <t>ブブン</t>
    </rPh>
    <phoneticPr fontId="27"/>
  </si>
  <si>
    <t>効率的な運用低減率</t>
    <rPh sb="0" eb="2">
      <t>コウリツ</t>
    </rPh>
    <rPh sb="2" eb="3">
      <t>テキ</t>
    </rPh>
    <rPh sb="4" eb="6">
      <t>ウンヨウ</t>
    </rPh>
    <rPh sb="6" eb="8">
      <t>テイゲン</t>
    </rPh>
    <rPh sb="8" eb="9">
      <t>リツ</t>
    </rPh>
    <phoneticPr fontId="27"/>
  </si>
  <si>
    <t>削減分</t>
    <rPh sb="0" eb="2">
      <t>サクゲン</t>
    </rPh>
    <rPh sb="2" eb="3">
      <t>ブン</t>
    </rPh>
    <phoneticPr fontId="27"/>
  </si>
  <si>
    <t>歴史的建造物の外装、既存の自然環境等を保存、復元、再生することにより、景観的に地域の歴史性を継承している。</t>
    <phoneticPr fontId="27"/>
  </si>
  <si>
    <t>地域性のある素材を外装材に使用して、良好な景観を形成している。</t>
    <phoneticPr fontId="27"/>
  </si>
  <si>
    <t xml:space="preserve">周辺にある公園や広場等の人が集まる場所や遠くから対象建物を含む一帯を眺める地点（視点場）からの良好な景観を形成している。   </t>
    <phoneticPr fontId="27"/>
  </si>
  <si>
    <t>評価する取組み表の評価ポイントの合計値が4ポイント</t>
    <phoneticPr fontId="27"/>
  </si>
  <si>
    <t>1～2</t>
    <phoneticPr fontId="27"/>
  </si>
  <si>
    <r>
      <t>3.3.2</t>
    </r>
    <r>
      <rPr>
        <b/>
        <sz val="10"/>
        <rFont val="ＭＳ Ｐゴシック"/>
        <family val="3"/>
        <charset val="128"/>
      </rPr>
      <t>　昼光の建物外壁による反射光（グレア）への対策</t>
    </r>
    <phoneticPr fontId="27"/>
  </si>
  <si>
    <t>消火剤</t>
    <rPh sb="0" eb="3">
      <t>ショウカザイ</t>
    </rPh>
    <phoneticPr fontId="27"/>
  </si>
  <si>
    <t>発泡剤（断熱材等）</t>
    <rPh sb="0" eb="2">
      <t>ハッポウ</t>
    </rPh>
    <rPh sb="2" eb="3">
      <t>ザイ</t>
    </rPh>
    <rPh sb="4" eb="7">
      <t>ダンネツザイ</t>
    </rPh>
    <rPh sb="7" eb="8">
      <t>トウ</t>
    </rPh>
    <phoneticPr fontId="27"/>
  </si>
  <si>
    <t>冷媒</t>
    <rPh sb="0" eb="2">
      <t>レイバイ</t>
    </rPh>
    <phoneticPr fontId="27"/>
  </si>
  <si>
    <t>対応性・更新性</t>
  </si>
  <si>
    <t xml:space="preserve"> Q2 3</t>
  </si>
  <si>
    <t xml:space="preserve"> Q2 3.1</t>
  </si>
  <si>
    <t>階高のゆとり</t>
  </si>
  <si>
    <t>空間の形状・自由さ</t>
  </si>
  <si>
    <t xml:space="preserve"> Q2 3.3</t>
  </si>
  <si>
    <t>空調配管の更新性</t>
  </si>
  <si>
    <t>給排水管の更新性</t>
  </si>
  <si>
    <t>電気配線の更新性</t>
  </si>
  <si>
    <t>通信配線の更新性</t>
  </si>
  <si>
    <t>設備機器の更新性</t>
  </si>
  <si>
    <t xml:space="preserve"> Q3</t>
  </si>
  <si>
    <t>生物資源の保全と創出</t>
    <rPh sb="2" eb="4">
      <t>シゲン</t>
    </rPh>
    <phoneticPr fontId="27"/>
  </si>
  <si>
    <t xml:space="preserve"> Q3 3</t>
  </si>
  <si>
    <t xml:space="preserve"> </t>
  </si>
  <si>
    <t>建築物の環境負荷低減性</t>
    <rPh sb="0" eb="3">
      <t>ケンチクブツ</t>
    </rPh>
    <rPh sb="4" eb="6">
      <t>カンキョウ</t>
    </rPh>
    <rPh sb="6" eb="8">
      <t>フカ</t>
    </rPh>
    <rPh sb="8" eb="10">
      <t>テイゲン</t>
    </rPh>
    <rPh sb="10" eb="11">
      <t>セイ</t>
    </rPh>
    <phoneticPr fontId="27"/>
  </si>
  <si>
    <t>LR</t>
  </si>
  <si>
    <t>LR1 2</t>
  </si>
  <si>
    <t>ERRによる評価</t>
    <rPh sb="6" eb="8">
      <t>ﾋｮｳｶ</t>
    </rPh>
    <phoneticPr fontId="39" type="noConversion"/>
  </si>
  <si>
    <t>ERR以外による評価</t>
    <rPh sb="3" eb="5">
      <t>イガイ</t>
    </rPh>
    <phoneticPr fontId="27"/>
  </si>
  <si>
    <t>LR1 4</t>
  </si>
  <si>
    <t>LR2 1</t>
  </si>
  <si>
    <t>雨水利用・雑排水再利用</t>
    <rPh sb="0" eb="2">
      <t>ｳｽｲ</t>
    </rPh>
    <rPh sb="2" eb="4">
      <t>ﾘﾖｳ</t>
    </rPh>
    <rPh sb="5" eb="8">
      <t>ｻﾞﾂﾊｲｽｲ</t>
    </rPh>
    <rPh sb="8" eb="9">
      <t>ｻｲ</t>
    </rPh>
    <rPh sb="9" eb="11">
      <t>ﾘﾖｳ</t>
    </rPh>
    <phoneticPr fontId="39" type="noConversion"/>
  </si>
  <si>
    <t>LR2 1.2</t>
  </si>
  <si>
    <t>雑排水等再利用システム導入の有無</t>
  </si>
  <si>
    <t>LR2 2</t>
  </si>
  <si>
    <t>LR2 3</t>
  </si>
  <si>
    <t>フロン・ハロンの回避</t>
  </si>
  <si>
    <r>
      <t>kg-CO</t>
    </r>
    <r>
      <rPr>
        <vertAlign val="subscript"/>
        <sz val="10"/>
        <rFont val="ＭＳ Ｐゴシック"/>
        <family val="3"/>
        <charset val="128"/>
      </rPr>
      <t>2</t>
    </r>
    <r>
      <rPr>
        <sz val="10"/>
        <rFont val="ＭＳ Ｐゴシック"/>
        <family val="3"/>
        <charset val="128"/>
      </rPr>
      <t>/MJ</t>
    </r>
    <phoneticPr fontId="27"/>
  </si>
  <si>
    <t>ガス</t>
    <phoneticPr fontId="27"/>
  </si>
  <si>
    <r>
      <t>kg-CO</t>
    </r>
    <r>
      <rPr>
        <vertAlign val="superscript"/>
        <sz val="10"/>
        <rFont val="ＭＳ Ｐゴシック"/>
        <family val="3"/>
        <charset val="128"/>
      </rPr>
      <t>2</t>
    </r>
    <r>
      <rPr>
        <sz val="10"/>
        <rFont val="ＭＳ Ｐゴシック"/>
        <family val="3"/>
        <charset val="128"/>
      </rPr>
      <t>/MJ</t>
    </r>
    <phoneticPr fontId="27"/>
  </si>
  <si>
    <r>
      <t>■LCCO</t>
    </r>
    <r>
      <rPr>
        <b/>
        <vertAlign val="subscript"/>
        <sz val="12"/>
        <rFont val="ＭＳ Ｐゴシック"/>
        <family val="3"/>
        <charset val="128"/>
      </rPr>
      <t>2</t>
    </r>
    <r>
      <rPr>
        <b/>
        <sz val="12"/>
        <rFont val="ＭＳ Ｐゴシック"/>
        <family val="3"/>
        <charset val="128"/>
      </rPr>
      <t>算定条件シート(個別計算）</t>
    </r>
    <rPh sb="14" eb="16">
      <t>コベツ</t>
    </rPh>
    <rPh sb="16" eb="18">
      <t>ケイサン</t>
    </rPh>
    <phoneticPr fontId="27"/>
  </si>
  <si>
    <t>バウンダリー</t>
    <phoneticPr fontId="27"/>
  </si>
  <si>
    <t>○○　</t>
    <phoneticPr fontId="27"/>
  </si>
  <si>
    <t>〃</t>
    <phoneticPr fontId="27"/>
  </si>
  <si>
    <t>○○</t>
    <phoneticPr fontId="27"/>
  </si>
  <si>
    <t>○○</t>
    <phoneticPr fontId="27"/>
  </si>
  <si>
    <t>○○</t>
    <phoneticPr fontId="27"/>
  </si>
  <si>
    <t>○○</t>
    <phoneticPr fontId="27"/>
  </si>
  <si>
    <t>○○</t>
    <phoneticPr fontId="27"/>
  </si>
  <si>
    <t>修繕・更新・</t>
    <phoneticPr fontId="27"/>
  </si>
  <si>
    <t>③上記+②以外の
　オンサイト手法</t>
    <phoneticPr fontId="27"/>
  </si>
  <si>
    <t>－</t>
    <phoneticPr fontId="27"/>
  </si>
  <si>
    <t>外気冷房効果</t>
  </si>
  <si>
    <t>無音室</t>
    <rPh sb="0" eb="2">
      <t>ムオン</t>
    </rPh>
    <rPh sb="2" eb="3">
      <t>シツ</t>
    </rPh>
    <phoneticPr fontId="27"/>
  </si>
  <si>
    <t>主調整室</t>
    <rPh sb="0" eb="1">
      <t>シュ</t>
    </rPh>
    <rPh sb="1" eb="4">
      <t>チョウセイシツ</t>
    </rPh>
    <phoneticPr fontId="27"/>
  </si>
  <si>
    <t>一般事務室</t>
    <rPh sb="0" eb="2">
      <t>イッパン</t>
    </rPh>
    <rPh sb="2" eb="5">
      <t>ジムシツ</t>
    </rPh>
    <phoneticPr fontId="27"/>
  </si>
  <si>
    <t>集会・ホール</t>
    <rPh sb="0" eb="2">
      <t>シュウカイ</t>
    </rPh>
    <phoneticPr fontId="27"/>
  </si>
  <si>
    <t>音楽堂</t>
    <rPh sb="0" eb="3">
      <t>オンガクドウ</t>
    </rPh>
    <phoneticPr fontId="27"/>
  </si>
  <si>
    <t>劇場（中）</t>
    <rPh sb="0" eb="2">
      <t>ゲキジョウ</t>
    </rPh>
    <rPh sb="3" eb="4">
      <t>チュウ</t>
    </rPh>
    <phoneticPr fontId="27"/>
  </si>
  <si>
    <t>舞台劇場</t>
    <rPh sb="0" eb="2">
      <t>ブタイ</t>
    </rPh>
    <rPh sb="2" eb="4">
      <t>ゲキジョウ</t>
    </rPh>
    <phoneticPr fontId="27"/>
  </si>
  <si>
    <t>映画館・プラネタリウム</t>
    <rPh sb="0" eb="3">
      <t>エイガカン</t>
    </rPh>
    <phoneticPr fontId="27"/>
  </si>
  <si>
    <t>聴力試験室</t>
    <rPh sb="0" eb="2">
      <t>チョウリョク</t>
    </rPh>
    <rPh sb="2" eb="4">
      <t>シケン</t>
    </rPh>
    <rPh sb="4" eb="5">
      <t>シツ</t>
    </rPh>
    <phoneticPr fontId="27"/>
  </si>
  <si>
    <t>特別病室</t>
    <rPh sb="0" eb="2">
      <t>トクベツ</t>
    </rPh>
    <rPh sb="2" eb="4">
      <t>ビョウシツ</t>
    </rPh>
    <phoneticPr fontId="27"/>
  </si>
  <si>
    <t>排出係数の設定</t>
    <rPh sb="0" eb="2">
      <t>ハイシュツ</t>
    </rPh>
    <rPh sb="2" eb="4">
      <t>ケイスウ</t>
    </rPh>
    <rPh sb="5" eb="7">
      <t>セッテイ</t>
    </rPh>
    <phoneticPr fontId="27"/>
  </si>
  <si>
    <t>対策を行っている（評価する取組みにおいて2項目以上を採用）</t>
    <phoneticPr fontId="27"/>
  </si>
  <si>
    <t>取組みなし。</t>
    <phoneticPr fontId="27"/>
  </si>
  <si>
    <t>エネルギー消費に関する表示機器、負荷低減装置等を採用している。</t>
    <phoneticPr fontId="27"/>
  </si>
  <si>
    <t>エネルギーを管理する仕組みがあり、それにより消費エネルギーの削減が可能である取組みがなされている。</t>
    <phoneticPr fontId="27"/>
  </si>
  <si>
    <t>レベル３に加え、主要な用途別エネルギー消費の内訳※1) を把握して、消費特性の傾向把握・分析を行い、妥当性が確認できること。</t>
    <phoneticPr fontId="27"/>
  </si>
  <si>
    <t>内装材と設備が錯綜せず、解体・改修・更新の際に、容易にそれぞれを取り外すことができる。</t>
  </si>
  <si>
    <t>化学物質排出把握管理促進法の対象物質を含有しない建材種別がない。または確認していない。</t>
  </si>
  <si>
    <t>化学物質排出把握管理促進法の対象物質を含有しない建材種別が1つ以上～3つ以下ある。</t>
    <rPh sb="36" eb="38">
      <t>イカ</t>
    </rPh>
    <phoneticPr fontId="27"/>
  </si>
  <si>
    <t>化学物質排出把握管理促進法の対象物質を含有しない建材種別が4つ以上ある。</t>
    <rPh sb="31" eb="33">
      <t>イジョウ</t>
    </rPh>
    <phoneticPr fontId="27"/>
  </si>
  <si>
    <t>分類</t>
    <rPh sb="0" eb="2">
      <t>ブンルイ</t>
    </rPh>
    <phoneticPr fontId="27"/>
  </si>
  <si>
    <t>III 緑の量の確保</t>
    <phoneticPr fontId="27"/>
  </si>
  <si>
    <t>複数ベッド単位で照明制御できる、または、照明制御盤・器具等で調整できる。</t>
    <rPh sb="8" eb="10">
      <t>ショウメイ</t>
    </rPh>
    <rPh sb="10" eb="12">
      <t>セイギョ</t>
    </rPh>
    <rPh sb="20" eb="22">
      <t>ショウメイ</t>
    </rPh>
    <rPh sb="22" eb="25">
      <t>セイギョバン</t>
    </rPh>
    <phoneticPr fontId="27"/>
  </si>
  <si>
    <t>代替値</t>
    <phoneticPr fontId="27"/>
  </si>
  <si>
    <t>根拠等</t>
    <rPh sb="0" eb="2">
      <t>コンキョ</t>
    </rPh>
    <rPh sb="2" eb="3">
      <t>トウ</t>
    </rPh>
    <phoneticPr fontId="27"/>
  </si>
  <si>
    <r>
      <t xml:space="preserve"> [</t>
    </r>
    <r>
      <rPr>
        <sz val="11"/>
        <rFont val="ＭＳ Ｐゴシック"/>
        <family val="3"/>
        <charset val="128"/>
      </rPr>
      <t>2</t>
    </r>
    <r>
      <rPr>
        <sz val="11"/>
        <rFont val="ＭＳ Ｐゴシック"/>
        <family val="3"/>
        <charset val="128"/>
      </rPr>
      <t>]代替値</t>
    </r>
    <rPh sb="4" eb="6">
      <t>ダイタイ</t>
    </rPh>
    <rPh sb="6" eb="7">
      <t>チ</t>
    </rPh>
    <phoneticPr fontId="27"/>
  </si>
  <si>
    <t>降順並び替え</t>
    <rPh sb="0" eb="2">
      <t>コウジュン</t>
    </rPh>
    <rPh sb="2" eb="3">
      <t>ナラ</t>
    </rPh>
    <rPh sb="4" eb="5">
      <t>カ</t>
    </rPh>
    <phoneticPr fontId="27"/>
  </si>
  <si>
    <t>レベル２を満たさない。</t>
    <phoneticPr fontId="27"/>
  </si>
  <si>
    <t>学（小中高）</t>
    <phoneticPr fontId="27"/>
  </si>
  <si>
    <t>レベル３を満たさない。</t>
    <phoneticPr fontId="27"/>
  </si>
  <si>
    <t>-</t>
    <phoneticPr fontId="27"/>
  </si>
  <si>
    <t>［ダニ又はダニアレルゲン］≦１００匹／㎡</t>
    <phoneticPr fontId="27"/>
  </si>
  <si>
    <t>内装は、床・壁の50％以上～65％未満の面積において、ダニ・カビの発生を抑制、あるいは清掃・メンテナンスに配慮したものとなっている。</t>
    <phoneticPr fontId="27"/>
  </si>
  <si>
    <t>内装は、床・壁の65％以上～80％未満の面積において、ダニ・カビの発生を抑制、あるいは清掃・メンテナンスに配慮したものとなっている。</t>
    <phoneticPr fontId="27"/>
  </si>
  <si>
    <t>内装は、床・壁の80％以上の面積において、ダニ・カビの発生を抑制、あるいは清掃・メンテナンスに配慮したものとなっている。</t>
    <phoneticPr fontId="27"/>
  </si>
  <si>
    <t>生物環境の保全と創出に関して配慮に欠け、取り組みが不十分である。(評価ポイント0～3)</t>
    <rPh sb="2" eb="4">
      <t>カンキョウ</t>
    </rPh>
    <phoneticPr fontId="27"/>
  </si>
  <si>
    <t>既存はなし</t>
    <rPh sb="0" eb="2">
      <t>キソン</t>
    </rPh>
    <phoneticPr fontId="27"/>
  </si>
  <si>
    <t>1～3</t>
  </si>
  <si>
    <t>1～2</t>
  </si>
  <si>
    <t>まちなみ・景観への配慮</t>
  </si>
  <si>
    <t>(評価ポイント0)</t>
    <rPh sb="1" eb="3">
      <t>ヒョウカ</t>
    </rPh>
    <phoneticPr fontId="27"/>
  </si>
  <si>
    <t>周辺のまちなみや景観に対して、標準以上の配慮が行われている。(評価ポイント4)</t>
  </si>
  <si>
    <t>周辺のまちなみや景観に対して、充実した取組みが行われている。
（評価ポイント5以上、又は地域のまちなみ・景観に関する賞を受賞している）</t>
    <rPh sb="32" eb="34">
      <t>ヒョウカ</t>
    </rPh>
    <phoneticPr fontId="27"/>
  </si>
  <si>
    <t>2）植栽による良好な景観形成</t>
    <rPh sb="2" eb="4">
      <t>ショクサイ</t>
    </rPh>
    <phoneticPr fontId="27"/>
  </si>
  <si>
    <t>4）地域性のある素材による良好な景観形成</t>
    <rPh sb="2" eb="5">
      <t>チイキセイ</t>
    </rPh>
    <rPh sb="8" eb="10">
      <t>ソザイ</t>
    </rPh>
    <rPh sb="13" eb="15">
      <t>リョウコウ</t>
    </rPh>
    <rPh sb="16" eb="18">
      <t>ケイカン</t>
    </rPh>
    <rPh sb="18" eb="20">
      <t>ケイセイ</t>
    </rPh>
    <phoneticPr fontId="27"/>
  </si>
  <si>
    <t>5）周辺の主要な視点場からの良好な景観形成</t>
    <rPh sb="8" eb="10">
      <t>シテン</t>
    </rPh>
    <rPh sb="10" eb="11">
      <t>バ</t>
    </rPh>
    <phoneticPr fontId="27"/>
  </si>
  <si>
    <t>地域性・アメニティへの配慮</t>
  </si>
  <si>
    <t>地域性への配慮、快適性の向上</t>
    <rPh sb="0" eb="3">
      <t>チイキセイ</t>
    </rPh>
    <rPh sb="5" eb="7">
      <t>ハイリョ</t>
    </rPh>
    <rPh sb="8" eb="11">
      <t>カイテキセイ</t>
    </rPh>
    <rPh sb="12" eb="14">
      <t>コウジョウ</t>
    </rPh>
    <phoneticPr fontId="27"/>
  </si>
  <si>
    <t>地域性・アメニティへの配慮に関して取組みを行っていない。(評価ポイント0)</t>
  </si>
  <si>
    <t>地域性・アメニティへの配慮に関して取組みが十分とはいえない。(評価ポイント1)</t>
  </si>
  <si>
    <t>ホテルo</t>
    <phoneticPr fontId="27"/>
  </si>
  <si>
    <t>集合住宅o</t>
    <phoneticPr fontId="27"/>
  </si>
  <si>
    <t>延面積比率</t>
    <phoneticPr fontId="27"/>
  </si>
  <si>
    <t>Q</t>
    <phoneticPr fontId="27"/>
  </si>
  <si>
    <t xml:space="preserve"> Q</t>
    <phoneticPr fontId="27"/>
  </si>
  <si>
    <t>Q</t>
    <phoneticPr fontId="27"/>
  </si>
  <si>
    <t>建築物の環境品質</t>
    <phoneticPr fontId="27"/>
  </si>
  <si>
    <t>Q1</t>
    <phoneticPr fontId="39" type="noConversion"/>
  </si>
  <si>
    <t>室内環境</t>
    <phoneticPr fontId="27"/>
  </si>
  <si>
    <t>騒音</t>
    <phoneticPr fontId="27"/>
  </si>
  <si>
    <t>1.2.1</t>
    <phoneticPr fontId="27"/>
  </si>
  <si>
    <t>開口部遮音性能</t>
    <phoneticPr fontId="27"/>
  </si>
  <si>
    <t>1.2.2</t>
    <phoneticPr fontId="27"/>
  </si>
  <si>
    <t>1.2.3</t>
    <phoneticPr fontId="27"/>
  </si>
  <si>
    <t>1.2.4</t>
    <phoneticPr fontId="27"/>
  </si>
  <si>
    <t>2.1.1</t>
    <phoneticPr fontId="27"/>
  </si>
  <si>
    <t>2.3.1</t>
    <phoneticPr fontId="27"/>
  </si>
  <si>
    <t>2.3.1</t>
    <phoneticPr fontId="27"/>
  </si>
  <si>
    <t>2.3.2</t>
    <phoneticPr fontId="27"/>
  </si>
  <si>
    <t>2.3.2</t>
    <phoneticPr fontId="27"/>
  </si>
  <si>
    <t>時間外空調に対する配慮</t>
    <rPh sb="0" eb="3">
      <t>ジカンガイ</t>
    </rPh>
    <rPh sb="3" eb="5">
      <t>クウチョウ</t>
    </rPh>
    <rPh sb="6" eb="7">
      <t>タイ</t>
    </rPh>
    <rPh sb="9" eb="11">
      <t>ハイリョ</t>
    </rPh>
    <phoneticPr fontId="27"/>
  </si>
  <si>
    <t>監視システム</t>
    <rPh sb="0" eb="2">
      <t>カンシ</t>
    </rPh>
    <phoneticPr fontId="27"/>
  </si>
  <si>
    <t>湿度制御</t>
    <rPh sb="0" eb="2">
      <t>ｼﾂﾄﾞ</t>
    </rPh>
    <rPh sb="2" eb="4">
      <t>ｾｲｷﾞｮ</t>
    </rPh>
    <phoneticPr fontId="39" type="noConversion"/>
  </si>
  <si>
    <t>空調方式</t>
    <rPh sb="0" eb="2">
      <t>クウチョウ</t>
    </rPh>
    <rPh sb="2" eb="4">
      <t>ホウシキ</t>
    </rPh>
    <phoneticPr fontId="27"/>
  </si>
  <si>
    <t>上下温度差</t>
    <rPh sb="0" eb="2">
      <t>ジョウゲ</t>
    </rPh>
    <rPh sb="2" eb="5">
      <t>オンドサ</t>
    </rPh>
    <phoneticPr fontId="27"/>
  </si>
  <si>
    <t>建築基準法施行細則第8条（建築設備等の定期報告）に基づく換気設備定期点検を年1回実施し、改善している。
※特定行政庁が規定する特殊建築物に該当しない場合は取組み「0点」として評価する。</t>
    <phoneticPr fontId="27"/>
  </si>
  <si>
    <t>建築物環境衛生管理基準レベルの空調管理を実施し、記録を保管している。</t>
    <phoneticPr fontId="27"/>
  </si>
  <si>
    <t>ねずみ等の点検・防除は何も実施していない。</t>
    <phoneticPr fontId="27"/>
  </si>
  <si>
    <t>病・ホ・住</t>
    <phoneticPr fontId="27"/>
  </si>
  <si>
    <t>0.7≦　[壁長さ比率]</t>
    <phoneticPr fontId="27"/>
  </si>
  <si>
    <t>0.5≦　[壁長さ比率] ＜0.7</t>
    <phoneticPr fontId="27"/>
  </si>
  <si>
    <t>0.3≦　[壁長さ比率] ＜0.5</t>
    <phoneticPr fontId="27"/>
  </si>
  <si>
    <t>0.1≦　[壁長さ比率] ＜0.3</t>
    <phoneticPr fontId="27"/>
  </si>
  <si>
    <t xml:space="preserve"> [壁長さ比率] ＜0.1</t>
    <phoneticPr fontId="27"/>
  </si>
  <si>
    <t>専用面積（㎡）</t>
    <phoneticPr fontId="27"/>
  </si>
  <si>
    <r>
      <t xml:space="preserve">3.3.2 </t>
    </r>
    <r>
      <rPr>
        <b/>
        <sz val="10"/>
        <rFont val="ＭＳ Ｐゴシック"/>
        <family val="3"/>
        <charset val="128"/>
      </rPr>
      <t>給排水管の更新性</t>
    </r>
    <phoneticPr fontId="27"/>
  </si>
  <si>
    <t>将来用（更新用）スペース、ルートの確保されることなどによって、構造部材を痛めることなくほぼ全ての空調配管の更新・修繕ができる。 または中央式空調設備を持たない。</t>
    <phoneticPr fontId="27"/>
  </si>
  <si>
    <t>2.1.7 時間外空調に対する配慮</t>
    <phoneticPr fontId="27"/>
  </si>
  <si>
    <t>建物全体・共用部分</t>
    <phoneticPr fontId="27"/>
  </si>
  <si>
    <t>同一フロアで熱負荷別に複数にゾーニングがなされており、複数ゾーン監視のために制御センサとは別に複数の監視・計測用センサがある監視システムが設置されている。</t>
    <phoneticPr fontId="27"/>
  </si>
  <si>
    <t>型　枠</t>
    <rPh sb="0" eb="1">
      <t>カタ</t>
    </rPh>
    <rPh sb="2" eb="3">
      <t>ワク</t>
    </rPh>
    <phoneticPr fontId="27"/>
  </si>
  <si>
    <t>主要なリサイクル建材と利用利率</t>
    <rPh sb="0" eb="2">
      <t>シュヨウ</t>
    </rPh>
    <rPh sb="8" eb="10">
      <t>ケンザイ</t>
    </rPh>
    <rPh sb="11" eb="13">
      <t>リヨウ</t>
    </rPh>
    <rPh sb="13" eb="15">
      <t>リリツ</t>
    </rPh>
    <phoneticPr fontId="27"/>
  </si>
  <si>
    <t>高炉セメント
（躯体での利用率）</t>
    <rPh sb="0" eb="2">
      <t>コウロ</t>
    </rPh>
    <rPh sb="8" eb="10">
      <t>クタイ</t>
    </rPh>
    <rPh sb="12" eb="14">
      <t>リヨウ</t>
    </rPh>
    <rPh sb="14" eb="15">
      <t>リツ</t>
    </rPh>
    <phoneticPr fontId="27"/>
  </si>
  <si>
    <t>既存躯体の再利用
（躯体での利用率）</t>
    <rPh sb="0" eb="2">
      <t>キソン</t>
    </rPh>
    <rPh sb="2" eb="4">
      <t>クタイ</t>
    </rPh>
    <rPh sb="5" eb="8">
      <t>サイリヨウ</t>
    </rPh>
    <rPh sb="10" eb="12">
      <t>クタイ</t>
    </rPh>
    <rPh sb="14" eb="17">
      <t>リヨウリツ</t>
    </rPh>
    <phoneticPr fontId="27"/>
  </si>
  <si>
    <t>電炉鋼材（鉄筋）</t>
    <rPh sb="0" eb="2">
      <t>デンロ</t>
    </rPh>
    <rPh sb="2" eb="4">
      <t>コウザイ</t>
    </rPh>
    <phoneticPr fontId="27"/>
  </si>
  <si>
    <t>電炉鋼材（鋼材）</t>
    <rPh sb="0" eb="2">
      <t>デンロ</t>
    </rPh>
    <rPh sb="2" eb="4">
      <t>コウザイ</t>
    </rPh>
    <rPh sb="5" eb="7">
      <t>コウザイ</t>
    </rPh>
    <phoneticPr fontId="27"/>
  </si>
  <si>
    <t>更新周期（年）</t>
    <rPh sb="0" eb="2">
      <t>コウシン</t>
    </rPh>
    <rPh sb="2" eb="4">
      <t>シュウキ</t>
    </rPh>
    <rPh sb="5" eb="6">
      <t>ネン</t>
    </rPh>
    <phoneticPr fontId="27"/>
  </si>
  <si>
    <t>平均修繕率（％/年）</t>
    <rPh sb="0" eb="2">
      <t>ヘイキン</t>
    </rPh>
    <rPh sb="2" eb="4">
      <t>シュウゼン</t>
    </rPh>
    <rPh sb="4" eb="5">
      <t>リツ</t>
    </rPh>
    <rPh sb="8" eb="9">
      <t>ネン</t>
    </rPh>
    <phoneticPr fontId="27"/>
  </si>
  <si>
    <t>一般的な冬期30～45％、夏期55％～80％の範囲で計画されている。</t>
    <phoneticPr fontId="27"/>
  </si>
  <si>
    <t>加湿・除湿機能を有し、かつASHRAE快適域やPOEM-Oを参考に45％～55％の範囲で計画されている。</t>
    <phoneticPr fontId="27"/>
  </si>
  <si>
    <t>加湿・除湿機能を有し、ASHRAE快適域やPOEM-Oを参考に45％～55％の範囲で計画されている。</t>
    <phoneticPr fontId="27"/>
  </si>
  <si>
    <t>加湿・除湿機能を有し、45％～55％の快適範囲を設定し、なおかつ、熱橋となる部分の断熱補強、防湿層、通気層の設置等の結露防止対策がとられている。</t>
    <phoneticPr fontId="27"/>
  </si>
  <si>
    <t>レベル３を満たさない。</t>
    <phoneticPr fontId="27"/>
  </si>
  <si>
    <t>何も配慮していない。</t>
    <phoneticPr fontId="27"/>
  </si>
  <si>
    <t>加湿機能を有し、かつ一般的な冬期40％、夏期50％の湿度を実現する設備容量が確保されている。</t>
    <phoneticPr fontId="27"/>
  </si>
  <si>
    <t>加湿機能を有し、かつ一般的な冬期40～70％、夏期50～65％の湿度を実現する設備容量が確保されている。</t>
    <phoneticPr fontId="27"/>
  </si>
  <si>
    <t>一般的な冬期30～45％、夏期55％～80％の範囲にある。</t>
    <phoneticPr fontId="27"/>
  </si>
  <si>
    <t>加湿機能を有し、かつ一般的な夏期50％、冬期40％の湿度を実現する設備容量が確保されている。</t>
    <phoneticPr fontId="27"/>
  </si>
  <si>
    <t>寒冷地域</t>
    <rPh sb="0" eb="2">
      <t>カンレイ</t>
    </rPh>
    <rPh sb="2" eb="4">
      <t>チイキ</t>
    </rPh>
    <phoneticPr fontId="27"/>
  </si>
  <si>
    <t>暑熱地域</t>
    <rPh sb="0" eb="2">
      <t>ショネツ</t>
    </rPh>
    <rPh sb="2" eb="4">
      <t>チイキ</t>
    </rPh>
    <phoneticPr fontId="27"/>
  </si>
  <si>
    <t>○○</t>
    <phoneticPr fontId="27"/>
  </si>
  <si>
    <t>テレビ、ラジオ、会話等の一般の発生音がかなり聞こえる。</t>
    <phoneticPr fontId="27"/>
  </si>
  <si>
    <t xml:space="preserve">隣戸の生活がかなり分かる。 </t>
    <phoneticPr fontId="27"/>
  </si>
  <si>
    <t>人の話し声が気にならない。</t>
    <phoneticPr fontId="27"/>
  </si>
  <si>
    <t>会話等の一般の発生音が小さく聞える。</t>
    <phoneticPr fontId="27"/>
  </si>
  <si>
    <t>テレビ、ラジオ、会話等の一般の発生音が小さく聞こえる。</t>
    <phoneticPr fontId="27"/>
  </si>
  <si>
    <t>隣戸住宅の生活がわかるがあまり気にならない。</t>
    <phoneticPr fontId="27"/>
  </si>
  <si>
    <t>会話等の一般の発生音がほとんど聞えない。</t>
    <phoneticPr fontId="27"/>
  </si>
  <si>
    <t>Dr-40未満</t>
    <phoneticPr fontId="27"/>
  </si>
  <si>
    <t>Dr-40</t>
    <phoneticPr fontId="27"/>
  </si>
  <si>
    <t>Dr-45</t>
    <phoneticPr fontId="27"/>
  </si>
  <si>
    <t>Dr-50</t>
    <phoneticPr fontId="27"/>
  </si>
  <si>
    <t>1.2.3 界床遮音性能（軽量衝撃源）</t>
    <phoneticPr fontId="27"/>
  </si>
  <si>
    <t>建物全体・共用部分</t>
    <phoneticPr fontId="27"/>
  </si>
  <si>
    <t>病・ホ・住</t>
    <phoneticPr fontId="27"/>
  </si>
  <si>
    <t>椅子の移動音、物の落下音がかなりうるさい。　</t>
    <phoneticPr fontId="27"/>
  </si>
  <si>
    <t>採点結果</t>
    <rPh sb="0" eb="2">
      <t>サイテン</t>
    </rPh>
    <rPh sb="2" eb="4">
      <t>ケッカ</t>
    </rPh>
    <phoneticPr fontId="27"/>
  </si>
  <si>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27"/>
  </si>
  <si>
    <t>Q2/2.2.1 躯体材料の耐用年数</t>
    <rPh sb="9" eb="11">
      <t>クタイ</t>
    </rPh>
    <rPh sb="11" eb="13">
      <t>ザイリョウ</t>
    </rPh>
    <rPh sb="14" eb="16">
      <t>タイヨウ</t>
    </rPh>
    <rPh sb="16" eb="18">
      <t>ネンスウ</t>
    </rPh>
    <phoneticPr fontId="27"/>
  </si>
  <si>
    <t>ホテル</t>
  </si>
  <si>
    <t>評価対象の構造</t>
    <rPh sb="0" eb="2">
      <t>ヒョウカ</t>
    </rPh>
    <rPh sb="2" eb="4">
      <t>タイショウ</t>
    </rPh>
    <rPh sb="5" eb="7">
      <t>コウゾウ</t>
    </rPh>
    <phoneticPr fontId="27"/>
  </si>
  <si>
    <t>LR2/2.2 既存建築躯体等の継続使用</t>
    <rPh sb="8" eb="10">
      <t>キソン</t>
    </rPh>
    <rPh sb="10" eb="12">
      <t>ケンチク</t>
    </rPh>
    <rPh sb="12" eb="14">
      <t>クタイ</t>
    </rPh>
    <rPh sb="14" eb="15">
      <t>トウ</t>
    </rPh>
    <rPh sb="16" eb="18">
      <t>ケイゾク</t>
    </rPh>
    <rPh sb="18" eb="20">
      <t>シヨウ</t>
    </rPh>
    <phoneticPr fontId="27"/>
  </si>
  <si>
    <t>用途地域</t>
    <rPh sb="0" eb="2">
      <t>ﾖｳﾄ</t>
    </rPh>
    <rPh sb="2" eb="4">
      <t>ﾁｲｷ</t>
    </rPh>
    <phoneticPr fontId="39" type="noConversion"/>
  </si>
  <si>
    <t>熱反ガラスを使用し、且つ水平庇１．０ｍ以上が計画されている。又は、高性能熱反ガラスを使用し、かつ水平庇0.5～1.0ｍが計画されている。</t>
    <rPh sb="6" eb="8">
      <t>シヨウ</t>
    </rPh>
    <rPh sb="10" eb="11">
      <t>カ</t>
    </rPh>
    <rPh sb="12" eb="14">
      <t>スイヘイ</t>
    </rPh>
    <rPh sb="14" eb="15">
      <t>ヒサシ</t>
    </rPh>
    <rPh sb="22" eb="24">
      <t>ケイカク</t>
    </rPh>
    <rPh sb="30" eb="31">
      <t>マタ</t>
    </rPh>
    <phoneticPr fontId="27"/>
  </si>
  <si>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7"/>
  </si>
  <si>
    <t>同一フロアで用途別や熱負荷別に複数にゾーニングがなされており、同一フロアで冷房・暖房は切り替えとなる空調システムが計画されている。</t>
  </si>
  <si>
    <t>単一ダクト方式、２管式ＦＣＵ方式（ゾーニングのグレード評価、冷暖切り替え）</t>
    <phoneticPr fontId="27"/>
  </si>
  <si>
    <t>レベル３程度の空調のゾーニングがなされており、さらにゾーン別に冷房・暖房の選択が可能な空調システムとしている。</t>
    <phoneticPr fontId="27"/>
  </si>
  <si>
    <t>二重ダクト方式（ＡＨＵで４管式）、４管式ＦＣＵ方式、タスク・アンビエント空調方式（ゾーニングのグレード、冷暖同時の双方を評価）</t>
    <phoneticPr fontId="27"/>
  </si>
  <si>
    <t>同一フロアで、熱負荷別に売り場・テナント用に細かくゾーニングがなされており、各ゾーン単位で冷房・暖房が可能な空調システムが計画されている。</t>
  </si>
  <si>
    <t>風害対策に対する要請がない。または、自主的な対策を評価しない場合は、レベル３</t>
    <rPh sb="0" eb="2">
      <t>フウガイ</t>
    </rPh>
    <rPh sb="2" eb="4">
      <t>タイサク</t>
    </rPh>
    <rPh sb="5" eb="6">
      <t>タイ</t>
    </rPh>
    <rPh sb="8" eb="10">
      <t>ヨウセイ</t>
    </rPh>
    <rPh sb="18" eb="21">
      <t>ジシュテキ</t>
    </rPh>
    <rPh sb="22" eb="24">
      <t>タイサク</t>
    </rPh>
    <rPh sb="25" eb="27">
      <t>ヒョウカ</t>
    </rPh>
    <rPh sb="30" eb="32">
      <t>バアイ</t>
    </rPh>
    <phoneticPr fontId="27"/>
  </si>
  <si>
    <t>周辺のまちなみや景観に対して、標準的な配慮が行われている。(評価ポイント3)</t>
    <phoneticPr fontId="27"/>
  </si>
  <si>
    <t>1）建物の配置・形態等のまちなみへの調和</t>
    <phoneticPr fontId="27"/>
  </si>
  <si>
    <t>建物高さ、壁面位置、外装･屋根･庇･開口部･塀等の形状や色彩において、周辺のまちなみや風景にバランスよく調和させている。</t>
    <phoneticPr fontId="27"/>
  </si>
  <si>
    <t>Ⅲ 給水・給湯管理
   （飲用・炊事用・浴用等）の評価</t>
    <rPh sb="2" eb="4">
      <t>キュウスイ</t>
    </rPh>
    <rPh sb="5" eb="7">
      <t>キュウトウ</t>
    </rPh>
    <rPh sb="7" eb="9">
      <t>カンリ</t>
    </rPh>
    <rPh sb="14" eb="16">
      <t>インヨウ</t>
    </rPh>
    <rPh sb="17" eb="20">
      <t>スイジヨウ</t>
    </rPh>
    <rPh sb="21" eb="24">
      <t>ヨクヨウナド</t>
    </rPh>
    <rPh sb="26" eb="28">
      <t>ヒョウカ</t>
    </rPh>
    <phoneticPr fontId="27"/>
  </si>
  <si>
    <t>建築物環境衛生管理基準の給水設備において不適切項目がある。</t>
    <rPh sb="0" eb="3">
      <t>ケンチクブツ</t>
    </rPh>
    <rPh sb="3" eb="5">
      <t>カンキョウ</t>
    </rPh>
    <rPh sb="5" eb="7">
      <t>エイセイ</t>
    </rPh>
    <rPh sb="7" eb="9">
      <t>カンリ</t>
    </rPh>
    <rPh sb="9" eb="11">
      <t>キジュン</t>
    </rPh>
    <rPh sb="12" eb="14">
      <t>キュウスイ</t>
    </rPh>
    <rPh sb="14" eb="16">
      <t>セツビ</t>
    </rPh>
    <rPh sb="20" eb="23">
      <t>フテキセツ</t>
    </rPh>
    <rPh sb="23" eb="25">
      <t>コウモク</t>
    </rPh>
    <phoneticPr fontId="27"/>
  </si>
  <si>
    <t>建築物環境衛生管理基準を満たしている。</t>
    <rPh sb="0" eb="3">
      <t>ケンチクブツ</t>
    </rPh>
    <rPh sb="3" eb="5">
      <t>カンキョウ</t>
    </rPh>
    <rPh sb="5" eb="7">
      <t>エイセイ</t>
    </rPh>
    <rPh sb="7" eb="9">
      <t>カンリ</t>
    </rPh>
    <rPh sb="9" eb="11">
      <t>キジュン</t>
    </rPh>
    <rPh sb="12" eb="13">
      <t>ミ</t>
    </rPh>
    <phoneticPr fontId="27"/>
  </si>
  <si>
    <t>耐用性・信頼性</t>
    <rPh sb="0" eb="2">
      <t>タイヨウ</t>
    </rPh>
    <rPh sb="2" eb="3">
      <t>セイ</t>
    </rPh>
    <rPh sb="4" eb="7">
      <t>シンライセイ</t>
    </rPh>
    <phoneticPr fontId="27"/>
  </si>
  <si>
    <t>(該当するレベルなし)</t>
    <phoneticPr fontId="27"/>
  </si>
  <si>
    <t>建築基準法に定められた耐震性を有する。</t>
  </si>
  <si>
    <t>建築基準法に定められた25％増の耐震性を有する。</t>
  </si>
  <si>
    <t>建築基準法に定められた50％増の耐震性を有する。あるいは損傷制御設計が行われている。</t>
  </si>
  <si>
    <t>　（２）温暖化対策推進法に基づく温室効果ガス排出量の算定方法を参考とする場合</t>
    <rPh sb="31" eb="33">
      <t>サンコウ</t>
    </rPh>
    <phoneticPr fontId="27"/>
  </si>
  <si>
    <t>事業者名</t>
  </si>
  <si>
    <t>その他</t>
    <rPh sb="2" eb="3">
      <t>タ</t>
    </rPh>
    <phoneticPr fontId="27"/>
  </si>
  <si>
    <t>日本住宅性能表示基準「5-1断熱等性能等級」における等級2相当の屋根・外壁・床の部材構成、開口部の仕様を設定している。</t>
    <phoneticPr fontId="27"/>
  </si>
  <si>
    <t>日本住宅性能表示基準「5-1断熱等性能等級」における等級3相当の屋根・外壁・床の部材構成、開口部の仕様を設定している。</t>
    <phoneticPr fontId="27"/>
  </si>
  <si>
    <t>日本住宅性能表示基準「5-1断熱等性能等級」における等級4相当の屋根・外壁・床の部材構成、開口部の仕様を設定している。</t>
    <phoneticPr fontId="27"/>
  </si>
  <si>
    <t>全般照明方式の場合で、照度が500lx以上1000lx未満。
タスク・アンビエント照明方式もしくはこれに準ずる照明方式の場合で、タスク照度が500lx以上1000lx未満、かつアンビエント照度がタスク照度の1/3以上2/3未満。</t>
    <phoneticPr fontId="27"/>
  </si>
  <si>
    <t>全般照明方式の場合で、300lx≦[照度] ＜500lx。
タスク・アンビエント照明方式もしくはこれに準ずる照明方式の場合で、タスク照度が300lx以上500lx未満、またはアンビエント照度がタスク照度の1/3未満もしくは2/3以上。</t>
    <phoneticPr fontId="27"/>
  </si>
  <si>
    <t>窓が開閉不可能な居室において、自然換気有効開口がない、または25cm2/m2未満。あるいは窓が開閉可能な居室において、自然換気有効開口面積が居室床面積の1/50以上</t>
    <phoneticPr fontId="27"/>
  </si>
  <si>
    <t>窓が開閉不可能な居室において自然換気有効開口がない、または50cm2/m2未満。あるいは窓が開閉可能な居室において、自然換気有効開口面積が居室床面積の1/20以上</t>
    <phoneticPr fontId="27"/>
  </si>
  <si>
    <t>窓が開閉不可能な居室において、自然換気有効開口面積が100 cm2/m2以上。あるいは、窓が開閉可能な居室において、自然換気有効開口面積が居室床面積の1/10以上。あるいは、レベル４の自然換気有効開口面積を満たし、かつ必要外気量の２倍以上の外気冷房の採用により室内空気質の向上が期待できる。</t>
    <phoneticPr fontId="27"/>
  </si>
  <si>
    <t>リフレッシュスペースが執務スペースの1％未満</t>
    <phoneticPr fontId="27"/>
  </si>
  <si>
    <t>■効率的な運用</t>
    <rPh sb="1" eb="4">
      <t>コウリツテキ</t>
    </rPh>
    <rPh sb="5" eb="7">
      <t>ウンヨウ</t>
    </rPh>
    <phoneticPr fontId="27"/>
  </si>
  <si>
    <t>建築物衛生法における特定建築物</t>
  </si>
  <si>
    <t>1) 汚染源対策</t>
    <rPh sb="3" eb="6">
      <t>オセンゲン</t>
    </rPh>
    <rPh sb="6" eb="8">
      <t>タイサク</t>
    </rPh>
    <phoneticPr fontId="27"/>
  </si>
  <si>
    <t>2) 清掃方法</t>
    <rPh sb="3" eb="5">
      <t>セイソウ</t>
    </rPh>
    <rPh sb="5" eb="7">
      <t>ホウホウ</t>
    </rPh>
    <phoneticPr fontId="27"/>
  </si>
  <si>
    <t>3) 清掃資材</t>
    <rPh sb="3" eb="5">
      <t>セイソウ</t>
    </rPh>
    <rPh sb="5" eb="7">
      <t>シザイ</t>
    </rPh>
    <phoneticPr fontId="27"/>
  </si>
  <si>
    <r>
      <t xml:space="preserve">2.2.6 </t>
    </r>
    <r>
      <rPr>
        <b/>
        <sz val="10"/>
        <rFont val="ＭＳ Ｐゴシック"/>
        <family val="3"/>
        <charset val="128"/>
      </rPr>
      <t>主要設備機器の更新必要間隔</t>
    </r>
    <phoneticPr fontId="27"/>
  </si>
  <si>
    <t>７年未満</t>
    <phoneticPr fontId="27"/>
  </si>
  <si>
    <r>
      <t xml:space="preserve">2.3.1 </t>
    </r>
    <r>
      <rPr>
        <b/>
        <sz val="10"/>
        <rFont val="ＭＳ Ｐゴシック"/>
        <family val="3"/>
        <charset val="128"/>
      </rPr>
      <t>屋上（屋根）・外壁仕上げ材の更新</t>
    </r>
    <phoneticPr fontId="27"/>
  </si>
  <si>
    <r>
      <t xml:space="preserve">2.3.2 </t>
    </r>
    <r>
      <rPr>
        <b/>
        <sz val="10"/>
        <rFont val="ＭＳ Ｐゴシック"/>
        <family val="3"/>
        <charset val="128"/>
      </rPr>
      <t>配管・配線材の更新</t>
    </r>
    <phoneticPr fontId="27"/>
  </si>
  <si>
    <t>重み係数(既定）＝</t>
    <phoneticPr fontId="27"/>
  </si>
  <si>
    <t>-</t>
    <phoneticPr fontId="27"/>
  </si>
  <si>
    <r>
      <t xml:space="preserve">2.3.3 </t>
    </r>
    <r>
      <rPr>
        <b/>
        <sz val="10"/>
        <rFont val="ＭＳ Ｐゴシック"/>
        <family val="3"/>
        <charset val="128"/>
      </rPr>
      <t>主要設備機器の更新</t>
    </r>
    <phoneticPr fontId="27"/>
  </si>
  <si>
    <r>
      <t xml:space="preserve">2.4.1 </t>
    </r>
    <r>
      <rPr>
        <b/>
        <sz val="10"/>
        <rFont val="ＭＳ Ｐゴシック"/>
        <family val="3"/>
        <charset val="128"/>
      </rPr>
      <t>空調・換気設備</t>
    </r>
    <phoneticPr fontId="27"/>
  </si>
  <si>
    <t>評価する取組みがない。</t>
    <phoneticPr fontId="27"/>
  </si>
  <si>
    <t>一般的な冬期20℃、夏期26℃の設定。</t>
    <phoneticPr fontId="27"/>
  </si>
  <si>
    <t>各居室において一般的な冬期22℃、夏期26℃を設定している。</t>
    <phoneticPr fontId="27"/>
  </si>
  <si>
    <t>ASHRAE快適域やPOEM-Oを参考に冬期22℃～24℃、夏期24℃～26℃の範囲を設定している。</t>
    <phoneticPr fontId="27"/>
  </si>
  <si>
    <t>各居室において冬期22～24℃、夏期24～26℃の範囲を設定している。</t>
    <phoneticPr fontId="27"/>
  </si>
  <si>
    <t>冬期21℃、夏期28℃と多少我慢を強いる室温を実現するための最低限の設備容量が確保されている。</t>
    <phoneticPr fontId="27"/>
  </si>
  <si>
    <t>冬期20℃、夏期28℃と多少我慢を強いる室温を実現するための最低限の設備容量が確保されている。</t>
    <phoneticPr fontId="27"/>
  </si>
  <si>
    <t>一般的な設定値である冬期22℃、夏期26℃の室温を実現するための設備容量が確保されている。</t>
    <phoneticPr fontId="27"/>
  </si>
  <si>
    <t>一般的な設定値である冬期23℃、夏期26℃の室温を実現するための設備容量が確保されている。</t>
    <phoneticPr fontId="27"/>
  </si>
  <si>
    <t>一般的な冬期20℃、夏期27℃の室温を実現するための設備容量が確保されている。</t>
    <phoneticPr fontId="27"/>
  </si>
  <si>
    <t>冬期21℃、夏期28℃と程度と多少我慢を強いる室温設定。</t>
    <rPh sb="12" eb="14">
      <t>テイド</t>
    </rPh>
    <phoneticPr fontId="27"/>
  </si>
  <si>
    <t>レベル３を満たさない。</t>
  </si>
  <si>
    <t>冬期20℃、夏期28℃と多少我慢を強いる室温設定。</t>
  </si>
  <si>
    <t>評価する取組みが1つ。または中央式空調換気設備を持たない場合。</t>
  </si>
  <si>
    <t>評価する取組みがない。</t>
    <rPh sb="0" eb="2">
      <t>ヒョウカ</t>
    </rPh>
    <rPh sb="4" eb="5">
      <t>ト</t>
    </rPh>
    <rPh sb="5" eb="6">
      <t>ク</t>
    </rPh>
    <phoneticPr fontId="27"/>
  </si>
  <si>
    <t>評価する取組みが2つ。</t>
    <phoneticPr fontId="27"/>
  </si>
  <si>
    <t>評価する取組みが1つ。</t>
    <rPh sb="0" eb="2">
      <t>ヒョウカ</t>
    </rPh>
    <rPh sb="4" eb="5">
      <t>ト</t>
    </rPh>
    <rPh sb="5" eb="6">
      <t>ク</t>
    </rPh>
    <phoneticPr fontId="27"/>
  </si>
  <si>
    <t>評価する取組みが3つ以上。</t>
  </si>
  <si>
    <t>評価する取組みが2つ以上。</t>
  </si>
  <si>
    <t>評価する取組みが2つ以上。</t>
    <rPh sb="0" eb="2">
      <t>ヒョウカ</t>
    </rPh>
    <rPh sb="4" eb="5">
      <t>ト</t>
    </rPh>
    <rPh sb="5" eb="6">
      <t>ク</t>
    </rPh>
    <rPh sb="10" eb="12">
      <t>イジョウ</t>
    </rPh>
    <phoneticPr fontId="27"/>
  </si>
  <si>
    <t>評価する取り組み</t>
    <rPh sb="0" eb="2">
      <t>ヒョウカ</t>
    </rPh>
    <rPh sb="4" eb="5">
      <t>ト</t>
    </rPh>
    <rPh sb="6" eb="7">
      <t>ク</t>
    </rPh>
    <phoneticPr fontId="27"/>
  </si>
  <si>
    <t>用途</t>
    <rPh sb="0" eb="2">
      <t>ヨウト</t>
    </rPh>
    <phoneticPr fontId="27"/>
  </si>
  <si>
    <t>床面積</t>
    <rPh sb="0" eb="3">
      <t>ユカメンセキ</t>
    </rPh>
    <phoneticPr fontId="27"/>
  </si>
  <si>
    <t>耐震クラスB（大地震後に人命の安全および二次災害の防止が図られている。）または、動的解析を行った上で設計用水平震度KHを1.0以上としている。</t>
    <phoneticPr fontId="27"/>
  </si>
  <si>
    <t>製造熱量/熱源機消費エネルギー（1次エネルギー基準）/蓄熱槽有効蓄熱量/蓄熱槽利用効率</t>
    <phoneticPr fontId="27"/>
  </si>
  <si>
    <t>昇降機</t>
  </si>
  <si>
    <t>各種管制運転効果</t>
  </si>
  <si>
    <t>削減エネルギー量</t>
    <phoneticPr fontId="27"/>
  </si>
  <si>
    <t>太陽光発電設備評価</t>
  </si>
  <si>
    <t>発電効率/定格効率/年間効率</t>
    <phoneticPr fontId="27"/>
  </si>
  <si>
    <t>発電効率/総合効率/省エネルギー率</t>
  </si>
  <si>
    <t>セキュリティ連動による消照効果/換気停止の効果等</t>
  </si>
  <si>
    <t>NOx、SOx、ばいじんについて、発生源におけるガス又はばいじんの濃度が、大気汚染防止法、低NOx型小規模燃焼機器の推奨ガイドライン（環境省）ならびに地域の条例等で定められる現行の排出基準を上回っている。</t>
    <phoneticPr fontId="27"/>
  </si>
  <si>
    <t>NOx、SOx、ばいじんについて、発生源におけるガス又はばいじんの濃度が、大気汚染防止法、低NOx型小規模燃焼機器の推奨ガイドライン（環境省）ならびに地域の条例等で定められる現行の排出基準以下に抑えられている。</t>
    <phoneticPr fontId="27"/>
  </si>
  <si>
    <t>NOx、SOx、ばいじんについて、発生源におけるガス又はばいじんの濃度が、大気汚染防止法、低NOx型小規模燃焼機器の推奨ガイドライン（環境省）ならびに地域の条例等で定められる現行の排出基準より大幅に抑えられている。</t>
    <phoneticPr fontId="27"/>
  </si>
  <si>
    <t>一次ｴﾈﾙｷﾞｰ消費量</t>
    <rPh sb="0" eb="2">
      <t>イチジ</t>
    </rPh>
    <rPh sb="8" eb="11">
      <t>ショウヒリョウ</t>
    </rPh>
    <phoneticPr fontId="27"/>
  </si>
  <si>
    <r>
      <t>kg-CO</t>
    </r>
    <r>
      <rPr>
        <vertAlign val="subscript"/>
        <sz val="10"/>
        <rFont val="ＭＳ Ｐゴシック"/>
        <family val="3"/>
        <charset val="128"/>
      </rPr>
      <t>2</t>
    </r>
    <r>
      <rPr>
        <sz val="10"/>
        <rFont val="ＭＳ Ｐゴシック"/>
        <family val="3"/>
        <charset val="128"/>
      </rPr>
      <t>/年</t>
    </r>
    <rPh sb="7" eb="8">
      <t>ネン</t>
    </rPh>
    <phoneticPr fontId="27"/>
  </si>
  <si>
    <t>時間外や休日時には、居住者のフロア全体が空調可能なシステムとなっている。</t>
  </si>
  <si>
    <t>時間外や休日時には、居住者のゾーンのみ空調可能なシステムとなっている。</t>
  </si>
  <si>
    <t>湿度制御</t>
    <rPh sb="0" eb="2">
      <t>シツド</t>
    </rPh>
    <rPh sb="2" eb="4">
      <t>セイギョ</t>
    </rPh>
    <phoneticPr fontId="27"/>
  </si>
  <si>
    <t>事・物・飲・会・病・ホ・工・住</t>
    <rPh sb="0" eb="1">
      <t>コト</t>
    </rPh>
    <rPh sb="2" eb="3">
      <t>モノ</t>
    </rPh>
    <rPh sb="4" eb="5">
      <t>イン</t>
    </rPh>
    <rPh sb="6" eb="7">
      <t>カイ</t>
    </rPh>
    <rPh sb="8" eb="9">
      <t>ヤマイ</t>
    </rPh>
    <phoneticPr fontId="27"/>
  </si>
  <si>
    <t>学(大学等)</t>
    <rPh sb="0" eb="1">
      <t>ガク</t>
    </rPh>
    <phoneticPr fontId="27"/>
  </si>
  <si>
    <t>何も配慮していない。</t>
  </si>
  <si>
    <t>適切な換気機能を有し、熱橋となる部分の断熱補強、防湿層、通気層の設置等の結露防止対策がとられている。</t>
  </si>
  <si>
    <t>除湿機能を有し、熱橋となる部分の断熱補強、防湿層、通気層の設置等の結露防止対策がとられている。</t>
  </si>
  <si>
    <t>レベル３を満たさない。</t>
    <phoneticPr fontId="27"/>
  </si>
  <si>
    <t>簡易評価</t>
    <rPh sb="0" eb="2">
      <t>カンイ</t>
    </rPh>
    <rPh sb="2" eb="4">
      <t>ヒョウカ</t>
    </rPh>
    <phoneticPr fontId="27"/>
  </si>
  <si>
    <t>省エネルギー計画書による評価</t>
    <rPh sb="0" eb="1">
      <t>ショウ</t>
    </rPh>
    <rPh sb="6" eb="9">
      <t>ケイカクショ</t>
    </rPh>
    <rPh sb="12" eb="14">
      <t>ヒョウカ</t>
    </rPh>
    <phoneticPr fontId="27"/>
  </si>
  <si>
    <t>竣工段階</t>
    <rPh sb="0" eb="2">
      <t>シュンコウ</t>
    </rPh>
    <rPh sb="2" eb="4">
      <t>ダンカイ</t>
    </rPh>
    <phoneticPr fontId="27"/>
  </si>
  <si>
    <t>標準計算</t>
    <rPh sb="0" eb="2">
      <t>ヒョウジュン</t>
    </rPh>
    <rPh sb="2" eb="4">
      <t>ケイサン</t>
    </rPh>
    <phoneticPr fontId="27"/>
  </si>
  <si>
    <t>→LCCO2算定条件シート（標準計算）を入力</t>
    <rPh sb="6" eb="8">
      <t>サンテイ</t>
    </rPh>
    <rPh sb="8" eb="10">
      <t>ジョウケン</t>
    </rPh>
    <rPh sb="14" eb="16">
      <t>ヒョウジュン</t>
    </rPh>
    <rPh sb="16" eb="18">
      <t>ケイサン</t>
    </rPh>
    <rPh sb="20" eb="22">
      <t>ニュウリョク</t>
    </rPh>
    <phoneticPr fontId="27"/>
  </si>
  <si>
    <t>個別計算</t>
    <rPh sb="0" eb="2">
      <t>コベツ</t>
    </rPh>
    <rPh sb="2" eb="4">
      <t>ケイサン</t>
    </rPh>
    <phoneticPr fontId="27"/>
  </si>
  <si>
    <t>→LCCO2算定条件シート（個別計算）を入力</t>
    <rPh sb="6" eb="8">
      <t>サンテイ</t>
    </rPh>
    <rPh sb="8" eb="10">
      <t>ジョウケン</t>
    </rPh>
    <rPh sb="14" eb="16">
      <t>コベツ</t>
    </rPh>
    <rPh sb="16" eb="18">
      <t>ケイサン</t>
    </rPh>
    <rPh sb="20" eb="22">
      <t>ニュウリョク</t>
    </rPh>
    <phoneticPr fontId="27"/>
  </si>
  <si>
    <t>事務所</t>
  </si>
  <si>
    <t>学校</t>
  </si>
  <si>
    <t>物販店</t>
  </si>
  <si>
    <t>飲食店</t>
  </si>
  <si>
    <t>集会所</t>
    <rPh sb="2" eb="3">
      <t>ショ</t>
    </rPh>
    <phoneticPr fontId="27"/>
  </si>
  <si>
    <t>病院</t>
  </si>
  <si>
    <t>ホテル</t>
    <phoneticPr fontId="27"/>
  </si>
  <si>
    <t>集合住宅</t>
  </si>
  <si>
    <t>工場</t>
    <rPh sb="0" eb="2">
      <t>コウジョウ</t>
    </rPh>
    <phoneticPr fontId="27"/>
  </si>
  <si>
    <t>合計</t>
    <rPh sb="0" eb="2">
      <t>ゴウケイ</t>
    </rPh>
    <phoneticPr fontId="27"/>
  </si>
  <si>
    <t>空気取り入れ口は敷地周囲の状況を勘案して、汚染源のない方位に設けられている。かつ、各種排気口と6ｍ以上離れて設置されている。</t>
  </si>
  <si>
    <t>共用部</t>
    <rPh sb="0" eb="3">
      <t>キョウヨウブ</t>
    </rPh>
    <phoneticPr fontId="27"/>
  </si>
  <si>
    <t>事・学(大学等)・病・ホ・工・住</t>
    <rPh sb="4" eb="6">
      <t>ダイガク</t>
    </rPh>
    <rPh sb="6" eb="7">
      <t>トウ</t>
    </rPh>
    <rPh sb="15" eb="16">
      <t>ジュウ</t>
    </rPh>
    <phoneticPr fontId="27"/>
  </si>
  <si>
    <t>学（小中高）</t>
    <rPh sb="0" eb="1">
      <t>ガク</t>
    </rPh>
    <rPh sb="2" eb="3">
      <t>ショウ</t>
    </rPh>
    <rPh sb="3" eb="4">
      <t>チュウ</t>
    </rPh>
    <rPh sb="4" eb="5">
      <t>コウ</t>
    </rPh>
    <phoneticPr fontId="27"/>
  </si>
  <si>
    <t>何もない。</t>
  </si>
  <si>
    <t>建物全体・共用部分</t>
    <phoneticPr fontId="27"/>
  </si>
  <si>
    <t>学（小中高）</t>
    <rPh sb="0" eb="1">
      <t>ガク</t>
    </rPh>
    <rPh sb="2" eb="5">
      <t>ショウチュウコウ</t>
    </rPh>
    <phoneticPr fontId="27"/>
  </si>
  <si>
    <t>判定表</t>
    <rPh sb="0" eb="2">
      <t>ハンテイ</t>
    </rPh>
    <rPh sb="2" eb="3">
      <t>ヒョウ</t>
    </rPh>
    <phoneticPr fontId="27"/>
  </si>
  <si>
    <t>　評価項目</t>
  </si>
  <si>
    <t>（ア）</t>
  </si>
  <si>
    <t>児童生徒等から見て、黒板の外側15°以内の範囲に輝きの強い光源（昼光の場合は窓）がない。</t>
  </si>
  <si>
    <t>（イ）</t>
  </si>
  <si>
    <t>見え方を妨害するような光沢が、黒板及び机上面にない。</t>
  </si>
  <si>
    <t>（ウ）</t>
  </si>
  <si>
    <t>見え方を妨害するような電灯や明るい窓等が、テレビ及びコンピュータ等の画面に映じていない。</t>
  </si>
  <si>
    <t>ホ・住</t>
    <rPh sb="2" eb="3">
      <t>ジュウ</t>
    </rPh>
    <phoneticPr fontId="27"/>
  </si>
  <si>
    <t>レベル３を満たし、かつ壁面の鉛直面照度が100lx以上</t>
  </si>
  <si>
    <t>レベル３を満たし、かつ壁面の鉛直面照度が100lx以上</t>
    <rPh sb="11" eb="13">
      <t>ヘキメン</t>
    </rPh>
    <rPh sb="14" eb="15">
      <t>ナマリ</t>
    </rPh>
    <rPh sb="15" eb="17">
      <t>チョクメン</t>
    </rPh>
    <rPh sb="17" eb="19">
      <t>ショウド</t>
    </rPh>
    <rPh sb="25" eb="27">
      <t>イジョウ</t>
    </rPh>
    <phoneticPr fontId="27"/>
  </si>
  <si>
    <t>バックアップ設備のためのスペースが計画的に確保されている。</t>
  </si>
  <si>
    <t>生物環境の保全と創出</t>
    <rPh sb="2" eb="4">
      <t>カンキョウ</t>
    </rPh>
    <rPh sb="8" eb="10">
      <t>ソウシュツ</t>
    </rPh>
    <phoneticPr fontId="27"/>
  </si>
  <si>
    <t>事・学・物・飲・会・病・ホ・工・住</t>
    <rPh sb="0" eb="1">
      <t>コト</t>
    </rPh>
    <rPh sb="2" eb="3">
      <t>ガク</t>
    </rPh>
    <rPh sb="4" eb="5">
      <t>モノ</t>
    </rPh>
    <rPh sb="6" eb="7">
      <t>イン</t>
    </rPh>
    <rPh sb="8" eb="9">
      <t>カイ</t>
    </rPh>
    <rPh sb="10" eb="11">
      <t>ヤマイ</t>
    </rPh>
    <phoneticPr fontId="27"/>
  </si>
  <si>
    <t>対応可能な</t>
    <rPh sb="0" eb="2">
      <t>タイオウ</t>
    </rPh>
    <rPh sb="2" eb="3">
      <t>カ</t>
    </rPh>
    <rPh sb="3" eb="4">
      <t>ノウ</t>
    </rPh>
    <phoneticPr fontId="27"/>
  </si>
  <si>
    <t>同一フロアで冷暖房のゾーニングが無く、１系統で空調システムが計画されている。空調モードの選択では冷暖房の切り替えが必要である。</t>
  </si>
  <si>
    <t>単一ダクト方式、２管式ＦＣＵ方式（ゾーニングがない、冷暖切り替え）</t>
  </si>
  <si>
    <t>方位別、ペリメータとインテリア別や内部負荷の分布などを考慮し、大まかな空調のゾーニングがなされており、冷房・暖房は切り替えとなる空調システムとしている。</t>
    <phoneticPr fontId="27"/>
  </si>
  <si>
    <t>⑦　外部ガラスや給排気口、照明など高所の維持管理作業を安全に行える設計をしている。</t>
    <phoneticPr fontId="27"/>
  </si>
  <si>
    <t xml:space="preserve"> Q1 2.1</t>
  </si>
  <si>
    <t>室温設定</t>
  </si>
  <si>
    <t>2.1.2</t>
  </si>
  <si>
    <t>負荷変動・追従制御性</t>
  </si>
  <si>
    <t>2.1.3</t>
  </si>
  <si>
    <t>外皮性能</t>
  </si>
  <si>
    <t>-</t>
    <phoneticPr fontId="27"/>
  </si>
  <si>
    <t>レベル3</t>
    <phoneticPr fontId="27"/>
  </si>
  <si>
    <t>レベル4</t>
    <phoneticPr fontId="27"/>
  </si>
  <si>
    <t>レベル5</t>
    <phoneticPr fontId="27"/>
  </si>
  <si>
    <t>ホテル</t>
    <phoneticPr fontId="27"/>
  </si>
  <si>
    <t>人・時間あたり指標</t>
    <rPh sb="0" eb="1">
      <t>ニン</t>
    </rPh>
    <rPh sb="2" eb="4">
      <t>ジカン</t>
    </rPh>
    <rPh sb="7" eb="9">
      <t>シヒョウ</t>
    </rPh>
    <phoneticPr fontId="27"/>
  </si>
  <si>
    <t>レベル3</t>
    <phoneticPr fontId="27"/>
  </si>
  <si>
    <t>レベル4</t>
    <phoneticPr fontId="27"/>
  </si>
  <si>
    <t>レベル5</t>
    <phoneticPr fontId="27"/>
  </si>
  <si>
    <t>事務所</t>
    <phoneticPr fontId="27"/>
  </si>
  <si>
    <r>
      <t>■LCCO</t>
    </r>
    <r>
      <rPr>
        <b/>
        <vertAlign val="subscript"/>
        <sz val="12"/>
        <rFont val="ＭＳ Ｐゴシック"/>
        <family val="3"/>
        <charset val="128"/>
      </rPr>
      <t>2</t>
    </r>
    <r>
      <rPr>
        <b/>
        <sz val="12"/>
        <rFont val="ＭＳ Ｐゴシック"/>
        <family val="3"/>
        <charset val="128"/>
      </rPr>
      <t>算定条件シート(標準計算）</t>
    </r>
    <rPh sb="14" eb="16">
      <t>ヒョウジュン</t>
    </rPh>
    <rPh sb="16" eb="18">
      <t>ケイサン</t>
    </rPh>
    <phoneticPr fontId="27"/>
  </si>
  <si>
    <t>バウンダリー</t>
    <phoneticPr fontId="27"/>
  </si>
  <si>
    <r>
      <t>ｍ</t>
    </r>
    <r>
      <rPr>
        <vertAlign val="superscript"/>
        <sz val="10"/>
        <rFont val="ＭＳ Ｐゴシック"/>
        <family val="3"/>
        <charset val="128"/>
      </rPr>
      <t>3</t>
    </r>
    <r>
      <rPr>
        <sz val="10"/>
        <rFont val="ＭＳ Ｐゴシック"/>
        <family val="3"/>
        <charset val="128"/>
      </rPr>
      <t>/㎡</t>
    </r>
    <phoneticPr fontId="27"/>
  </si>
  <si>
    <t>□　□</t>
    <phoneticPr fontId="27"/>
  </si>
  <si>
    <t>○○</t>
    <phoneticPr fontId="27"/>
  </si>
  <si>
    <t>kg/㎡</t>
    <phoneticPr fontId="27"/>
  </si>
  <si>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7"/>
  </si>
  <si>
    <t>〃</t>
    <phoneticPr fontId="27"/>
  </si>
  <si>
    <t>修繕・更新・</t>
    <phoneticPr fontId="27"/>
  </si>
  <si>
    <t>解体段階</t>
    <phoneticPr fontId="27"/>
  </si>
  <si>
    <t>①参照値／
②建築物の取組み</t>
    <phoneticPr fontId="27"/>
  </si>
  <si>
    <t>③上記+②以外の
　オンサイト手法</t>
    <phoneticPr fontId="27"/>
  </si>
  <si>
    <t>－</t>
    <phoneticPr fontId="27"/>
  </si>
  <si>
    <t>kg-CO2/年㎡</t>
    <phoneticPr fontId="27"/>
  </si>
  <si>
    <t>kg-CO2/年㎡</t>
    <phoneticPr fontId="27"/>
  </si>
  <si>
    <t>kg-CO2/年㎡</t>
    <phoneticPr fontId="27"/>
  </si>
  <si>
    <t>－</t>
    <phoneticPr fontId="27"/>
  </si>
  <si>
    <t>④上記+
　オフサイト手法</t>
    <phoneticPr fontId="27"/>
  </si>
  <si>
    <t>kg-CO2/年㎡</t>
    <phoneticPr fontId="27"/>
  </si>
  <si>
    <t>(a)　グリーン電力証書によるカーボンオフセット</t>
    <phoneticPr fontId="27"/>
  </si>
  <si>
    <t>(b)グリーン熱証書によるカーボンオフセット</t>
    <phoneticPr fontId="27"/>
  </si>
  <si>
    <t>（ｃ）その他カーボンクレジット</t>
    <phoneticPr fontId="27"/>
  </si>
  <si>
    <t>(d)調整後排出量（調整後排出係数による）と実排出量の差</t>
    <phoneticPr fontId="27"/>
  </si>
  <si>
    <r>
      <t xml:space="preserve">2.2.1 </t>
    </r>
    <r>
      <rPr>
        <b/>
        <sz val="10"/>
        <rFont val="ＭＳ Ｐゴシック"/>
        <family val="3"/>
        <charset val="128"/>
      </rPr>
      <t>躯体材料の耐用年数</t>
    </r>
    <rPh sb="6" eb="8">
      <t>クタイ</t>
    </rPh>
    <rPh sb="8" eb="10">
      <t>ザイリョウ</t>
    </rPh>
    <rPh sb="11" eb="13">
      <t>タイヨウ</t>
    </rPh>
    <rPh sb="13" eb="15">
      <t>ネンスウ</t>
    </rPh>
    <phoneticPr fontId="27"/>
  </si>
  <si>
    <t>10年未満</t>
  </si>
  <si>
    <t>10年以上～20年未満</t>
  </si>
  <si>
    <t>20年</t>
  </si>
  <si>
    <t>冬期20℃以上 、夏期25℃以下の設定。</t>
    <rPh sb="5" eb="7">
      <t>イジョウ</t>
    </rPh>
    <rPh sb="14" eb="16">
      <t>イカ</t>
    </rPh>
    <phoneticPr fontId="27"/>
  </si>
  <si>
    <t>冬期22℃以上、夏期24℃以下の設定。</t>
    <rPh sb="5" eb="7">
      <t>イジョウ</t>
    </rPh>
    <rPh sb="13" eb="15">
      <t>イカ</t>
    </rPh>
    <phoneticPr fontId="27"/>
  </si>
  <si>
    <t>冬期20℃以上、夏期25℃以下の室温を実現するための設備容量が確保されている。</t>
    <rPh sb="5" eb="7">
      <t>イジョウ</t>
    </rPh>
    <rPh sb="13" eb="15">
      <t>イカ</t>
    </rPh>
    <phoneticPr fontId="27"/>
  </si>
  <si>
    <t>冬期22℃、夏期24℃の室温を実現することが可能な設備容量が確保されている。</t>
    <phoneticPr fontId="27"/>
  </si>
  <si>
    <t>冬期22℃以上、夏期24℃以下の室温を実現することが可能な設備容量が確保されている。</t>
    <rPh sb="5" eb="7">
      <t>イジョウ</t>
    </rPh>
    <rPh sb="13" eb="15">
      <t>イカ</t>
    </rPh>
    <phoneticPr fontId="27"/>
  </si>
  <si>
    <t>ASHRAE快適域やPOEM-Oを参考に冬期20℃～22℃、夏期24℃～26℃の範囲を設定している。</t>
    <phoneticPr fontId="27"/>
  </si>
  <si>
    <r>
      <t>LR2</t>
    </r>
    <r>
      <rPr>
        <b/>
        <sz val="12"/>
        <rFont val="ＭＳ Ｐゴシック"/>
        <family val="3"/>
        <charset val="128"/>
      </rPr>
      <t>　資源・マテリアル</t>
    </r>
    <rPh sb="4" eb="6">
      <t>シゲン</t>
    </rPh>
    <phoneticPr fontId="27"/>
  </si>
  <si>
    <t>水資源保護</t>
    <rPh sb="0" eb="1">
      <t>ミズ</t>
    </rPh>
    <rPh sb="1" eb="3">
      <t>シゲン</t>
    </rPh>
    <rPh sb="3" eb="5">
      <t>ホゴ</t>
    </rPh>
    <phoneticPr fontId="27"/>
  </si>
  <si>
    <t>事・学・物・飲・会・病・ホ･工・住</t>
    <rPh sb="0" eb="1">
      <t>コト</t>
    </rPh>
    <rPh sb="2" eb="3">
      <t>ガク</t>
    </rPh>
    <rPh sb="4" eb="5">
      <t>モノ</t>
    </rPh>
    <rPh sb="6" eb="7">
      <t>イン</t>
    </rPh>
    <rPh sb="8" eb="9">
      <t>カイ</t>
    </rPh>
    <rPh sb="10" eb="11">
      <t>ヤマイ</t>
    </rPh>
    <rPh sb="16" eb="17">
      <t>ジュウ</t>
    </rPh>
    <phoneticPr fontId="27"/>
  </si>
  <si>
    <t>主要水栓に節水コマなどが取り付けられている。</t>
  </si>
  <si>
    <t>雨水利用・雑排水等の利用</t>
    <rPh sb="0" eb="2">
      <t>ｳｽｲ</t>
    </rPh>
    <rPh sb="2" eb="4">
      <t>ﾘﾖｳ</t>
    </rPh>
    <rPh sb="5" eb="8">
      <t>ｻﾞﾂﾊｲｽｲ</t>
    </rPh>
    <rPh sb="8" eb="9">
      <t>ﾄｳ</t>
    </rPh>
    <rPh sb="10" eb="12">
      <t>ﾘﾖｳ</t>
    </rPh>
    <phoneticPr fontId="64" type="noConversion"/>
  </si>
  <si>
    <r>
      <t xml:space="preserve">1.2.2 </t>
    </r>
    <r>
      <rPr>
        <b/>
        <sz val="10"/>
        <rFont val="ＭＳ Ｐゴシック"/>
        <family val="3"/>
        <charset val="128"/>
      </rPr>
      <t>雑排水等利用システム導入の有無</t>
    </r>
    <rPh sb="9" eb="10">
      <t>トウ</t>
    </rPh>
    <rPh sb="11" eb="12">
      <t>ヨウ</t>
    </rPh>
    <phoneticPr fontId="27"/>
  </si>
  <si>
    <t>小中高は既存も新築の基準</t>
    <rPh sb="0" eb="3">
      <t>ショウチュウコウ</t>
    </rPh>
    <rPh sb="4" eb="6">
      <t>キソン</t>
    </rPh>
    <rPh sb="7" eb="9">
      <t>シンチク</t>
    </rPh>
    <rPh sb="10" eb="12">
      <t>キジュン</t>
    </rPh>
    <phoneticPr fontId="27"/>
  </si>
  <si>
    <t>学校施設として標準的な取り組みをしている</t>
    <rPh sb="0" eb="2">
      <t>ガッコウ</t>
    </rPh>
    <rPh sb="2" eb="4">
      <t>シセツ</t>
    </rPh>
    <rPh sb="7" eb="10">
      <t>ヒョウジュンテキ</t>
    </rPh>
    <rPh sb="11" eb="12">
      <t>ト</t>
    </rPh>
    <rPh sb="13" eb="14">
      <t>ク</t>
    </rPh>
    <phoneticPr fontId="27"/>
  </si>
  <si>
    <t>主要構造部が非木造躯体（RC造/SRC造/S造）である場合で、評価する取組み表の評価ポイントの合計値が3ポイント以上</t>
    <rPh sb="56" eb="58">
      <t>イジョウ</t>
    </rPh>
    <phoneticPr fontId="27"/>
  </si>
  <si>
    <t>主要構造部が非木造躯体（RC造/SRC造/S造）である場合で、評価する取組み表の評価ポイントの合計値が5ポイント以上</t>
    <rPh sb="56" eb="58">
      <t>イジョウ</t>
    </rPh>
    <phoneticPr fontId="27"/>
  </si>
  <si>
    <t>主要構造部に強度の高い材料を使用することにより、使用材料の軽減化を図っている</t>
    <rPh sb="0" eb="2">
      <t>シュヨウ</t>
    </rPh>
    <rPh sb="2" eb="4">
      <t>コウゾウ</t>
    </rPh>
    <rPh sb="4" eb="5">
      <t>ブ</t>
    </rPh>
    <rPh sb="6" eb="8">
      <t>キョウド</t>
    </rPh>
    <rPh sb="9" eb="10">
      <t>タカ</t>
    </rPh>
    <rPh sb="11" eb="13">
      <t>ザイリョウ</t>
    </rPh>
    <rPh sb="14" eb="16">
      <t>シヨウ</t>
    </rPh>
    <rPh sb="24" eb="26">
      <t>シヨウ</t>
    </rPh>
    <rPh sb="26" eb="28">
      <t>ザイリョウ</t>
    </rPh>
    <rPh sb="29" eb="32">
      <t>ケイゲンカ</t>
    </rPh>
    <rPh sb="33" eb="34">
      <t>ハカ</t>
    </rPh>
    <phoneticPr fontId="27"/>
  </si>
  <si>
    <t>既存建築躯体等の継続使用</t>
    <rPh sb="0" eb="2">
      <t>キソン</t>
    </rPh>
    <rPh sb="2" eb="4">
      <t>ケンチク</t>
    </rPh>
    <rPh sb="4" eb="6">
      <t>クタイ</t>
    </rPh>
    <rPh sb="6" eb="7">
      <t>トウ</t>
    </rPh>
    <rPh sb="8" eb="10">
      <t>ケイゾク</t>
    </rPh>
    <rPh sb="10" eb="12">
      <t>シヨウ</t>
    </rPh>
    <phoneticPr fontId="27"/>
  </si>
  <si>
    <t>既存の建築躯体を再利用している。</t>
  </si>
  <si>
    <t>清掃業務において感染症対策に配慮した方法を採用している。</t>
    <rPh sb="0" eb="2">
      <t>セイソウ</t>
    </rPh>
    <rPh sb="2" eb="4">
      <t>ギョウム</t>
    </rPh>
    <rPh sb="8" eb="11">
      <t>カンセンショウ</t>
    </rPh>
    <rPh sb="11" eb="13">
      <t>タイサク</t>
    </rPh>
    <rPh sb="14" eb="16">
      <t>ハイリョ</t>
    </rPh>
    <rPh sb="18" eb="20">
      <t>ホウホウ</t>
    </rPh>
    <rPh sb="21" eb="23">
      <t>サイヨウ</t>
    </rPh>
    <phoneticPr fontId="27"/>
  </si>
  <si>
    <t>5) 安全対策</t>
    <rPh sb="3" eb="5">
      <t>アンゼン</t>
    </rPh>
    <rPh sb="5" eb="7">
      <t>タイサク</t>
    </rPh>
    <phoneticPr fontId="27"/>
  </si>
  <si>
    <t>清掃業務において安全に配慮した方法を採用している。</t>
    <rPh sb="0" eb="2">
      <t>セイソウ</t>
    </rPh>
    <rPh sb="2" eb="4">
      <t>ギョウム</t>
    </rPh>
    <rPh sb="8" eb="10">
      <t>アンゼン</t>
    </rPh>
    <rPh sb="11" eb="13">
      <t>ハイリョ</t>
    </rPh>
    <rPh sb="15" eb="17">
      <t>ホウホウ</t>
    </rPh>
    <rPh sb="18" eb="20">
      <t>サイヨウ</t>
    </rPh>
    <phoneticPr fontId="27"/>
  </si>
  <si>
    <t>判定基準</t>
  </si>
  <si>
    <t>シックハウス配慮</t>
  </si>
  <si>
    <t>急性経口毒性</t>
  </si>
  <si>
    <t>VOC濃度</t>
  </si>
  <si>
    <t>有害性が判明している化学物質</t>
  </si>
  <si>
    <r>
      <t xml:space="preserve">1.3.3 </t>
    </r>
    <r>
      <rPr>
        <b/>
        <sz val="10"/>
        <rFont val="ＭＳ Ｐゴシック"/>
        <family val="3"/>
        <charset val="128"/>
      </rPr>
      <t>衛生管理業務</t>
    </r>
    <rPh sb="6" eb="8">
      <t>エイセイ</t>
    </rPh>
    <rPh sb="8" eb="10">
      <t>カンリ</t>
    </rPh>
    <rPh sb="10" eb="12">
      <t>ギョウム</t>
    </rPh>
    <phoneticPr fontId="27"/>
  </si>
  <si>
    <r>
      <t xml:space="preserve">2.4.2 </t>
    </r>
    <r>
      <rPr>
        <b/>
        <sz val="10"/>
        <rFont val="ＭＳ Ｐゴシック"/>
        <family val="3"/>
        <charset val="128"/>
      </rPr>
      <t>給排水・衛生設備</t>
    </r>
    <phoneticPr fontId="27"/>
  </si>
  <si>
    <t>事・学・会・病・ホ・工・住</t>
    <phoneticPr fontId="27"/>
  </si>
  <si>
    <t>物・飲</t>
    <phoneticPr fontId="27"/>
  </si>
  <si>
    <t>評価する取組みが1つ。</t>
    <phoneticPr fontId="27"/>
  </si>
  <si>
    <t>②無停電電源設備を備えている。</t>
    <phoneticPr fontId="27"/>
  </si>
  <si>
    <r>
      <t xml:space="preserve">2.4.4 </t>
    </r>
    <r>
      <rPr>
        <b/>
        <sz val="10"/>
        <rFont val="ＭＳ Ｐゴシック"/>
        <family val="3"/>
        <charset val="128"/>
      </rPr>
      <t>機械・配管支持方法</t>
    </r>
    <phoneticPr fontId="27"/>
  </si>
  <si>
    <r>
      <t>方位別やペリメータとインテリア別など空調系統が分かれている上、さらに細かな空調ゾーニング（概ね40m</t>
    </r>
    <r>
      <rPr>
        <vertAlign val="superscript"/>
        <sz val="9"/>
        <rFont val="ＭＳ Ｐゴシック"/>
        <family val="3"/>
        <charset val="128"/>
      </rPr>
      <t>2</t>
    </r>
    <r>
      <rPr>
        <sz val="9"/>
        <rFont val="ＭＳ Ｐゴシック"/>
        <family val="3"/>
        <charset val="128"/>
      </rPr>
      <t>以下）がされている。さらにゾーン別に冷房・暖房の選択が自由な空調システムとしている。</t>
    </r>
    <phoneticPr fontId="27"/>
  </si>
  <si>
    <t>ＰＩＤ制御による温度・室内湿度になっている。</t>
    <phoneticPr fontId="27"/>
  </si>
  <si>
    <t>快適センサーなどによる温度・湿度制御（快適範囲における温度制御）が可能である。</t>
    <phoneticPr fontId="27"/>
  </si>
  <si>
    <t>住居・宿泊部分</t>
    <phoneticPr fontId="27"/>
  </si>
  <si>
    <t>竣工年</t>
    <rPh sb="0" eb="2">
      <t>ｼｭﾝｺｳ</t>
    </rPh>
    <rPh sb="2" eb="3">
      <t>ﾈﾝ</t>
    </rPh>
    <phoneticPr fontId="39" type="noConversion"/>
  </si>
  <si>
    <t>評価の実施日</t>
    <rPh sb="0" eb="2">
      <t>ヒョウカ</t>
    </rPh>
    <rPh sb="3" eb="6">
      <t>ジッシビ</t>
    </rPh>
    <phoneticPr fontId="27"/>
  </si>
  <si>
    <t>敷地面積</t>
    <rPh sb="0" eb="2">
      <t>ｼｷﾁ</t>
    </rPh>
    <rPh sb="2" eb="4">
      <t>ﾒﾝｾｷ</t>
    </rPh>
    <phoneticPr fontId="39" type="noConversion"/>
  </si>
  <si>
    <t>作成者</t>
    <rPh sb="0" eb="3">
      <t>サクセイシャ</t>
    </rPh>
    <phoneticPr fontId="27"/>
  </si>
  <si>
    <r>
      <t>Q1</t>
    </r>
    <r>
      <rPr>
        <sz val="11"/>
        <rFont val="ＭＳ Ｐゴシック"/>
        <family val="3"/>
        <charset val="128"/>
      </rPr>
      <t>　
室内環境</t>
    </r>
    <rPh sb="4" eb="6">
      <t>シツナイ</t>
    </rPh>
    <rPh sb="6" eb="8">
      <t>カンキョウ</t>
    </rPh>
    <phoneticPr fontId="27"/>
  </si>
  <si>
    <t>建築面積</t>
    <rPh sb="0" eb="2">
      <t>ｹﾝﾁｸ</t>
    </rPh>
    <rPh sb="2" eb="4">
      <t>ﾒﾝｾｷ</t>
    </rPh>
    <phoneticPr fontId="39" type="noConversion"/>
  </si>
  <si>
    <t>確認日</t>
    <rPh sb="0" eb="2">
      <t>カクニン</t>
    </rPh>
    <rPh sb="2" eb="3">
      <t>ビ</t>
    </rPh>
    <phoneticPr fontId="27"/>
  </si>
  <si>
    <t>Rank(red star)</t>
    <phoneticPr fontId="27"/>
  </si>
  <si>
    <t>延床面積</t>
    <rPh sb="0" eb="1">
      <t>ﾉ</t>
    </rPh>
    <rPh sb="1" eb="4">
      <t>ﾕｶﾒﾝｾｷ</t>
    </rPh>
    <phoneticPr fontId="39" type="noConversion"/>
  </si>
  <si>
    <t>確認者</t>
    <rPh sb="0" eb="2">
      <t>カクニン</t>
    </rPh>
    <rPh sb="2" eb="3">
      <t>シャ</t>
    </rPh>
    <phoneticPr fontId="27"/>
  </si>
  <si>
    <t>(blank star)</t>
    <phoneticPr fontId="27"/>
  </si>
  <si>
    <t>改修工事期間</t>
  </si>
  <si>
    <t>改修対象項目</t>
  </si>
  <si>
    <t>躯体</t>
  </si>
  <si>
    <t>改修目的</t>
  </si>
  <si>
    <t>外装</t>
  </si>
  <si>
    <t>改修後の想定使用年数</t>
    <rPh sb="6" eb="8">
      <t>シヨウ</t>
    </rPh>
    <phoneticPr fontId="27"/>
  </si>
  <si>
    <t>内装</t>
  </si>
  <si>
    <t>現在までの主な改修履歴</t>
  </si>
  <si>
    <t>設備</t>
  </si>
  <si>
    <r>
      <t>2-1</t>
    </r>
    <r>
      <rPr>
        <b/>
        <sz val="12"/>
        <color indexed="9"/>
        <rFont val="ＭＳ Ｐゴシック"/>
        <family val="3"/>
        <charset val="128"/>
      </rPr>
      <t>　建築物の環境効率（</t>
    </r>
    <r>
      <rPr>
        <b/>
        <sz val="12"/>
        <color indexed="9"/>
        <rFont val="Arial"/>
        <family val="2"/>
      </rPr>
      <t>BEE</t>
    </r>
    <r>
      <rPr>
        <b/>
        <sz val="12"/>
        <color indexed="9"/>
        <rFont val="ＭＳ Ｐゴシック"/>
        <family val="3"/>
        <charset val="128"/>
      </rPr>
      <t>ランク</t>
    </r>
    <r>
      <rPr>
        <b/>
        <sz val="12"/>
        <color indexed="9"/>
        <rFont val="Arial"/>
        <family val="2"/>
      </rPr>
      <t>&amp;</t>
    </r>
    <r>
      <rPr>
        <b/>
        <sz val="12"/>
        <color indexed="9"/>
        <rFont val="ＭＳ Ｐゴシック"/>
        <family val="3"/>
        <charset val="128"/>
      </rPr>
      <t>チャート）</t>
    </r>
    <rPh sb="4" eb="7">
      <t>ｹﾝﾁｸﾌﾞﾂ</t>
    </rPh>
    <phoneticPr fontId="39" type="noConversion"/>
  </si>
  <si>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27"/>
  </si>
  <si>
    <r>
      <t>2-3</t>
    </r>
    <r>
      <rPr>
        <b/>
        <sz val="12"/>
        <color indexed="9"/>
        <rFont val="ＭＳ Ｐゴシック"/>
        <family val="3"/>
        <charset val="128"/>
      </rPr>
      <t>　大項目の評価（ﾚｰﾀﾞｰﾁｬｰﾄ）</t>
    </r>
    <rPh sb="4" eb="7">
      <t>ダイコウモク</t>
    </rPh>
    <rPh sb="8" eb="10">
      <t>ヒョウカ</t>
    </rPh>
    <phoneticPr fontId="27"/>
  </si>
  <si>
    <t>基準</t>
    <rPh sb="0" eb="2">
      <t>キジュン</t>
    </rPh>
    <phoneticPr fontId="27"/>
  </si>
  <si>
    <t>評価</t>
    <rPh sb="0" eb="2">
      <t>ヒョウカ</t>
    </rPh>
    <phoneticPr fontId="27"/>
  </si>
  <si>
    <t>原点</t>
    <rPh sb="0" eb="2">
      <t>ゲンテン</t>
    </rPh>
    <phoneticPr fontId="27"/>
  </si>
  <si>
    <r>
      <t>BEE</t>
    </r>
    <r>
      <rPr>
        <sz val="11"/>
        <rFont val="ＭＳ Ｐゴシック"/>
        <family val="3"/>
        <charset val="128"/>
      </rPr>
      <t>の分母側</t>
    </r>
    <r>
      <rPr>
        <sz val="11"/>
        <rFont val="Arial"/>
        <family val="2"/>
      </rPr>
      <t>(L)</t>
    </r>
    <rPh sb="4" eb="6">
      <t>ブンボ</t>
    </rPh>
    <rPh sb="6" eb="7">
      <t>ガワ</t>
    </rPh>
    <phoneticPr fontId="27"/>
  </si>
  <si>
    <t>X目盛線</t>
    <rPh sb="1" eb="3">
      <t>メモ</t>
    </rPh>
    <rPh sb="3" eb="4">
      <t>セン</t>
    </rPh>
    <phoneticPr fontId="27"/>
  </si>
  <si>
    <t>Y目盛線</t>
    <rPh sb="1" eb="3">
      <t>メモ</t>
    </rPh>
    <rPh sb="3" eb="4">
      <t>セン</t>
    </rPh>
    <phoneticPr fontId="27"/>
  </si>
  <si>
    <r>
      <t>BEE</t>
    </r>
    <r>
      <rPr>
        <sz val="11"/>
        <rFont val="ＭＳ Ｐゴシック"/>
        <family val="3"/>
        <charset val="128"/>
      </rPr>
      <t>の分子側</t>
    </r>
    <r>
      <rPr>
        <sz val="11"/>
        <rFont val="Arial"/>
        <family val="2"/>
      </rPr>
      <t>(Q)</t>
    </r>
    <rPh sb="4" eb="6">
      <t>ブンシ</t>
    </rPh>
    <rPh sb="6" eb="7">
      <t>ガワ</t>
    </rPh>
    <phoneticPr fontId="27"/>
  </si>
  <si>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27"/>
  </si>
  <si>
    <t>椅子の移動音、物の落下音がかなり気になる。</t>
    <phoneticPr fontId="27"/>
  </si>
  <si>
    <t>椅子の移動音、物の落下音が小さく聞こえる。　</t>
    <phoneticPr fontId="27"/>
  </si>
  <si>
    <t>椅子の移動音、物の落下音が小さく聞こえる。</t>
    <phoneticPr fontId="27"/>
  </si>
  <si>
    <t>椅子の移動音、物の落下音がほとんど聞こえない。</t>
    <phoneticPr fontId="27"/>
  </si>
  <si>
    <t>Lr-65より悪い</t>
    <phoneticPr fontId="27"/>
  </si>
  <si>
    <t>Lr-55より悪い</t>
    <phoneticPr fontId="27"/>
  </si>
  <si>
    <t>Lr-65</t>
    <phoneticPr fontId="27"/>
  </si>
  <si>
    <r>
      <t>解体段階のCO</t>
    </r>
    <r>
      <rPr>
        <vertAlign val="subscript"/>
        <sz val="10"/>
        <rFont val="ＭＳ Ｐゴシック"/>
        <family val="3"/>
        <charset val="128"/>
      </rPr>
      <t>2</t>
    </r>
    <r>
      <rPr>
        <sz val="10"/>
        <rFont val="ＭＳ Ｐゴシック"/>
        <family val="3"/>
        <charset val="128"/>
      </rPr>
      <t>排出量の算定方法</t>
    </r>
    <rPh sb="0" eb="2">
      <t>カイタイ</t>
    </rPh>
    <rPh sb="2" eb="4">
      <t>ダンカイ</t>
    </rPh>
    <rPh sb="8" eb="10">
      <t>ハイシュツ</t>
    </rPh>
    <rPh sb="10" eb="11">
      <t>リョウ</t>
    </rPh>
    <rPh sb="12" eb="14">
      <t>サンテイ</t>
    </rPh>
    <rPh sb="14" eb="16">
      <t>ホウホウ</t>
    </rPh>
    <phoneticPr fontId="27"/>
  </si>
  <si>
    <t>解体廃棄物量として、2000kg／㎡を仮定して、30kmの道路運送分を評価</t>
    <rPh sb="0" eb="2">
      <t>カイタイ</t>
    </rPh>
    <rPh sb="2" eb="5">
      <t>ハイキブツ</t>
    </rPh>
    <rPh sb="5" eb="6">
      <t>リョウ</t>
    </rPh>
    <rPh sb="19" eb="21">
      <t>カテイ</t>
    </rPh>
    <rPh sb="29" eb="31">
      <t>ドウロ</t>
    </rPh>
    <rPh sb="31" eb="33">
      <t>ウンソウ</t>
    </rPh>
    <rPh sb="33" eb="34">
      <t>ブン</t>
    </rPh>
    <rPh sb="35" eb="37">
      <t>ヒョウカ</t>
    </rPh>
    <phoneticPr fontId="27"/>
  </si>
  <si>
    <t>同左</t>
    <rPh sb="0" eb="2">
      <t>ドウサ</t>
    </rPh>
    <phoneticPr fontId="27"/>
  </si>
  <si>
    <t>運用
段階</t>
    <rPh sb="0" eb="2">
      <t>ウンヨウ</t>
    </rPh>
    <rPh sb="3" eb="5">
      <t>ダンカイ</t>
    </rPh>
    <phoneticPr fontId="27"/>
  </si>
  <si>
    <t>参考</t>
    <rPh sb="0" eb="2">
      <t>サンコウ</t>
    </rPh>
    <phoneticPr fontId="27"/>
  </si>
  <si>
    <t>非住宅部</t>
    <rPh sb="0" eb="1">
      <t>ヒ</t>
    </rPh>
    <rPh sb="1" eb="3">
      <t>ジュウタク</t>
    </rPh>
    <rPh sb="3" eb="4">
      <t>ブ</t>
    </rPh>
    <phoneticPr fontId="27"/>
  </si>
  <si>
    <t>品確法</t>
    <rPh sb="0" eb="3">
      <t>ヒンカクホウ</t>
    </rPh>
    <phoneticPr fontId="27"/>
  </si>
  <si>
    <t>GJ/年</t>
    <rPh sb="3" eb="4">
      <t>ネン</t>
    </rPh>
    <phoneticPr fontId="27"/>
  </si>
  <si>
    <t>LR1/3.設備システムの高効率化</t>
    <rPh sb="6" eb="8">
      <t>セツビ</t>
    </rPh>
    <rPh sb="13" eb="17">
      <t>コウコウリツカ</t>
    </rPh>
    <phoneticPr fontId="27"/>
  </si>
  <si>
    <t>統計値　MJ/年㎡</t>
    <rPh sb="0" eb="2">
      <t>トウケイ</t>
    </rPh>
    <rPh sb="2" eb="3">
      <t>チ</t>
    </rPh>
    <rPh sb="7" eb="8">
      <t>ネン</t>
    </rPh>
    <phoneticPr fontId="27"/>
  </si>
  <si>
    <t>低減率</t>
    <rPh sb="0" eb="2">
      <t>テイゲン</t>
    </rPh>
    <rPh sb="2" eb="3">
      <t>リツ</t>
    </rPh>
    <phoneticPr fontId="27"/>
  </si>
  <si>
    <t>LR1/4.　効率的な運用</t>
    <rPh sb="7" eb="10">
      <t>コウリツテキ</t>
    </rPh>
    <rPh sb="11" eb="13">
      <t>ウンヨウ</t>
    </rPh>
    <phoneticPr fontId="27"/>
  </si>
  <si>
    <t>用途別面積</t>
    <rPh sb="0" eb="2">
      <t>ヨウト</t>
    </rPh>
    <rPh sb="2" eb="3">
      <t>ベツ</t>
    </rPh>
    <rPh sb="3" eb="5">
      <t>メンセキ</t>
    </rPh>
    <phoneticPr fontId="29"/>
  </si>
  <si>
    <t>適切な換気機能を有し、熱橋となる部分の断熱補強、防湿層、通気層の設置等の結露防止対策がとられている。</t>
    <phoneticPr fontId="27"/>
  </si>
  <si>
    <t>除湿機能を有し、熱橋となる部分の断熱補強、防湿層、通気層の設置等の結露防止対策がとられている。</t>
    <phoneticPr fontId="27"/>
  </si>
  <si>
    <t>加湿機能・除湿機能を有し、かつ45％～55％の範囲の湿度を実現することが可能な設備容量が確保されている。</t>
    <phoneticPr fontId="27"/>
  </si>
  <si>
    <t>3）空間提供による地域貢献</t>
    <phoneticPr fontId="27"/>
  </si>
  <si>
    <t>アルコーブ・ピロティ・庇などの空間を設けるなどの建築的な工夫を取入れて、雨宿り、待合わせに供する等、都市空間の活動上のアメニティ向上に貢献している。
または、</t>
    <phoneticPr fontId="27"/>
  </si>
  <si>
    <t>広場や歩道状空地、路地などのスペースを確保し、憩いの場に供するなど地域の活動上のアメニティ向上に貢献している。</t>
    <phoneticPr fontId="27"/>
  </si>
  <si>
    <t>5）建物内外を連関させる豊かな中間領域の形成</t>
    <phoneticPr fontId="27"/>
  </si>
  <si>
    <t>地球温暖化への配慮</t>
    <rPh sb="0" eb="2">
      <t>ﾁｷｭｳ</t>
    </rPh>
    <rPh sb="2" eb="5">
      <t>ｵﾝﾀﾞﾝｶ</t>
    </rPh>
    <rPh sb="7" eb="9">
      <t>ﾊｲﾘｮ</t>
    </rPh>
    <phoneticPr fontId="39" type="noConversion"/>
  </si>
  <si>
    <t>地域環境への配慮</t>
    <rPh sb="0" eb="2">
      <t>ﾁｲｷ</t>
    </rPh>
    <rPh sb="2" eb="4">
      <t>ｶﾝｷｮｳ</t>
    </rPh>
    <rPh sb="6" eb="8">
      <t>ﾊｲﾘｮ</t>
    </rPh>
    <phoneticPr fontId="39" type="noConversion"/>
  </si>
  <si>
    <t>大気汚染防止</t>
    <rPh sb="0" eb="2">
      <t>ﾀｲｷ</t>
    </rPh>
    <rPh sb="2" eb="4">
      <t>ｵｾﾝ</t>
    </rPh>
    <rPh sb="4" eb="6">
      <t>ﾎﾞｳｼ</t>
    </rPh>
    <phoneticPr fontId="39" type="noConversion"/>
  </si>
  <si>
    <t>地域インフラへの負荷抑制</t>
    <rPh sb="0" eb="2">
      <t>チイキ</t>
    </rPh>
    <rPh sb="8" eb="10">
      <t>フカ</t>
    </rPh>
    <rPh sb="10" eb="12">
      <t>ヨクセイ</t>
    </rPh>
    <phoneticPr fontId="27"/>
  </si>
  <si>
    <t>交通負荷抑制</t>
    <rPh sb="0" eb="2">
      <t>ｺｳﾂｳ</t>
    </rPh>
    <rPh sb="2" eb="4">
      <t>ﾌｶ</t>
    </rPh>
    <rPh sb="4" eb="6">
      <t>ﾖｸｾｲ</t>
    </rPh>
    <phoneticPr fontId="39" type="noConversion"/>
  </si>
  <si>
    <t>XXX</t>
    <phoneticPr fontId="27"/>
  </si>
  <si>
    <t>㎡</t>
    <phoneticPr fontId="27"/>
  </si>
  <si>
    <r>
      <t>c</t>
    </r>
    <r>
      <rPr>
        <sz val="11"/>
        <rFont val="ＭＳ Ｐゴシック"/>
        <family val="3"/>
        <charset val="128"/>
      </rPr>
      <t>ommon</t>
    </r>
    <phoneticPr fontId="27"/>
  </si>
  <si>
    <t>Residential</t>
    <phoneticPr fontId="27"/>
  </si>
  <si>
    <t>ホテル</t>
    <phoneticPr fontId="27"/>
  </si>
  <si>
    <t>屋上等の雨水排水溝に、泥や砂等が堆積していないこと。また、雨水配水管の末端は、砂や泥等により管径が縮小していないこと。（毎学年１回）</t>
    <rPh sb="0" eb="2">
      <t>オクジョウ</t>
    </rPh>
    <rPh sb="2" eb="3">
      <t>トウ</t>
    </rPh>
    <rPh sb="4" eb="6">
      <t>ウスイ</t>
    </rPh>
    <rPh sb="6" eb="9">
      <t>ハイスイコウ</t>
    </rPh>
    <rPh sb="11" eb="12">
      <t>ドロ</t>
    </rPh>
    <rPh sb="13" eb="14">
      <t>スナ</t>
    </rPh>
    <rPh sb="14" eb="15">
      <t>トウ</t>
    </rPh>
    <rPh sb="16" eb="18">
      <t>タイセキ</t>
    </rPh>
    <rPh sb="29" eb="31">
      <t>ウスイ</t>
    </rPh>
    <rPh sb="31" eb="34">
      <t>ハイスイカン</t>
    </rPh>
    <rPh sb="35" eb="37">
      <t>マッタン</t>
    </rPh>
    <rPh sb="39" eb="40">
      <t>スナ</t>
    </rPh>
    <rPh sb="41" eb="42">
      <t>ドロ</t>
    </rPh>
    <rPh sb="42" eb="43">
      <t>トウ</t>
    </rPh>
    <rPh sb="46" eb="47">
      <t>カン</t>
    </rPh>
    <rPh sb="47" eb="48">
      <t>ケイ</t>
    </rPh>
    <rPh sb="49" eb="51">
      <t>シュクショウ</t>
    </rPh>
    <rPh sb="60" eb="63">
      <t>マイガクネン</t>
    </rPh>
    <rPh sb="64" eb="65">
      <t>カイ</t>
    </rPh>
    <phoneticPr fontId="27"/>
  </si>
  <si>
    <t>排水の施設・設備</t>
    <rPh sb="0" eb="2">
      <t>ハイスイ</t>
    </rPh>
    <rPh sb="3" eb="5">
      <t>シセツ</t>
    </rPh>
    <rPh sb="6" eb="8">
      <t>セツビ</t>
    </rPh>
    <phoneticPr fontId="27"/>
  </si>
  <si>
    <t>汚水槽、雑排水槽等の施設・設備は、故障等がなく適切に機能していること。
（毎学年１回）</t>
    <rPh sb="0" eb="3">
      <t>オスイソウ</t>
    </rPh>
    <rPh sb="4" eb="5">
      <t>ザツ</t>
    </rPh>
    <rPh sb="5" eb="7">
      <t>ハイスイ</t>
    </rPh>
    <rPh sb="7" eb="8">
      <t>ソウ</t>
    </rPh>
    <rPh sb="8" eb="9">
      <t>トウ</t>
    </rPh>
    <rPh sb="10" eb="12">
      <t>シセツ</t>
    </rPh>
    <rPh sb="13" eb="15">
      <t>セツビ</t>
    </rPh>
    <rPh sb="17" eb="19">
      <t>コショウ</t>
    </rPh>
    <rPh sb="19" eb="20">
      <t>トウ</t>
    </rPh>
    <rPh sb="23" eb="25">
      <t>テキセツ</t>
    </rPh>
    <rPh sb="26" eb="28">
      <t>キノウ</t>
    </rPh>
    <rPh sb="37" eb="40">
      <t>マイガクネン</t>
    </rPh>
    <rPh sb="41" eb="42">
      <t>カイ</t>
    </rPh>
    <phoneticPr fontId="27"/>
  </si>
  <si>
    <t>木　材</t>
  </si>
  <si>
    <t>＜参考＞　個別計算にあたって、利用できる計算値</t>
    <rPh sb="1" eb="3">
      <t>サンコウ</t>
    </rPh>
    <rPh sb="5" eb="7">
      <t>コベツ</t>
    </rPh>
    <rPh sb="7" eb="9">
      <t>ケイサン</t>
    </rPh>
    <rPh sb="15" eb="17">
      <t>リヨウ</t>
    </rPh>
    <rPh sb="20" eb="23">
      <t>ケイサンチ</t>
    </rPh>
    <phoneticPr fontId="27"/>
  </si>
  <si>
    <t>やや高度な対策を行っている（評価する取組みにおいて3項目以上を採用）</t>
    <phoneticPr fontId="27"/>
  </si>
  <si>
    <t>.建物全体・共用部分</t>
    <phoneticPr fontId="27"/>
  </si>
  <si>
    <t>住居・宿泊部分</t>
    <phoneticPr fontId="27"/>
  </si>
  <si>
    <t>設備騒音の種類</t>
    <phoneticPr fontId="27"/>
  </si>
  <si>
    <t>対策例</t>
    <phoneticPr fontId="27"/>
  </si>
  <si>
    <t>防音カバー、機械室の吸音・遮音、位置など</t>
    <phoneticPr fontId="27"/>
  </si>
  <si>
    <t>設備騒音の種類</t>
    <phoneticPr fontId="27"/>
  </si>
  <si>
    <t>対策例</t>
    <phoneticPr fontId="27"/>
  </si>
  <si>
    <t>（屋外）冷却塔、室外機等からの騒音</t>
    <phoneticPr fontId="27"/>
  </si>
  <si>
    <t>⑥　屋外や共用通路などに清掃作業を想定した電源を計画している。</t>
    <rPh sb="2" eb="4">
      <t>オクガイ</t>
    </rPh>
    <rPh sb="5" eb="7">
      <t>キョウヨウ</t>
    </rPh>
    <rPh sb="7" eb="9">
      <t>ツウロ</t>
    </rPh>
    <rPh sb="12" eb="14">
      <t>セイソウ</t>
    </rPh>
    <rPh sb="14" eb="16">
      <t>サギョウ</t>
    </rPh>
    <rPh sb="17" eb="19">
      <t>ソウテイ</t>
    </rPh>
    <rPh sb="21" eb="23">
      <t>デンゲン</t>
    </rPh>
    <rPh sb="24" eb="26">
      <t>ケイカク</t>
    </rPh>
    <phoneticPr fontId="27"/>
  </si>
  <si>
    <t>⑧　洗面台や給湯室流し、台所流しの各排水トラップは取り外し、清掃できるようになっている。　</t>
    <rPh sb="2" eb="5">
      <t>センメンダイ</t>
    </rPh>
    <rPh sb="6" eb="9">
      <t>キュウトウシツ</t>
    </rPh>
    <rPh sb="9" eb="10">
      <t>ナガ</t>
    </rPh>
    <rPh sb="12" eb="14">
      <t>ダイドコロ</t>
    </rPh>
    <rPh sb="14" eb="15">
      <t>ナガ</t>
    </rPh>
    <rPh sb="17" eb="18">
      <t>カク</t>
    </rPh>
    <rPh sb="18" eb="20">
      <t>ハイスイ</t>
    </rPh>
    <rPh sb="25" eb="26">
      <t>ト</t>
    </rPh>
    <rPh sb="27" eb="28">
      <t>ハズ</t>
    </rPh>
    <rPh sb="30" eb="32">
      <t>セイソウ</t>
    </rPh>
    <phoneticPr fontId="27"/>
  </si>
  <si>
    <t>学校版</t>
    <rPh sb="0" eb="2">
      <t>ガッコウ</t>
    </rPh>
    <rPh sb="2" eb="3">
      <t>バン</t>
    </rPh>
    <phoneticPr fontId="27"/>
  </si>
  <si>
    <t>大掃除の実施</t>
    <rPh sb="0" eb="3">
      <t>オオソウジ</t>
    </rPh>
    <rPh sb="4" eb="6">
      <t>ジッシ</t>
    </rPh>
    <phoneticPr fontId="27"/>
  </si>
  <si>
    <t>大掃除は、定期に行われていること。（毎学年３回）</t>
    <rPh sb="0" eb="3">
      <t>オオソウジ</t>
    </rPh>
    <rPh sb="5" eb="7">
      <t>テイキ</t>
    </rPh>
    <rPh sb="8" eb="9">
      <t>オコナ</t>
    </rPh>
    <rPh sb="18" eb="21">
      <t>マイガクネン</t>
    </rPh>
    <rPh sb="22" eb="23">
      <t>カイ</t>
    </rPh>
    <phoneticPr fontId="27"/>
  </si>
  <si>
    <t>主要構造部が木造躯体の時は評価対象外とする。</t>
    <rPh sb="0" eb="2">
      <t>シュヨウ</t>
    </rPh>
    <rPh sb="2" eb="4">
      <t>コウゾウ</t>
    </rPh>
    <rPh sb="4" eb="5">
      <t>ブ</t>
    </rPh>
    <rPh sb="6" eb="8">
      <t>モクゾウ</t>
    </rPh>
    <rPh sb="8" eb="10">
      <t>クタイ</t>
    </rPh>
    <rPh sb="11" eb="12">
      <t>トキ</t>
    </rPh>
    <rPh sb="13" eb="15">
      <t>ヒョウカ</t>
    </rPh>
    <rPh sb="15" eb="18">
      <t>タイショウガイ</t>
    </rPh>
    <phoneticPr fontId="27"/>
  </si>
  <si>
    <t>主要構造部が非木造躯体（RC造/SRC造/S造）である場合で、評価する取組み表の評価ポイントの合計値が0ポイント</t>
    <rPh sb="0" eb="2">
      <t>シュヨウ</t>
    </rPh>
    <rPh sb="2" eb="4">
      <t>コウゾウ</t>
    </rPh>
    <rPh sb="4" eb="5">
      <t>ブ</t>
    </rPh>
    <rPh sb="6" eb="7">
      <t>ヒ</t>
    </rPh>
    <rPh sb="7" eb="9">
      <t>モクゾウ</t>
    </rPh>
    <rPh sb="9" eb="11">
      <t>クタイ</t>
    </rPh>
    <rPh sb="14" eb="15">
      <t>ゾウ</t>
    </rPh>
    <rPh sb="19" eb="20">
      <t>ゾウ</t>
    </rPh>
    <rPh sb="22" eb="23">
      <t>ゾウ</t>
    </rPh>
    <rPh sb="27" eb="29">
      <t>バアイ</t>
    </rPh>
    <rPh sb="31" eb="33">
      <t>ヒョウカ</t>
    </rPh>
    <phoneticPr fontId="27"/>
  </si>
  <si>
    <t>主要構造部が非木造躯体（RC造/SRC造/S造）である場合で、評価する取組み表の評価ポイントの合計値が1ポイント以上</t>
    <rPh sb="56" eb="58">
      <t>イジョウ</t>
    </rPh>
    <phoneticPr fontId="27"/>
  </si>
  <si>
    <t>電気％</t>
    <rPh sb="0" eb="2">
      <t>デンキ</t>
    </rPh>
    <phoneticPr fontId="27"/>
  </si>
  <si>
    <t>住宅　専有部（住戸全体）</t>
    <rPh sb="0" eb="2">
      <t>ジュウタク</t>
    </rPh>
    <rPh sb="3" eb="5">
      <t>センユウ</t>
    </rPh>
    <rPh sb="5" eb="6">
      <t>ブ</t>
    </rPh>
    <rPh sb="7" eb="9">
      <t>ジュウコ</t>
    </rPh>
    <rPh sb="9" eb="11">
      <t>ゼンタイ</t>
    </rPh>
    <phoneticPr fontId="27"/>
  </si>
  <si>
    <t>太陽光発電の発電量</t>
    <phoneticPr fontId="27"/>
  </si>
  <si>
    <t>太陽光発電によるCO2削減量　（発電量が③ｵﾝｻｲﾄの取組分相当の場合で、かつ削減分に電力の排出係数を用いる場合。）</t>
    <rPh sb="0" eb="3">
      <t>タイヨウコウ</t>
    </rPh>
    <rPh sb="3" eb="5">
      <t>ハツデン</t>
    </rPh>
    <rPh sb="11" eb="13">
      <t>サクゲン</t>
    </rPh>
    <rPh sb="13" eb="14">
      <t>リョウ</t>
    </rPh>
    <rPh sb="39" eb="41">
      <t>サクゲン</t>
    </rPh>
    <rPh sb="41" eb="42">
      <t>ブン</t>
    </rPh>
    <phoneticPr fontId="27"/>
  </si>
  <si>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27"/>
  </si>
  <si>
    <t>建設</t>
    <rPh sb="0" eb="2">
      <t>ケンセツ</t>
    </rPh>
    <phoneticPr fontId="27"/>
  </si>
  <si>
    <t>修繕・更新・解体</t>
    <rPh sb="0" eb="2">
      <t>シュウゼン</t>
    </rPh>
    <rPh sb="3" eb="5">
      <t>コウシン</t>
    </rPh>
    <rPh sb="6" eb="8">
      <t>カイタイ</t>
    </rPh>
    <phoneticPr fontId="27"/>
  </si>
  <si>
    <t>運用</t>
    <rPh sb="0" eb="2">
      <t>ウンヨウ</t>
    </rPh>
    <phoneticPr fontId="27"/>
  </si>
  <si>
    <t>Ref</t>
    <phoneticPr fontId="27"/>
  </si>
  <si>
    <r>
      <t>Q</t>
    </r>
    <r>
      <rPr>
        <b/>
        <sz val="11"/>
        <color indexed="26"/>
        <rFont val="ＭＳ Ｐゴシック"/>
        <family val="3"/>
        <charset val="128"/>
      </rPr>
      <t>　環境品質</t>
    </r>
    <rPh sb="2" eb="4">
      <t>カンキョウ</t>
    </rPh>
    <rPh sb="4" eb="6">
      <t>ヒンシツ</t>
    </rPh>
    <phoneticPr fontId="27"/>
  </si>
  <si>
    <r>
      <t>Q</t>
    </r>
    <r>
      <rPr>
        <b/>
        <i/>
        <sz val="14"/>
        <color indexed="9"/>
        <rFont val="ＭＳ Ｐゴシック"/>
        <family val="3"/>
        <charset val="128"/>
      </rPr>
      <t>のスコア</t>
    </r>
    <r>
      <rPr>
        <b/>
        <i/>
        <sz val="14"/>
        <color indexed="9"/>
        <rFont val="Arial"/>
        <family val="2"/>
      </rPr>
      <t>=</t>
    </r>
    <phoneticPr fontId="27"/>
  </si>
  <si>
    <t>Subjest1</t>
    <phoneticPr fontId="27"/>
  </si>
  <si>
    <t>Subjest2</t>
    <phoneticPr fontId="27"/>
  </si>
  <si>
    <t>Subjest3</t>
    <phoneticPr fontId="27"/>
  </si>
  <si>
    <t>Score</t>
    <phoneticPr fontId="27"/>
  </si>
  <si>
    <t>開口部遮音性能</t>
    <phoneticPr fontId="27"/>
  </si>
  <si>
    <t>界壁遮音性能</t>
  </si>
  <si>
    <t>界床遮音性能（軽量衝撃源）</t>
  </si>
  <si>
    <t>界床遮音性能（重量衝撃源）</t>
  </si>
  <si>
    <t>吸音</t>
  </si>
  <si>
    <t>温熱環境</t>
    <rPh sb="0" eb="2">
      <t>ｵﾝﾈﾂ</t>
    </rPh>
    <rPh sb="2" eb="4">
      <t>ｶﾝｷｮｳ</t>
    </rPh>
    <phoneticPr fontId="39" type="noConversion"/>
  </si>
  <si>
    <t>室温制御</t>
    <rPh sb="0" eb="2">
      <t>ｼﾂｵﾝ</t>
    </rPh>
    <rPh sb="2" eb="4">
      <t>ｾｲｷﾞｮ</t>
    </rPh>
    <phoneticPr fontId="39" type="noConversion"/>
  </si>
  <si>
    <t>外皮性能</t>
    <rPh sb="0" eb="2">
      <t>ガイヒ</t>
    </rPh>
    <rPh sb="2" eb="4">
      <t>セイノウ</t>
    </rPh>
    <phoneticPr fontId="27"/>
  </si>
  <si>
    <t>ゾーン別制御性</t>
    <rPh sb="3" eb="4">
      <t>ベツ</t>
    </rPh>
    <rPh sb="4" eb="7">
      <t>セイギョセイ</t>
    </rPh>
    <phoneticPr fontId="27"/>
  </si>
  <si>
    <t>個別制御</t>
    <rPh sb="0" eb="2">
      <t>コベツ</t>
    </rPh>
    <rPh sb="2" eb="4">
      <t>セイギョ</t>
    </rPh>
    <phoneticPr fontId="27"/>
  </si>
  <si>
    <t>※効率評価に関しては、機器/器具付随の制御用センサーのデータを用いた評価も可とする。</t>
  </si>
  <si>
    <t>レベル２に加えて、運用管理体制が組織化され、責任者が指名されている。</t>
  </si>
  <si>
    <t>風害・砂塵、日照阻害の抑制</t>
  </si>
  <si>
    <t>風害・砂塵、日照阻害の抑制</t>
    <phoneticPr fontId="39" type="noConversion"/>
  </si>
  <si>
    <t>窓が開閉不可能な居室において、自然換気有効開口面積が50ｃ㎡／㎡以上。あるいは、窓が開閉可能な居室において、自然換気有効開口面積が居室床面積の1/15以上。あるいは、必要外気量の２倍以上の外気冷房の採用により室内空気質の向上が期待できる。</t>
    <phoneticPr fontId="27"/>
  </si>
  <si>
    <t>居室面積の1/6以上の開閉可能な窓を確保している。</t>
    <phoneticPr fontId="27"/>
  </si>
  <si>
    <t>Q2 サービス性能</t>
    <phoneticPr fontId="27"/>
  </si>
  <si>
    <t>Q</t>
    <phoneticPr fontId="27"/>
  </si>
  <si>
    <t>Q3</t>
    <phoneticPr fontId="27"/>
  </si>
  <si>
    <t>BEE(Round)</t>
    <phoneticPr fontId="27"/>
  </si>
  <si>
    <t>LR1</t>
    <phoneticPr fontId="27"/>
  </si>
  <si>
    <t>LR1 
エネルギー</t>
    <phoneticPr fontId="27"/>
  </si>
  <si>
    <t>㎡</t>
    <phoneticPr fontId="39" type="noConversion"/>
  </si>
  <si>
    <t>Q1</t>
    <phoneticPr fontId="27"/>
  </si>
  <si>
    <t>㎡</t>
    <phoneticPr fontId="39" type="noConversion"/>
  </si>
  <si>
    <r>
      <t>BEE</t>
    </r>
    <r>
      <rPr>
        <sz val="11"/>
        <rFont val="ＭＳ Ｐゴシック"/>
        <family val="3"/>
        <charset val="128"/>
      </rPr>
      <t>グラフ</t>
    </r>
    <phoneticPr fontId="27"/>
  </si>
  <si>
    <t>BEE</t>
    <phoneticPr fontId="27"/>
  </si>
  <si>
    <t>X</t>
    <phoneticPr fontId="27"/>
  </si>
  <si>
    <t>S</t>
    <phoneticPr fontId="27"/>
  </si>
  <si>
    <t>A</t>
    <phoneticPr fontId="27"/>
  </si>
  <si>
    <t>B+</t>
    <phoneticPr fontId="27"/>
  </si>
  <si>
    <t>B</t>
    <phoneticPr fontId="27"/>
  </si>
  <si>
    <t>B-</t>
    <phoneticPr fontId="27"/>
  </si>
  <si>
    <t>Rank(green star)</t>
    <phoneticPr fontId="27"/>
  </si>
  <si>
    <t xml:space="preserve"> ④上記+
　オフサイト手法</t>
    <phoneticPr fontId="27"/>
  </si>
  <si>
    <t>RC造</t>
    <rPh sb="2" eb="3">
      <t>ゾウ</t>
    </rPh>
    <phoneticPr fontId="27"/>
  </si>
  <si>
    <t>S造</t>
    <rPh sb="1" eb="2">
      <t>ゾウ</t>
    </rPh>
    <phoneticPr fontId="27"/>
  </si>
  <si>
    <t>SRC造</t>
    <rPh sb="3" eb="4">
      <t>ゾウ</t>
    </rPh>
    <phoneticPr fontId="27"/>
  </si>
  <si>
    <t>木造</t>
    <rPh sb="0" eb="2">
      <t>モクゾウ</t>
    </rPh>
    <phoneticPr fontId="27"/>
  </si>
  <si>
    <t>既存</t>
    <rPh sb="0" eb="2">
      <t>キソン</t>
    </rPh>
    <phoneticPr fontId="27"/>
  </si>
  <si>
    <t>新築</t>
    <rPh sb="0" eb="2">
      <t>シンチク</t>
    </rPh>
    <phoneticPr fontId="27"/>
  </si>
  <si>
    <t>既存学校版</t>
    <rPh sb="0" eb="2">
      <t>キソン</t>
    </rPh>
    <rPh sb="2" eb="4">
      <t>ガッコウ</t>
    </rPh>
    <rPh sb="4" eb="5">
      <t>バン</t>
    </rPh>
    <phoneticPr fontId="27"/>
  </si>
  <si>
    <t>実施設計段階</t>
    <rPh sb="0" eb="2">
      <t>ジッシ</t>
    </rPh>
    <rPh sb="2" eb="4">
      <t>セッケイ</t>
    </rPh>
    <rPh sb="4" eb="6">
      <t>ダンカイ</t>
    </rPh>
    <phoneticPr fontId="27"/>
  </si>
  <si>
    <t>基本設計段階</t>
    <rPh sb="0" eb="2">
      <t>キホン</t>
    </rPh>
    <rPh sb="2" eb="4">
      <t>セッケイ</t>
    </rPh>
    <rPh sb="4" eb="6">
      <t>ダンカイ</t>
    </rPh>
    <phoneticPr fontId="27"/>
  </si>
  <si>
    <t>レベル４に加え、利用量が15MJ/㎡・年以上となる場合。</t>
    <rPh sb="8" eb="10">
      <t>リヨウ</t>
    </rPh>
    <rPh sb="10" eb="11">
      <t>リョウ</t>
    </rPh>
    <rPh sb="19" eb="20">
      <t>トシ</t>
    </rPh>
    <rPh sb="20" eb="22">
      <t>イジョウ</t>
    </rPh>
    <rPh sb="25" eb="27">
      <t>バアイ</t>
    </rPh>
    <phoneticPr fontId="27"/>
  </si>
  <si>
    <t>躯体材料の耐用年数</t>
    <rPh sb="0" eb="2">
      <t>クタイ</t>
    </rPh>
    <rPh sb="2" eb="4">
      <t>ザイリョウ</t>
    </rPh>
    <rPh sb="5" eb="7">
      <t>タイヨウ</t>
    </rPh>
    <rPh sb="7" eb="9">
      <t>ネンスウ</t>
    </rPh>
    <phoneticPr fontId="27"/>
  </si>
  <si>
    <t>外壁仕上げ材の補修必要間隔</t>
    <rPh sb="0" eb="2">
      <t>ガイヘキ</t>
    </rPh>
    <rPh sb="2" eb="4">
      <t>シア</t>
    </rPh>
    <rPh sb="5" eb="6">
      <t>ザイ</t>
    </rPh>
    <rPh sb="7" eb="9">
      <t>ホシュウ</t>
    </rPh>
    <rPh sb="9" eb="11">
      <t>ヒツヨウ</t>
    </rPh>
    <rPh sb="11" eb="13">
      <t>カンカク</t>
    </rPh>
    <phoneticPr fontId="27"/>
  </si>
  <si>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7"/>
  </si>
  <si>
    <t>空調換気ダクトの更新必要間隔</t>
    <rPh sb="0" eb="2">
      <t>クウチョウ</t>
    </rPh>
    <rPh sb="2" eb="4">
      <t>カンキ</t>
    </rPh>
    <rPh sb="8" eb="10">
      <t>コウシン</t>
    </rPh>
    <rPh sb="10" eb="12">
      <t>ヒツヨウ</t>
    </rPh>
    <rPh sb="12" eb="14">
      <t>カンカク</t>
    </rPh>
    <phoneticPr fontId="27"/>
  </si>
  <si>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7"/>
  </si>
  <si>
    <t>主要設備機器の更新必要間隔</t>
    <rPh sb="0" eb="2">
      <t>シュヨウ</t>
    </rPh>
    <rPh sb="2" eb="4">
      <t>セツビ</t>
    </rPh>
    <rPh sb="4" eb="6">
      <t>キキ</t>
    </rPh>
    <rPh sb="7" eb="9">
      <t>コウシン</t>
    </rPh>
    <rPh sb="9" eb="11">
      <t>ヒツヨウ</t>
    </rPh>
    <rPh sb="11" eb="13">
      <t>カンカク</t>
    </rPh>
    <phoneticPr fontId="27"/>
  </si>
  <si>
    <t>適切な更新</t>
    <rPh sb="0" eb="2">
      <t>テキセツ</t>
    </rPh>
    <rPh sb="3" eb="5">
      <t>コウシン</t>
    </rPh>
    <phoneticPr fontId="27"/>
  </si>
  <si>
    <t>(b)グリーン熱証書によるカーボンオフセット</t>
    <phoneticPr fontId="27"/>
  </si>
  <si>
    <t>（ｃ）その他カーボンクレジット</t>
    <phoneticPr fontId="27"/>
  </si>
  <si>
    <t>(d)調整後排出量（調整後排出係数による）と実排出量の差</t>
    <phoneticPr fontId="27"/>
  </si>
  <si>
    <t>○○による</t>
    <phoneticPr fontId="27"/>
  </si>
  <si>
    <t>○○</t>
    <phoneticPr fontId="27"/>
  </si>
  <si>
    <t>○○</t>
    <phoneticPr fontId="27"/>
  </si>
  <si>
    <t>○○</t>
    <phoneticPr fontId="27"/>
  </si>
  <si>
    <t>合計</t>
    <phoneticPr fontId="27"/>
  </si>
  <si>
    <t>kWh/年</t>
    <phoneticPr fontId="27"/>
  </si>
  <si>
    <t>自家消費分</t>
    <phoneticPr fontId="27"/>
  </si>
  <si>
    <t>kWh/年</t>
    <phoneticPr fontId="27"/>
  </si>
  <si>
    <t>段階</t>
    <phoneticPr fontId="27"/>
  </si>
  <si>
    <t>余剰売電分</t>
    <phoneticPr fontId="27"/>
  </si>
  <si>
    <t>通常の空調方式であるが、居住域の上下温度差や気流速度に配慮した給排気計画がされている。上下温度差及び気流速度の目標値をおおよそ5℃以内、0.35m/s程度に設定している。</t>
    <phoneticPr fontId="27"/>
  </si>
  <si>
    <t>通常の空調方式であるが、居住域の上下温度差や気流速度および診療室内の間仕切りなどに配慮した給排気計画がされている。上下温度差及び気流速度の目標値をおおよそ5℃以内、0.35m/s程度に設定している。</t>
    <phoneticPr fontId="27"/>
  </si>
  <si>
    <t>水平方向から見て光源が露出し、グレアを制限していない器具。G3分類の器具。</t>
  </si>
  <si>
    <t>水平方向から見て光源が露出しグレアを制限していない器具。G3分類の器具。</t>
  </si>
  <si>
    <t>水平方向から見て光源が露出せず、グレアを制限している器具。G2分類の器具。</t>
  </si>
  <si>
    <t>反射板形状の工夫、ルーバー・透光性カバーなどにより、十分にグレアを制限している器具。G1、G0、V分類の器具。</t>
  </si>
  <si>
    <t>評価する取組みがない。</t>
  </si>
  <si>
    <t>講堂・礼拝堂</t>
    <rPh sb="0" eb="2">
      <t>コウドウ</t>
    </rPh>
    <rPh sb="3" eb="6">
      <t>レイハイドウ</t>
    </rPh>
    <phoneticPr fontId="27"/>
  </si>
  <si>
    <t>運用管理体制の計画を行っていない。</t>
    <phoneticPr fontId="27"/>
  </si>
  <si>
    <t>運用管理の組織、体制、管理方針が計画されている。</t>
    <phoneticPr fontId="27"/>
  </si>
  <si>
    <t>節水の仕組みなし。</t>
    <phoneticPr fontId="27"/>
  </si>
  <si>
    <t>節水コマなどに加えて、省水型機器（例えば擬音、節水型便器など）などを用いている。</t>
    <phoneticPr fontId="27"/>
  </si>
  <si>
    <r>
      <t xml:space="preserve">1.2.1 </t>
    </r>
    <r>
      <rPr>
        <b/>
        <sz val="10"/>
        <rFont val="ＭＳ Ｐゴシック"/>
        <family val="3"/>
        <charset val="128"/>
      </rPr>
      <t>雨水利用システム導入の有無</t>
    </r>
    <phoneticPr fontId="27"/>
  </si>
  <si>
    <t>雨水利用の仕組みなし。</t>
    <phoneticPr fontId="7"/>
  </si>
  <si>
    <t>雨水利用をしている。</t>
    <phoneticPr fontId="7"/>
  </si>
  <si>
    <t>雨水利用によって雨水利用率の20%以上を満たす。</t>
    <phoneticPr fontId="7"/>
  </si>
  <si>
    <t>事・学・物・飲・会・病・ホ・工・住</t>
    <phoneticPr fontId="27"/>
  </si>
  <si>
    <t>(該当するレベルなし)</t>
    <phoneticPr fontId="27"/>
  </si>
  <si>
    <t>(該当するレベルなし)</t>
    <phoneticPr fontId="27"/>
  </si>
  <si>
    <t>主要構造躯体におけるその他の対策</t>
    <phoneticPr fontId="27"/>
  </si>
  <si>
    <t>節水</t>
    <rPh sb="0" eb="2">
      <t>セッスイ</t>
    </rPh>
    <phoneticPr fontId="27"/>
  </si>
  <si>
    <t>共用部</t>
    <rPh sb="0" eb="2">
      <t>キョウヨウ</t>
    </rPh>
    <rPh sb="2" eb="3">
      <t>ブ</t>
    </rPh>
    <phoneticPr fontId="27"/>
  </si>
  <si>
    <t>広さ感・景観</t>
    <rPh sb="0" eb="1">
      <t>ヒロ</t>
    </rPh>
    <rPh sb="2" eb="3">
      <t>カン</t>
    </rPh>
    <rPh sb="4" eb="6">
      <t>ケイカン</t>
    </rPh>
    <phoneticPr fontId="27"/>
  </si>
  <si>
    <t>2)風下となる地域への風通しに配慮し敷地外への熱的な影響を低減する</t>
  </si>
  <si>
    <t>①建築物の配置形状計画に当たっては風下となる地域への風の通り道を遮らないよう工夫する</t>
  </si>
  <si>
    <t>②夏期の卓越風向に対する建築物の見付け面積を小さくするよう努める</t>
  </si>
  <si>
    <t>③風を回復させるよう建築物の高さ形状建築物間の隣棟間隔等を工夫する</t>
  </si>
  <si>
    <t>3)地表面被覆材に配慮し敷地外への熱的な影響を低減する</t>
  </si>
  <si>
    <t>①地表面の被覆材に配慮する</t>
  </si>
  <si>
    <t>4)建築外装材料等に配慮し敷地外への熱的な影響を低減する</t>
  </si>
  <si>
    <t>①屋根面の緑化等と高反射材料を選定するように努める</t>
  </si>
  <si>
    <t>②外壁面の材料に配慮する</t>
  </si>
  <si>
    <t>5)建築設備から大気への排熱量を低減する</t>
  </si>
  <si>
    <t>①建築物の外壁窓等を通しての熱損失の防止及び空気調和設備等に係るエネルギーの効率的利用のための措置を講じる</t>
  </si>
  <si>
    <t>②建築設備に伴う排熱は低温排熱にすること等により気温上昇の抑制に努める</t>
  </si>
  <si>
    <t>6)シミュレーション等による温熱環境悪化改善の効果の確認</t>
  </si>
  <si>
    <t>水質汚濁防止法あるいは下水道法、または地方公共団体等で定める排出基準のうち厳しい基準を満たしている。</t>
    <rPh sb="37" eb="38">
      <t>キビ</t>
    </rPh>
    <rPh sb="40" eb="42">
      <t>キジュン</t>
    </rPh>
    <phoneticPr fontId="27"/>
  </si>
  <si>
    <r>
      <t xml:space="preserve">2.3.4 </t>
    </r>
    <r>
      <rPr>
        <b/>
        <sz val="10"/>
        <rFont val="ＭＳ Ｐゴシック"/>
        <family val="3"/>
        <charset val="128"/>
      </rPr>
      <t>廃棄物処理負荷抑制</t>
    </r>
    <rPh sb="13" eb="15">
      <t>ヨクセイ</t>
    </rPh>
    <phoneticPr fontId="27"/>
  </si>
  <si>
    <t>既存は住の基準あり</t>
    <rPh sb="0" eb="2">
      <t>キソン</t>
    </rPh>
    <rPh sb="3" eb="4">
      <t>ジュウ</t>
    </rPh>
    <rPh sb="5" eb="7">
      <t>キジュン</t>
    </rPh>
    <phoneticPr fontId="27"/>
  </si>
  <si>
    <t>新築なし</t>
    <rPh sb="0" eb="2">
      <t>シンチク</t>
    </rPh>
    <phoneticPr fontId="27"/>
  </si>
  <si>
    <t>騒音・振動・悪臭の防止</t>
    <rPh sb="0" eb="2">
      <t>ソウオン</t>
    </rPh>
    <rPh sb="3" eb="5">
      <t>シンドウ</t>
    </rPh>
    <rPh sb="6" eb="8">
      <t>アクシュウ</t>
    </rPh>
    <rPh sb="9" eb="11">
      <t>ボウシ</t>
    </rPh>
    <phoneticPr fontId="27"/>
  </si>
  <si>
    <r>
      <t xml:space="preserve">3.1.1 </t>
    </r>
    <r>
      <rPr>
        <b/>
        <sz val="10"/>
        <rFont val="ＭＳ Ｐゴシック"/>
        <family val="3"/>
        <charset val="128"/>
      </rPr>
      <t>騒音</t>
    </r>
    <rPh sb="6" eb="8">
      <t>ソウオン</t>
    </rPh>
    <phoneticPr fontId="27"/>
  </si>
  <si>
    <t>騒音に関する規制基準値</t>
    <rPh sb="0" eb="2">
      <t>ソウオン</t>
    </rPh>
    <rPh sb="3" eb="4">
      <t>カン</t>
    </rPh>
    <rPh sb="6" eb="8">
      <t>キセイ</t>
    </rPh>
    <rPh sb="8" eb="11">
      <t>キジュンチ</t>
    </rPh>
    <phoneticPr fontId="27"/>
  </si>
  <si>
    <t>第1種区域</t>
    <rPh sb="0" eb="1">
      <t>ダイ</t>
    </rPh>
    <rPh sb="2" eb="3">
      <t>シュ</t>
    </rPh>
    <rPh sb="3" eb="5">
      <t>クイキ</t>
    </rPh>
    <phoneticPr fontId="27"/>
  </si>
  <si>
    <t>第２種区域</t>
    <rPh sb="3" eb="5">
      <t>クイキ</t>
    </rPh>
    <phoneticPr fontId="27"/>
  </si>
  <si>
    <t>　レベル 1</t>
  </si>
  <si>
    <t>レベル３を
満たさない</t>
  </si>
  <si>
    <t>45dB以下</t>
  </si>
  <si>
    <t>40dB以下</t>
  </si>
  <si>
    <t>35dB以下</t>
  </si>
  <si>
    <t>第３種区域</t>
    <rPh sb="0" eb="1">
      <t>ダイ</t>
    </rPh>
    <rPh sb="2" eb="3">
      <t>シュ</t>
    </rPh>
    <rPh sb="3" eb="5">
      <t>クイキ</t>
    </rPh>
    <phoneticPr fontId="27"/>
  </si>
  <si>
    <t>第４種区域</t>
    <rPh sb="0" eb="1">
      <t>ダイ</t>
    </rPh>
    <rPh sb="2" eb="3">
      <t>シュ</t>
    </rPh>
    <rPh sb="3" eb="5">
      <t>クイキ</t>
    </rPh>
    <phoneticPr fontId="27"/>
  </si>
  <si>
    <t>60dB以下</t>
  </si>
  <si>
    <t>55dB以下</t>
  </si>
  <si>
    <t>50dB以下</t>
  </si>
  <si>
    <t>70dB以下</t>
  </si>
  <si>
    <t>強風域の発生などについての事前調査や風害抑制対策を行っていない。</t>
  </si>
  <si>
    <t>事前調査や低減・回避対策等は行っているが、評価を行っていない。又は机上予測に基づいて風力階級による評価を行っているが、一部悪化している、又は立地に対応する風環境のランクを下回る測定点がある。</t>
  </si>
  <si>
    <t>光・視環境</t>
    <rPh sb="0" eb="1">
      <t>ヒカリ</t>
    </rPh>
    <rPh sb="2" eb="3">
      <t>シ</t>
    </rPh>
    <rPh sb="3" eb="5">
      <t>カンキョウ</t>
    </rPh>
    <phoneticPr fontId="27"/>
  </si>
  <si>
    <t>昼光利用</t>
    <rPh sb="0" eb="1">
      <t>ヒル</t>
    </rPh>
    <rPh sb="1" eb="2">
      <t>ヒカリ</t>
    </rPh>
    <rPh sb="2" eb="4">
      <t>リヨウ</t>
    </rPh>
    <phoneticPr fontId="27"/>
  </si>
  <si>
    <r>
      <t xml:space="preserve">3.1.1 </t>
    </r>
    <r>
      <rPr>
        <b/>
        <sz val="10"/>
        <rFont val="ＭＳ Ｐゴシック"/>
        <family val="3"/>
        <charset val="128"/>
      </rPr>
      <t>昼光率</t>
    </r>
    <rPh sb="6" eb="7">
      <t>ヒル</t>
    </rPh>
    <rPh sb="7" eb="8">
      <t>ヒカリ</t>
    </rPh>
    <rPh sb="8" eb="9">
      <t>リツ</t>
    </rPh>
    <phoneticPr fontId="27"/>
  </si>
  <si>
    <t>事・学・病・ホ・工・住</t>
    <rPh sb="10" eb="11">
      <t>ジュウ</t>
    </rPh>
    <phoneticPr fontId="27"/>
  </si>
  <si>
    <t>[昼光率] ＜1.0％</t>
  </si>
  <si>
    <t>[昼光率] ＜0.5％</t>
  </si>
  <si>
    <t>1.0％≦ [昼光率] ＜1.5％</t>
  </si>
  <si>
    <t>0.5%≦ [昼光率] ＜0.75％</t>
  </si>
  <si>
    <t>0.5％≦ [昼光率] ＜1.0％</t>
  </si>
  <si>
    <t>1.5％≦ [昼光率] ＜2.0％</t>
  </si>
  <si>
    <t>2.0％≦ [昼光率] ＜2.5％</t>
  </si>
  <si>
    <t>2.5％≦ [昼光率]</t>
  </si>
  <si>
    <r>
      <t xml:space="preserve">3.1.2 </t>
    </r>
    <r>
      <rPr>
        <b/>
        <sz val="10"/>
        <rFont val="ＭＳ Ｐゴシック"/>
        <family val="3"/>
        <charset val="128"/>
      </rPr>
      <t>方位別開口</t>
    </r>
    <rPh sb="6" eb="8">
      <t>ホウイ</t>
    </rPh>
    <rPh sb="8" eb="9">
      <t>ベツ</t>
    </rPh>
    <rPh sb="9" eb="11">
      <t>カイコウ</t>
    </rPh>
    <phoneticPr fontId="27"/>
  </si>
  <si>
    <t>南面に窓がない。</t>
  </si>
  <si>
    <t>南面に窓がある。</t>
  </si>
  <si>
    <t>南、東の両面に窓がある。</t>
  </si>
  <si>
    <r>
      <t xml:space="preserve">3.1.3 </t>
    </r>
    <r>
      <rPr>
        <b/>
        <sz val="10"/>
        <rFont val="ＭＳ Ｐゴシック"/>
        <family val="3"/>
        <charset val="128"/>
      </rPr>
      <t>昼光利用設備</t>
    </r>
    <rPh sb="6" eb="7">
      <t>ヒル</t>
    </rPh>
    <rPh sb="7" eb="8">
      <t>ヒカリ</t>
    </rPh>
    <rPh sb="8" eb="10">
      <t>リヨウ</t>
    </rPh>
    <rPh sb="10" eb="12">
      <t>セツビ</t>
    </rPh>
    <phoneticPr fontId="27"/>
  </si>
  <si>
    <t>事・学・工</t>
    <rPh sb="4" eb="5">
      <t>コウ</t>
    </rPh>
    <phoneticPr fontId="27"/>
  </si>
  <si>
    <t>病・ホ・住</t>
    <rPh sb="4" eb="5">
      <t>ジュウ</t>
    </rPh>
    <phoneticPr fontId="27"/>
  </si>
  <si>
    <t>昼光利用設備がない。</t>
  </si>
  <si>
    <t>昼光利用設備が１種類ある。</t>
  </si>
  <si>
    <t>グレア対策</t>
    <rPh sb="3" eb="5">
      <t>タイサク</t>
    </rPh>
    <phoneticPr fontId="27"/>
  </si>
  <si>
    <r>
      <t xml:space="preserve">3.2.1 </t>
    </r>
    <r>
      <rPr>
        <b/>
        <sz val="10"/>
        <rFont val="ＭＳ Ｐゴシック"/>
        <family val="3"/>
        <charset val="128"/>
      </rPr>
      <t>照明器具のグレア</t>
    </r>
    <rPh sb="6" eb="8">
      <t>ショウメイ</t>
    </rPh>
    <rPh sb="8" eb="10">
      <t>キグ</t>
    </rPh>
    <phoneticPr fontId="27"/>
  </si>
  <si>
    <t>教室の天井高がおおむね2.7mである。</t>
    <rPh sb="0" eb="2">
      <t>キョウシツ</t>
    </rPh>
    <rPh sb="3" eb="5">
      <t>テンジョウ</t>
    </rPh>
    <rPh sb="5" eb="6">
      <t>ダカ</t>
    </rPh>
    <phoneticPr fontId="27"/>
  </si>
  <si>
    <t>教室の天井高が2.7mを超えている。</t>
    <rPh sb="0" eb="2">
      <t>キョウシツ</t>
    </rPh>
    <rPh sb="3" eb="5">
      <t>テンジョウ</t>
    </rPh>
    <rPh sb="5" eb="6">
      <t>ダカ</t>
    </rPh>
    <rPh sb="12" eb="13">
      <t>コ</t>
    </rPh>
    <phoneticPr fontId="27"/>
  </si>
  <si>
    <r>
      <t xml:space="preserve">2.1.1 </t>
    </r>
    <r>
      <rPr>
        <b/>
        <sz val="10"/>
        <rFont val="ＭＳ Ｐゴシック"/>
        <family val="3"/>
        <charset val="128"/>
      </rPr>
      <t>室温</t>
    </r>
    <rPh sb="6" eb="8">
      <t>シツオン</t>
    </rPh>
    <phoneticPr fontId="27"/>
  </si>
  <si>
    <t>室温</t>
    <rPh sb="0" eb="2">
      <t>シツオン</t>
    </rPh>
    <phoneticPr fontId="27"/>
  </si>
  <si>
    <t>室温</t>
    <phoneticPr fontId="27"/>
  </si>
  <si>
    <t>冬期18℃以上、夏期28℃以下の室温を実現するための最低限の設備容量が確保されている。</t>
    <phoneticPr fontId="27"/>
  </si>
  <si>
    <t>事・学・物・会・ホ</t>
    <rPh sb="0" eb="1">
      <t>コト</t>
    </rPh>
    <rPh sb="2" eb="3">
      <t>ガク</t>
    </rPh>
    <rPh sb="4" eb="5">
      <t>モノ</t>
    </rPh>
    <rPh sb="6" eb="7">
      <t>カイ</t>
    </rPh>
    <phoneticPr fontId="27"/>
  </si>
  <si>
    <t>3つの設備管理業務の取り組みポイントが 0点</t>
    <rPh sb="3" eb="5">
      <t>セツビ</t>
    </rPh>
    <rPh sb="5" eb="7">
      <t>カンリ</t>
    </rPh>
    <rPh sb="7" eb="9">
      <t>ギョウム</t>
    </rPh>
    <rPh sb="10" eb="11">
      <t>ト</t>
    </rPh>
    <rPh sb="12" eb="13">
      <t>ク</t>
    </rPh>
    <rPh sb="21" eb="22">
      <t>テン</t>
    </rPh>
    <phoneticPr fontId="27"/>
  </si>
  <si>
    <t>3つの設備管理業務の取り組みポイントが 1～2点</t>
    <rPh sb="3" eb="5">
      <t>セツビ</t>
    </rPh>
    <rPh sb="5" eb="7">
      <t>カンリ</t>
    </rPh>
    <rPh sb="7" eb="9">
      <t>ギョウム</t>
    </rPh>
    <rPh sb="10" eb="11">
      <t>ト</t>
    </rPh>
    <rPh sb="12" eb="13">
      <t>ク</t>
    </rPh>
    <rPh sb="23" eb="24">
      <t>テン</t>
    </rPh>
    <phoneticPr fontId="27"/>
  </si>
  <si>
    <t>3つの設備管理業務の取り組みポイントが 3点</t>
    <rPh sb="3" eb="5">
      <t>セツビ</t>
    </rPh>
    <rPh sb="5" eb="7">
      <t>カンリ</t>
    </rPh>
    <rPh sb="7" eb="9">
      <t>ギョウム</t>
    </rPh>
    <rPh sb="10" eb="11">
      <t>ト</t>
    </rPh>
    <rPh sb="12" eb="13">
      <t>ク</t>
    </rPh>
    <rPh sb="21" eb="22">
      <t>テン</t>
    </rPh>
    <phoneticPr fontId="27"/>
  </si>
  <si>
    <t>Ⅰ 空調管理の評価</t>
  </si>
  <si>
    <t>建築物環境衛生管理基準の空調設備において不適切項目がある。</t>
    <rPh sb="0" eb="3">
      <t>ケンチクブツ</t>
    </rPh>
    <rPh sb="3" eb="5">
      <t>カンキョウ</t>
    </rPh>
    <rPh sb="5" eb="7">
      <t>エイセイ</t>
    </rPh>
    <rPh sb="7" eb="9">
      <t>カンリ</t>
    </rPh>
    <rPh sb="9" eb="11">
      <t>キジュン</t>
    </rPh>
    <rPh sb="12" eb="14">
      <t>クウチョウ</t>
    </rPh>
    <rPh sb="14" eb="16">
      <t>セツビ</t>
    </rPh>
    <rPh sb="20" eb="23">
      <t>フテキセツ</t>
    </rPh>
    <rPh sb="23" eb="25">
      <t>コウモク</t>
    </rPh>
    <phoneticPr fontId="27"/>
  </si>
  <si>
    <t>建築物環境衛生管理基準を満たし、フィルターの定期的な点検・清掃を行っている。</t>
    <rPh sb="0" eb="3">
      <t>ケンチクブツ</t>
    </rPh>
    <rPh sb="3" eb="5">
      <t>カンキョウ</t>
    </rPh>
    <rPh sb="5" eb="7">
      <t>エイセイ</t>
    </rPh>
    <rPh sb="7" eb="9">
      <t>カンリ</t>
    </rPh>
    <rPh sb="9" eb="11">
      <t>キジュン</t>
    </rPh>
    <rPh sb="12" eb="13">
      <t>ミ</t>
    </rPh>
    <rPh sb="22" eb="25">
      <t>テイキテキ</t>
    </rPh>
    <rPh sb="26" eb="28">
      <t>テンケン</t>
    </rPh>
    <rPh sb="29" eb="31">
      <t>セイソウ</t>
    </rPh>
    <rPh sb="32" eb="33">
      <t>オコナ</t>
    </rPh>
    <phoneticPr fontId="27"/>
  </si>
  <si>
    <t>建築物環境衛生管理基準を満たした以上に、特別な対策を行っている。</t>
    <rPh sb="0" eb="3">
      <t>ケンチクブツ</t>
    </rPh>
    <rPh sb="3" eb="5">
      <t>カンキョウ</t>
    </rPh>
    <rPh sb="5" eb="7">
      <t>エイセイ</t>
    </rPh>
    <rPh sb="7" eb="9">
      <t>カンリ</t>
    </rPh>
    <rPh sb="9" eb="11">
      <t>キジュン</t>
    </rPh>
    <rPh sb="12" eb="13">
      <t>ミ</t>
    </rPh>
    <rPh sb="16" eb="18">
      <t>イジョウ</t>
    </rPh>
    <rPh sb="20" eb="22">
      <t>トクベツ</t>
    </rPh>
    <rPh sb="23" eb="25">
      <t>タイサク</t>
    </rPh>
    <rPh sb="26" eb="27">
      <t>オコナ</t>
    </rPh>
    <phoneticPr fontId="27"/>
  </si>
  <si>
    <t>Ⅱ ねずみ等の点検・防除の評価</t>
    <rPh sb="5" eb="6">
      <t>トウ</t>
    </rPh>
    <rPh sb="7" eb="9">
      <t>テンケン</t>
    </rPh>
    <rPh sb="10" eb="12">
      <t>ボウジョ</t>
    </rPh>
    <rPh sb="13" eb="15">
      <t>ヒョウカ</t>
    </rPh>
    <phoneticPr fontId="27"/>
  </si>
  <si>
    <t>建築物環境衛生管理基準の害虫駆除において不適切項目がある。</t>
    <rPh sb="0" eb="3">
      <t>ケンチクブツ</t>
    </rPh>
    <rPh sb="3" eb="5">
      <t>カンキョウ</t>
    </rPh>
    <rPh sb="5" eb="7">
      <t>エイセイ</t>
    </rPh>
    <rPh sb="7" eb="9">
      <t>カンリ</t>
    </rPh>
    <rPh sb="9" eb="11">
      <t>キジュン</t>
    </rPh>
    <rPh sb="12" eb="14">
      <t>ガイチュウ</t>
    </rPh>
    <rPh sb="14" eb="16">
      <t>クジョ</t>
    </rPh>
    <rPh sb="20" eb="23">
      <t>フテキセツ</t>
    </rPh>
    <rPh sb="23" eb="25">
      <t>コウモク</t>
    </rPh>
    <phoneticPr fontId="27"/>
  </si>
  <si>
    <t>建物全体・共用部</t>
    <rPh sb="0" eb="2">
      <t>タテモノ</t>
    </rPh>
    <rPh sb="2" eb="4">
      <t>ゼンタイ</t>
    </rPh>
    <rPh sb="5" eb="7">
      <t>キョウヨウ</t>
    </rPh>
    <rPh sb="7" eb="8">
      <t>ブ</t>
    </rPh>
    <phoneticPr fontId="27"/>
  </si>
  <si>
    <t>小中高</t>
    <rPh sb="0" eb="3">
      <t>ショウチュウコウ</t>
    </rPh>
    <phoneticPr fontId="27"/>
  </si>
  <si>
    <t>住居・宿泊部</t>
    <rPh sb="0" eb="2">
      <t>ジュウキョ</t>
    </rPh>
    <rPh sb="3" eb="5">
      <t>シュクハク</t>
    </rPh>
    <rPh sb="5" eb="6">
      <t>ブ</t>
    </rPh>
    <phoneticPr fontId="27"/>
  </si>
  <si>
    <t>全体・共有</t>
    <rPh sb="0" eb="2">
      <t>ゼンタイ</t>
    </rPh>
    <rPh sb="3" eb="5">
      <t>キョウユウ</t>
    </rPh>
    <phoneticPr fontId="27"/>
  </si>
  <si>
    <t>住居・宿泊</t>
    <rPh sb="0" eb="2">
      <t>ジュウキョ</t>
    </rPh>
    <rPh sb="3" eb="5">
      <t>シュクハク</t>
    </rPh>
    <phoneticPr fontId="27"/>
  </si>
  <si>
    <t>項目名</t>
    <rPh sb="0" eb="2">
      <t>コウモク</t>
    </rPh>
    <rPh sb="2" eb="3">
      <t>メイ</t>
    </rPh>
    <phoneticPr fontId="27"/>
  </si>
  <si>
    <t>延面積</t>
    <rPh sb="0" eb="1">
      <t>ノ</t>
    </rPh>
    <rPh sb="1" eb="3">
      <t>メンセキ</t>
    </rPh>
    <phoneticPr fontId="27"/>
  </si>
  <si>
    <t>延面積比率</t>
    <rPh sb="0" eb="1">
      <t>ノ</t>
    </rPh>
    <rPh sb="1" eb="3">
      <t>メンセキ</t>
    </rPh>
    <rPh sb="3" eb="5">
      <t>ヒリツ</t>
    </rPh>
    <phoneticPr fontId="27"/>
  </si>
  <si>
    <r>
      <t>Q-1</t>
    </r>
    <r>
      <rPr>
        <sz val="11"/>
        <rFont val="ＭＳ Ｐゴシック"/>
        <family val="3"/>
        <charset val="128"/>
      </rPr>
      <t>　室内環境</t>
    </r>
    <rPh sb="4" eb="6">
      <t>シツナイ</t>
    </rPh>
    <rPh sb="6" eb="8">
      <t>カンキョウ</t>
    </rPh>
    <phoneticPr fontId="27"/>
  </si>
  <si>
    <r>
      <t xml:space="preserve">Q-3 </t>
    </r>
    <r>
      <rPr>
        <sz val="11"/>
        <rFont val="ＭＳ Ｐゴシック"/>
        <family val="3"/>
        <charset val="128"/>
      </rPr>
      <t>室外環境</t>
    </r>
    <r>
      <rPr>
        <sz val="11"/>
        <rFont val="Arial"/>
        <family val="2"/>
      </rPr>
      <t>(</t>
    </r>
    <r>
      <rPr>
        <sz val="11"/>
        <rFont val="ＭＳ Ｐゴシック"/>
        <family val="3"/>
        <charset val="128"/>
      </rPr>
      <t>敷地内</t>
    </r>
    <r>
      <rPr>
        <sz val="11"/>
        <rFont val="Arial"/>
        <family val="2"/>
      </rPr>
      <t>)</t>
    </r>
    <rPh sb="11" eb="12">
      <t>ナイ</t>
    </rPh>
    <phoneticPr fontId="27"/>
  </si>
  <si>
    <t>音環境</t>
  </si>
  <si>
    <t>機能性</t>
    <rPh sb="0" eb="3">
      <t>キノウセイ</t>
    </rPh>
    <phoneticPr fontId="27"/>
  </si>
  <si>
    <t>生物資源</t>
    <rPh sb="0" eb="2">
      <t>セイブツ</t>
    </rPh>
    <rPh sb="2" eb="4">
      <t>シゲン</t>
    </rPh>
    <phoneticPr fontId="27"/>
  </si>
  <si>
    <t>温熱環境</t>
  </si>
  <si>
    <t>耐用性・信頼性</t>
    <rPh sb="1" eb="2">
      <t>ヨウ</t>
    </rPh>
    <rPh sb="4" eb="7">
      <t>シンライセイ</t>
    </rPh>
    <phoneticPr fontId="27"/>
  </si>
  <si>
    <t>光・視環境</t>
  </si>
  <si>
    <t>対応性･更新性</t>
    <rPh sb="0" eb="3">
      <t>タイオウセイ</t>
    </rPh>
    <rPh sb="4" eb="6">
      <t>コウシン</t>
    </rPh>
    <rPh sb="6" eb="7">
      <t>セイ</t>
    </rPh>
    <phoneticPr fontId="27"/>
  </si>
  <si>
    <t>建築物の環境品質</t>
    <rPh sb="0" eb="3">
      <t>ケンチクブツ</t>
    </rPh>
    <rPh sb="4" eb="6">
      <t>カンキョウ</t>
    </rPh>
    <rPh sb="6" eb="8">
      <t>ヒンシツ</t>
    </rPh>
    <phoneticPr fontId="27"/>
  </si>
  <si>
    <t>住居宿泊・共用部面積比率</t>
    <rPh sb="0" eb="2">
      <t>ジュウキョ</t>
    </rPh>
    <rPh sb="2" eb="4">
      <t>シュクハク</t>
    </rPh>
    <rPh sb="5" eb="7">
      <t>キョウヨウ</t>
    </rPh>
    <rPh sb="7" eb="8">
      <t>ブ</t>
    </rPh>
    <rPh sb="8" eb="10">
      <t>メンセキ</t>
    </rPh>
    <rPh sb="10" eb="12">
      <t>ヒリツ</t>
    </rPh>
    <phoneticPr fontId="27"/>
  </si>
  <si>
    <t xml:space="preserve"> Q</t>
  </si>
  <si>
    <t xml:space="preserve"> Q1</t>
  </si>
  <si>
    <t xml:space="preserve"> Q1 1</t>
  </si>
  <si>
    <t>1.1.1</t>
  </si>
  <si>
    <t xml:space="preserve"> Q1 1.1</t>
  </si>
  <si>
    <t>室内騒音レベル</t>
    <rPh sb="0" eb="2">
      <t>シツナイ</t>
    </rPh>
    <rPh sb="2" eb="4">
      <t>ソウオン</t>
    </rPh>
    <phoneticPr fontId="27"/>
  </si>
  <si>
    <t>1.1.2</t>
  </si>
  <si>
    <t>設備騒音対策</t>
  </si>
  <si>
    <t xml:space="preserve"> Q1 1.2</t>
  </si>
  <si>
    <t xml:space="preserve"> Q1 2</t>
  </si>
  <si>
    <t>年間延床面積あたり削減量</t>
    <rPh sb="0" eb="2">
      <t>ネンカン</t>
    </rPh>
    <rPh sb="2" eb="3">
      <t>ノ</t>
    </rPh>
    <rPh sb="3" eb="6">
      <t>ユカメンセキ</t>
    </rPh>
    <rPh sb="9" eb="11">
      <t>サクゲン</t>
    </rPh>
    <rPh sb="11" eb="12">
      <t>リョウ</t>
    </rPh>
    <phoneticPr fontId="27"/>
  </si>
  <si>
    <t>削減率　％</t>
    <rPh sb="0" eb="2">
      <t>サクゲン</t>
    </rPh>
    <rPh sb="2" eb="3">
      <t>リツ</t>
    </rPh>
    <phoneticPr fontId="27"/>
  </si>
  <si>
    <t>%</t>
    <phoneticPr fontId="27"/>
  </si>
  <si>
    <t>運用エネルギー消費量</t>
    <rPh sb="0" eb="2">
      <t>ｳﾝﾖｳ</t>
    </rPh>
    <rPh sb="7" eb="10">
      <t>ｼｮｳﾋﾘｮｳ</t>
    </rPh>
    <phoneticPr fontId="39" type="noConversion"/>
  </si>
  <si>
    <r>
      <t>ＭＪ</t>
    </r>
    <r>
      <rPr>
        <sz val="10"/>
        <rFont val="Arial"/>
        <family val="2"/>
      </rPr>
      <t>/</t>
    </r>
    <r>
      <rPr>
        <sz val="10"/>
        <rFont val="ＭＳ Ｐゴシック"/>
        <family val="3"/>
        <charset val="128"/>
      </rPr>
      <t>年㎡</t>
    </r>
    <rPh sb="3" eb="4">
      <t>ネン</t>
    </rPh>
    <phoneticPr fontId="27"/>
  </si>
  <si>
    <r>
      <t>ＭＪ</t>
    </r>
    <r>
      <rPr>
        <sz val="10"/>
        <rFont val="Arial"/>
        <family val="2"/>
      </rPr>
      <t>/</t>
    </r>
    <r>
      <rPr>
        <sz val="10"/>
        <rFont val="ＭＳ Ｐゴシック"/>
        <family val="3"/>
        <charset val="128"/>
      </rPr>
      <t>人時</t>
    </r>
    <rPh sb="3" eb="4">
      <t>ニン</t>
    </rPh>
    <rPh sb="4" eb="5">
      <t>ジ</t>
    </rPh>
    <phoneticPr fontId="27"/>
  </si>
  <si>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9"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</si>
  <si>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7"/>
  </si>
  <si>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7"/>
  </si>
  <si>
    <t>水消費量</t>
    <rPh sb="0" eb="1">
      <t>ﾐｽﾞ</t>
    </rPh>
    <rPh sb="1" eb="4">
      <t>ｼｮｳﾋﾘｮｳ</t>
    </rPh>
    <phoneticPr fontId="39"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</si>
  <si>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7"/>
  </si>
  <si>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7"/>
  </si>
  <si>
    <r>
      <t>LCCO</t>
    </r>
    <r>
      <rPr>
        <vertAlign val="subscript"/>
        <sz val="10"/>
        <rFont val="Arial"/>
        <family val="2"/>
      </rPr>
      <t>2</t>
    </r>
    <r>
      <rPr>
        <sz val="10"/>
        <rFont val="ＭＳ Ｐゴシック"/>
        <family val="3"/>
        <charset val="128"/>
      </rPr>
      <t>排出量</t>
    </r>
    <rPh sb="5" eb="7">
      <t>ハイシュツ</t>
    </rPh>
    <rPh sb="7" eb="8">
      <t>リョウ</t>
    </rPh>
    <phoneticPr fontId="27"/>
  </si>
  <si>
    <r>
      <t>LC</t>
    </r>
    <r>
      <rPr>
        <sz val="10"/>
        <rFont val="ＭＳ Ｐゴシック"/>
        <family val="3"/>
        <charset val="128"/>
      </rPr>
      <t>廃棄物量</t>
    </r>
    <rPh sb="2" eb="5">
      <t>ハイキブツ</t>
    </rPh>
    <rPh sb="5" eb="6">
      <t>リョウ</t>
    </rPh>
    <phoneticPr fontId="27"/>
  </si>
  <si>
    <r>
      <t>ｔ</t>
    </r>
    <r>
      <rPr>
        <sz val="10"/>
        <rFont val="Arial"/>
        <family val="2"/>
      </rPr>
      <t>/</t>
    </r>
    <r>
      <rPr>
        <sz val="10"/>
        <rFont val="ＭＳ Ｐゴシック"/>
        <family val="3"/>
        <charset val="128"/>
      </rPr>
      <t>年㎡</t>
    </r>
    <rPh sb="2" eb="3">
      <t>ネン</t>
    </rPh>
    <phoneticPr fontId="27"/>
  </si>
  <si>
    <r>
      <t>ｔ</t>
    </r>
    <r>
      <rPr>
        <sz val="10"/>
        <rFont val="Arial"/>
        <family val="2"/>
      </rPr>
      <t>/</t>
    </r>
    <r>
      <rPr>
        <sz val="10"/>
        <rFont val="ＭＳ Ｐゴシック"/>
        <family val="3"/>
        <charset val="128"/>
      </rPr>
      <t>人時</t>
    </r>
    <rPh sb="2" eb="3">
      <t>ニン</t>
    </rPh>
    <rPh sb="3" eb="4">
      <t>ジ</t>
    </rPh>
    <phoneticPr fontId="27"/>
  </si>
  <si>
    <r>
      <t>LC</t>
    </r>
    <r>
      <rPr>
        <sz val="10"/>
        <rFont val="ＭＳ Ｐゴシック"/>
        <family val="3"/>
        <charset val="128"/>
      </rPr>
      <t>資源消費量</t>
    </r>
    <rPh sb="2" eb="4">
      <t>シゲン</t>
    </rPh>
    <rPh sb="4" eb="6">
      <t>ショウヒ</t>
    </rPh>
    <rPh sb="6" eb="7">
      <t>リョウ</t>
    </rPh>
    <phoneticPr fontId="27"/>
  </si>
  <si>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9" type="noConversion"/>
  </si>
  <si>
    <t>設計段階</t>
    <rPh sb="0" eb="2">
      <t>ｾｯｹｲ</t>
    </rPh>
    <rPh sb="2" eb="4">
      <t>ﾀﾞﾝｶｲ</t>
    </rPh>
    <phoneticPr fontId="39" type="noConversion"/>
  </si>
  <si>
    <t>建設段階</t>
    <rPh sb="0" eb="2">
      <t>ｹﾝｾﾂ</t>
    </rPh>
    <rPh sb="2" eb="4">
      <t>ﾀﾞﾝｶｲ</t>
    </rPh>
    <phoneticPr fontId="39" type="noConversion"/>
  </si>
  <si>
    <t>有資格者による設計</t>
    <rPh sb="0" eb="4">
      <t>ﾕｳｼｶｸｼｬ</t>
    </rPh>
    <rPh sb="7" eb="9">
      <t>ｾｯｹｲ</t>
    </rPh>
    <phoneticPr fontId="39" type="noConversion"/>
  </si>
  <si>
    <t>環境管理計画</t>
    <rPh sb="0" eb="2">
      <t>ｶﾝｷｮｳ</t>
    </rPh>
    <rPh sb="2" eb="4">
      <t>ｶﾝﾘ</t>
    </rPh>
    <rPh sb="4" eb="6">
      <t>ｹｲｶｸ</t>
    </rPh>
    <phoneticPr fontId="39" type="noConversion"/>
  </si>
  <si>
    <r>
      <t>凡例　　　　　</t>
    </r>
    <r>
      <rPr>
        <sz val="8"/>
        <color indexed="10"/>
        <rFont val="Arial"/>
        <family val="2"/>
      </rPr>
      <t>Q</t>
    </r>
    <r>
      <rPr>
        <sz val="8"/>
        <color indexed="10"/>
        <rFont val="ＭＳ Ｐゴシック"/>
        <family val="3"/>
        <charset val="128"/>
      </rPr>
      <t>：</t>
    </r>
    <rPh sb="0" eb="2">
      <t>ハンレイ</t>
    </rPh>
    <phoneticPr fontId="27"/>
  </si>
  <si>
    <t>(該当するレベルなし)</t>
    <phoneticPr fontId="27"/>
  </si>
  <si>
    <t>映り込み対策</t>
    <rPh sb="0" eb="1">
      <t>ウツ</t>
    </rPh>
    <rPh sb="2" eb="3">
      <t>コ</t>
    </rPh>
    <rPh sb="4" eb="6">
      <t>タイサク</t>
    </rPh>
    <phoneticPr fontId="27"/>
  </si>
  <si>
    <t>照度</t>
    <rPh sb="0" eb="2">
      <t>ｼｮｳﾄﾞ</t>
    </rPh>
    <phoneticPr fontId="39" type="noConversion"/>
  </si>
  <si>
    <t>照度</t>
    <rPh sb="0" eb="2">
      <t>ショウド</t>
    </rPh>
    <phoneticPr fontId="27"/>
  </si>
  <si>
    <t>照度均斉度</t>
    <rPh sb="0" eb="2">
      <t>ショウド</t>
    </rPh>
    <rPh sb="2" eb="3">
      <t>タモツ</t>
    </rPh>
    <rPh sb="3" eb="4">
      <t>サイ</t>
    </rPh>
    <rPh sb="4" eb="5">
      <t>タビ</t>
    </rPh>
    <phoneticPr fontId="27"/>
  </si>
  <si>
    <t>照明制御</t>
    <rPh sb="0" eb="2">
      <t>ショウメイ</t>
    </rPh>
    <rPh sb="2" eb="4">
      <t>セイギョ</t>
    </rPh>
    <phoneticPr fontId="27"/>
  </si>
  <si>
    <t>空気質環境</t>
    <rPh sb="0" eb="2">
      <t>クウキ</t>
    </rPh>
    <rPh sb="2" eb="3">
      <t>シツ</t>
    </rPh>
    <rPh sb="3" eb="5">
      <t>カンキョウ</t>
    </rPh>
    <phoneticPr fontId="27"/>
  </si>
  <si>
    <t>発生源対策</t>
    <rPh sb="0" eb="3">
      <t>ﾊｯｾｲｹﾞﾝ</t>
    </rPh>
    <rPh sb="3" eb="5">
      <t>ﾀｲｻｸ</t>
    </rPh>
    <phoneticPr fontId="39" type="noConversion"/>
  </si>
  <si>
    <t>化学汚染物質</t>
    <rPh sb="0" eb="2">
      <t>カガク</t>
    </rPh>
    <rPh sb="4" eb="6">
      <t>ブッシツ</t>
    </rPh>
    <phoneticPr fontId="27"/>
  </si>
  <si>
    <t>アスベスト対策</t>
    <rPh sb="5" eb="7">
      <t>タイサク</t>
    </rPh>
    <phoneticPr fontId="27"/>
  </si>
  <si>
    <t>ダニ・カビ等</t>
    <rPh sb="5" eb="6">
      <t>ナド</t>
    </rPh>
    <phoneticPr fontId="27"/>
  </si>
  <si>
    <t>レジオネラ対策</t>
    <rPh sb="5" eb="7">
      <t>タイサク</t>
    </rPh>
    <phoneticPr fontId="27"/>
  </si>
  <si>
    <t>換気</t>
    <rPh sb="0" eb="2">
      <t>ｶﾝｷ</t>
    </rPh>
    <phoneticPr fontId="39" type="noConversion"/>
  </si>
  <si>
    <t>換気量</t>
    <rPh sb="0" eb="3">
      <t>カンキリョウ</t>
    </rPh>
    <phoneticPr fontId="27"/>
  </si>
  <si>
    <t>廃棄物処理負荷抑制</t>
    <rPh sb="0" eb="3">
      <t>ﾊｲｷﾌﾞﾂ</t>
    </rPh>
    <rPh sb="3" eb="5">
      <t>ｼｮﾘ</t>
    </rPh>
    <rPh sb="5" eb="7">
      <t>ﾌｶ</t>
    </rPh>
    <rPh sb="7" eb="9">
      <t>ﾖｸｾｲ</t>
    </rPh>
    <phoneticPr fontId="39" type="noConversion"/>
  </si>
  <si>
    <t>周辺環境への配慮</t>
    <rPh sb="0" eb="2">
      <t>ｼｭｳﾍﾝ</t>
    </rPh>
    <rPh sb="2" eb="4">
      <t>ｶﾝｷｮｳ</t>
    </rPh>
    <rPh sb="6" eb="8">
      <t>ﾊｲﾘｮ</t>
    </rPh>
    <phoneticPr fontId="39" type="noConversion"/>
  </si>
  <si>
    <t>騒音・振動・悪臭の防止</t>
    <rPh sb="0" eb="2">
      <t>ｿｳｵﾝ</t>
    </rPh>
    <rPh sb="3" eb="5">
      <t>ｼﾝﾄﾞｳ</t>
    </rPh>
    <rPh sb="6" eb="8">
      <t>ｱｸｼｭｳ</t>
    </rPh>
    <rPh sb="9" eb="11">
      <t>ﾎﾞｳｼ</t>
    </rPh>
    <phoneticPr fontId="39" type="noConversion"/>
  </si>
  <si>
    <t>騒音</t>
    <rPh sb="0" eb="2">
      <t>ｿｳｵﾝ</t>
    </rPh>
    <phoneticPr fontId="39" type="noConversion"/>
  </si>
  <si>
    <t>砂塵の抑制</t>
    <rPh sb="0" eb="2">
      <t>ｻｼﾞﾝ</t>
    </rPh>
    <rPh sb="3" eb="5">
      <t>ﾖｸｾｲ</t>
    </rPh>
    <phoneticPr fontId="39" type="noConversion"/>
  </si>
  <si>
    <t>光害の抑制</t>
    <rPh sb="0" eb="2">
      <t>ﾋｶﾘｶﾞｲ</t>
    </rPh>
    <rPh sb="3" eb="5">
      <t>ﾖｸｾｲ</t>
    </rPh>
    <phoneticPr fontId="39"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</si>
  <si>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39" type="noConversion"/>
  </si>
  <si>
    <t>一次エネルギー消費量（規模別）　[MJ/年㎡]　　延床面積の区分</t>
    <rPh sb="0" eb="2">
      <t>イチジ</t>
    </rPh>
    <rPh sb="7" eb="10">
      <t>ショウヒリョウ</t>
    </rPh>
    <rPh sb="11" eb="13">
      <t>キボ</t>
    </rPh>
    <rPh sb="13" eb="14">
      <t>ベツ</t>
    </rPh>
    <rPh sb="20" eb="21">
      <t>ネン</t>
    </rPh>
    <rPh sb="25" eb="27">
      <t>ノベユカ</t>
    </rPh>
    <rPh sb="27" eb="29">
      <t>メンセキ</t>
    </rPh>
    <rPh sb="30" eb="32">
      <t>クブン</t>
    </rPh>
    <phoneticPr fontId="10"/>
  </si>
  <si>
    <t>出典：</t>
    <rPh sb="0" eb="2">
      <t>シュッテン</t>
    </rPh>
    <phoneticPr fontId="27"/>
  </si>
  <si>
    <t>モニタリング</t>
    <phoneticPr fontId="27"/>
  </si>
  <si>
    <t xml:space="preserve">※1) 概ね、エネルギー消費全体の半分以上の用途構成の把握が可能なモニタリングが計画されていること。
</t>
    <phoneticPr fontId="27"/>
  </si>
  <si>
    <t>※2) 概ね4種類以上の効率評価を行えること。また、空調や照明、換気など系統数が多い場合は、代表系統での評価から全体の推定を行なうことも可</t>
    <phoneticPr fontId="27"/>
  </si>
  <si>
    <t>レベル４に加え、主要な設備システムに関しては、システム効率※2) の評価を行うことにより、システムの性能の評価が行えること。</t>
    <phoneticPr fontId="27"/>
  </si>
  <si>
    <t>定性評価</t>
    <rPh sb="0" eb="2">
      <t>テイセイ</t>
    </rPh>
    <rPh sb="2" eb="4">
      <t>ヒョウカ</t>
    </rPh>
    <phoneticPr fontId="27"/>
  </si>
  <si>
    <t>定量評価</t>
    <rPh sb="0" eb="2">
      <t>テイリョウ</t>
    </rPh>
    <rPh sb="2" eb="4">
      <t>ヒョウカ</t>
    </rPh>
    <phoneticPr fontId="27"/>
  </si>
  <si>
    <t>モニタリング</t>
    <phoneticPr fontId="9"/>
  </si>
  <si>
    <t>運用管理体制</t>
    <rPh sb="0" eb="2">
      <t>ウンヨウ</t>
    </rPh>
    <rPh sb="2" eb="4">
      <t>カンリ</t>
    </rPh>
    <rPh sb="4" eb="6">
      <t>タイセイ</t>
    </rPh>
    <phoneticPr fontId="27"/>
  </si>
  <si>
    <t>運用管理体制</t>
    <rPh sb="0" eb="2">
      <t>うんよう</t>
    </rPh>
    <rPh sb="2" eb="4">
      <t>かんり</t>
    </rPh>
    <rPh sb="4" eb="6">
      <t>たいせい</t>
    </rPh>
    <phoneticPr fontId="39" type="noConversion"/>
  </si>
  <si>
    <t>事・学（大学等）・物・飲・会・病・ホ・工</t>
    <rPh sb="4" eb="6">
      <t>ダイガク</t>
    </rPh>
    <rPh sb="6" eb="7">
      <t>トウ</t>
    </rPh>
    <rPh sb="19" eb="20">
      <t>コウ</t>
    </rPh>
    <phoneticPr fontId="27"/>
  </si>
  <si>
    <t>非住宅部分</t>
    <rPh sb="0" eb="1">
      <t>ひ</t>
    </rPh>
    <rPh sb="1" eb="3">
      <t>じゅうたく</t>
    </rPh>
    <rPh sb="3" eb="5">
      <t>ぶぶん</t>
    </rPh>
    <phoneticPr fontId="39" type="noConversion"/>
  </si>
  <si>
    <t>集合住宅以外の評価</t>
    <rPh sb="0" eb="2">
      <t>しゅうごう</t>
    </rPh>
    <rPh sb="2" eb="4">
      <t>じゅうたく</t>
    </rPh>
    <rPh sb="4" eb="6">
      <t>いがい</t>
    </rPh>
    <rPh sb="7" eb="9">
      <t>ひょうか</t>
    </rPh>
    <phoneticPr fontId="39" type="noConversion"/>
  </si>
  <si>
    <t>集合住宅の評価</t>
    <rPh sb="0" eb="2">
      <t>しゅうごう</t>
    </rPh>
    <rPh sb="2" eb="4">
      <t>じゅうたく</t>
    </rPh>
    <rPh sb="5" eb="7">
      <t>ひょうか</t>
    </rPh>
    <phoneticPr fontId="39" type="noConversion"/>
  </si>
  <si>
    <r>
      <t>エネルギーのCO</t>
    </r>
    <r>
      <rPr>
        <vertAlign val="subscript"/>
        <sz val="10"/>
        <rFont val="ＭＳ Ｐゴシック"/>
        <family val="3"/>
        <charset val="128"/>
      </rPr>
      <t>2</t>
    </r>
    <r>
      <rPr>
        <sz val="10"/>
        <rFont val="ＭＳ Ｐゴシック"/>
        <family val="3"/>
        <charset val="128"/>
      </rPr>
      <t>排出係数</t>
    </r>
    <rPh sb="11" eb="13">
      <t>ケイスウ</t>
    </rPh>
    <phoneticPr fontId="27"/>
  </si>
  <si>
    <t>レベル３の基準に加え、定期的に掃除を行っている、などの運用面の取組を行っている。</t>
    <phoneticPr fontId="27"/>
  </si>
  <si>
    <t>冷却塔の水処理、飛散対策等が最低限施されており、給湯器も最低限の対策が施されている。</t>
    <phoneticPr fontId="27"/>
  </si>
  <si>
    <t>冷却塔がない。または、冷却塔の水処理、飛散対策等が十分に施されており、給湯器は最低限の対策が施されている。</t>
    <phoneticPr fontId="27"/>
  </si>
  <si>
    <t>中央管理方式の空気調和設備が設置されている居室の場合は25㎥/ｈ人以上。中央管理方式でない場合は建築基準法（シックハウス対応含む）および建築物衛生法を満たす換気量となっている。</t>
    <phoneticPr fontId="27"/>
  </si>
  <si>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7"/>
  </si>
  <si>
    <t>高性能熱反ガラスを使用し、且つ水平庇１．０ｍ以上が計画されている。</t>
    <rPh sb="9" eb="11">
      <t>シヨウ</t>
    </rPh>
    <rPh sb="13" eb="14">
      <t>カ</t>
    </rPh>
    <rPh sb="15" eb="17">
      <t>スイヘイ</t>
    </rPh>
    <rPh sb="17" eb="18">
      <t>ヒサシ</t>
    </rPh>
    <rPh sb="25" eb="27">
      <t>ケイカク</t>
    </rPh>
    <phoneticPr fontId="27"/>
  </si>
  <si>
    <t>レベル４に加え、ダブルスキン等の断熱に有効な手法が採用されている。</t>
    <rPh sb="14" eb="15">
      <t>トウ</t>
    </rPh>
    <rPh sb="16" eb="18">
      <t>ダンネツ</t>
    </rPh>
    <rPh sb="19" eb="21">
      <t>ユウコウ</t>
    </rPh>
    <rPh sb="22" eb="24">
      <t>シュホウ</t>
    </rPh>
    <rPh sb="25" eb="27">
      <t>サイヨウ</t>
    </rPh>
    <phoneticPr fontId="27"/>
  </si>
  <si>
    <t>レベル４に加え、外ルーバー等の日射遮蔽に有効な手法が採用されている。</t>
    <rPh sb="8" eb="9">
      <t>ソト</t>
    </rPh>
    <rPh sb="13" eb="14">
      <t>トウ</t>
    </rPh>
    <rPh sb="15" eb="17">
      <t>ニッシャ</t>
    </rPh>
    <rPh sb="17" eb="19">
      <t>シャヘイ</t>
    </rPh>
    <rPh sb="20" eb="22">
      <t>ユウコウ</t>
    </rPh>
    <rPh sb="23" eb="25">
      <t>シュホウ</t>
    </rPh>
    <rPh sb="26" eb="28">
      <t>サイヨウ</t>
    </rPh>
    <phoneticPr fontId="27"/>
  </si>
  <si>
    <t>＜各レベル間を</t>
    <rPh sb="1" eb="2">
      <t>カク</t>
    </rPh>
    <rPh sb="5" eb="6">
      <t>カン</t>
    </rPh>
    <phoneticPr fontId="27"/>
  </si>
  <si>
    <t>　直線補完し</t>
    <rPh sb="1" eb="3">
      <t>チョクセン</t>
    </rPh>
    <rPh sb="3" eb="5">
      <t>ホカン</t>
    </rPh>
    <phoneticPr fontId="27"/>
  </si>
  <si>
    <t>　小数点を評価＞</t>
    <rPh sb="1" eb="4">
      <t>ショウスウテン</t>
    </rPh>
    <rPh sb="5" eb="7">
      <t>ヒョウカ</t>
    </rPh>
    <phoneticPr fontId="27"/>
  </si>
  <si>
    <t>-</t>
    <phoneticPr fontId="27"/>
  </si>
  <si>
    <t>手術室・病室</t>
    <rPh sb="0" eb="3">
      <t>シュジュツシツ</t>
    </rPh>
    <rPh sb="4" eb="6">
      <t>ビョウシツ</t>
    </rPh>
    <phoneticPr fontId="27"/>
  </si>
  <si>
    <t>ライフサイクルCO2排出率が、一般的な建物（参照値）に対して５０％以下</t>
    <rPh sb="19" eb="21">
      <t>タテモノ</t>
    </rPh>
    <phoneticPr fontId="27"/>
  </si>
  <si>
    <t>排出率</t>
    <rPh sb="0" eb="2">
      <t>ハイシュツ</t>
    </rPh>
    <rPh sb="2" eb="3">
      <t>リツ</t>
    </rPh>
    <phoneticPr fontId="27"/>
  </si>
  <si>
    <t>換算スコア＝</t>
    <rPh sb="0" eb="2">
      <t>カンサン</t>
    </rPh>
    <phoneticPr fontId="27"/>
  </si>
  <si>
    <t>大気汚染防止</t>
    <rPh sb="0" eb="2">
      <t>タイキ</t>
    </rPh>
    <rPh sb="2" eb="4">
      <t>オセン</t>
    </rPh>
    <rPh sb="4" eb="6">
      <t>ボウシ</t>
    </rPh>
    <phoneticPr fontId="27"/>
  </si>
  <si>
    <t>温熱環境悪化の改善</t>
    <rPh sb="0" eb="2">
      <t>オンネツ</t>
    </rPh>
    <rPh sb="2" eb="4">
      <t>カンキョウ</t>
    </rPh>
    <rPh sb="4" eb="6">
      <t>アッカ</t>
    </rPh>
    <rPh sb="7" eb="9">
      <t>カイゼン</t>
    </rPh>
    <phoneticPr fontId="27"/>
  </si>
  <si>
    <t>評価内容</t>
  </si>
  <si>
    <t>冬期18℃以上、夏期28℃以下の範囲を設定している。</t>
    <phoneticPr fontId="27"/>
  </si>
  <si>
    <t>機械室からの騒音（透過騒音）</t>
  </si>
  <si>
    <t>2,000㎡未満の建築物</t>
    <rPh sb="6" eb="8">
      <t>ミマン</t>
    </rPh>
    <rPh sb="9" eb="12">
      <t>ケンチクブツ</t>
    </rPh>
    <phoneticPr fontId="27"/>
  </si>
  <si>
    <t>同上（固体伝搬音）</t>
  </si>
  <si>
    <t>防振架台、防振支持など</t>
    <rPh sb="7" eb="9">
      <t>シジ</t>
    </rPh>
    <phoneticPr fontId="27"/>
  </si>
  <si>
    <t>ダクト・配管からの騒音（透過騒音）</t>
  </si>
  <si>
    <t>消音ダクト、消音エルボ、消音ボックス、防音管巻き、位置など</t>
  </si>
  <si>
    <t>地域性・アメニティへの配慮に関して標準的な取組みが行われている。(評価ポイント2～3)</t>
  </si>
  <si>
    <t>地域性・アメニティへの配慮に関して比較的多くの取組みが行われている。(評価ポイント4)</t>
  </si>
  <si>
    <t>地域性・アメニティへの配慮に関して充実した取組みが行われている。(評価ポイント5以上）</t>
  </si>
  <si>
    <r>
      <t>kg-CO</t>
    </r>
    <r>
      <rPr>
        <vertAlign val="subscript"/>
        <sz val="10"/>
        <rFont val="ＭＳ Ｐゴシック"/>
        <family val="3"/>
        <charset val="128"/>
      </rPr>
      <t>2</t>
    </r>
    <r>
      <rPr>
        <sz val="10"/>
        <rFont val="ＭＳ Ｐゴシック"/>
        <family val="3"/>
        <charset val="128"/>
      </rPr>
      <t>/kWh</t>
    </r>
    <phoneticPr fontId="27"/>
  </si>
  <si>
    <t>余剰売電分</t>
    <phoneticPr fontId="27"/>
  </si>
  <si>
    <t>事・学・飲・工</t>
    <rPh sb="0" eb="1">
      <t>コト</t>
    </rPh>
    <rPh sb="2" eb="3">
      <t>ガク</t>
    </rPh>
    <rPh sb="4" eb="5">
      <t>イン</t>
    </rPh>
    <rPh sb="6" eb="7">
      <t>コウ</t>
    </rPh>
    <phoneticPr fontId="27"/>
  </si>
  <si>
    <t>病（診）</t>
    <rPh sb="0" eb="1">
      <t>ビョウ</t>
    </rPh>
    <rPh sb="2" eb="3">
      <t>ミ</t>
    </rPh>
    <phoneticPr fontId="27"/>
  </si>
  <si>
    <t>[照度] ＜300 lx</t>
    <phoneticPr fontId="27"/>
  </si>
  <si>
    <t>[照度] ＜150lx</t>
    <phoneticPr fontId="27"/>
  </si>
  <si>
    <t>[照度] ＜100 lx</t>
    <phoneticPr fontId="27"/>
  </si>
  <si>
    <t>[照度] ＜150 lx</t>
    <phoneticPr fontId="27"/>
  </si>
  <si>
    <t>300lx≦　[照度] ＜500lx、
または　750lx≦　[照度]</t>
    <phoneticPr fontId="27"/>
  </si>
  <si>
    <t>150 lx≦　[照度]</t>
    <phoneticPr fontId="27"/>
  </si>
  <si>
    <t>100 lx≦　[照度]</t>
    <phoneticPr fontId="27"/>
  </si>
  <si>
    <t>500lx≦　[照度] ＜750</t>
    <phoneticPr fontId="27"/>
  </si>
  <si>
    <t>病</t>
    <phoneticPr fontId="27"/>
  </si>
  <si>
    <t>LR1/1. 建物外皮の熱負荷抑制</t>
    <rPh sb="7" eb="9">
      <t>タテモノ</t>
    </rPh>
    <rPh sb="9" eb="11">
      <t>ガイヒ</t>
    </rPh>
    <rPh sb="12" eb="13">
      <t>ネツ</t>
    </rPh>
    <rPh sb="13" eb="15">
      <t>フカ</t>
    </rPh>
    <rPh sb="15" eb="17">
      <t>ヨクセイ</t>
    </rPh>
    <phoneticPr fontId="27"/>
  </si>
  <si>
    <t>調整後排出係数</t>
    <rPh sb="0" eb="3">
      <t>チョウセイゴ</t>
    </rPh>
    <rPh sb="3" eb="5">
      <t>ハイシュツ</t>
    </rPh>
    <rPh sb="5" eb="7">
      <t>ケイスウ</t>
    </rPh>
    <phoneticPr fontId="27"/>
  </si>
  <si>
    <t>２５～３０</t>
    <phoneticPr fontId="27"/>
  </si>
  <si>
    <t>３０～３５</t>
    <phoneticPr fontId="27"/>
  </si>
  <si>
    <t>うるささ</t>
    <phoneticPr fontId="27"/>
  </si>
  <si>
    <t>やき声が聞こえる</t>
    <phoneticPr fontId="27"/>
  </si>
  <si>
    <t>電話は支障なし</t>
    <phoneticPr fontId="27"/>
  </si>
  <si>
    <t>スタジオ</t>
    <phoneticPr fontId="27"/>
  </si>
  <si>
    <t>アナウンススタジオ</t>
    <phoneticPr fontId="27"/>
  </si>
  <si>
    <t>ラジオスタジオ</t>
    <phoneticPr fontId="27"/>
  </si>
  <si>
    <t>テレビスタジオ</t>
    <phoneticPr fontId="27"/>
  </si>
  <si>
    <t>宝石店・美術品店</t>
    <phoneticPr fontId="27"/>
  </si>
  <si>
    <t>建物全体・共用部分</t>
    <phoneticPr fontId="27"/>
  </si>
  <si>
    <t>事・学・物・飲・会・病・ホ・工</t>
    <phoneticPr fontId="27"/>
  </si>
  <si>
    <t>事・学・物・飲・会・病・ホ・工（2000㎡未満）</t>
    <phoneticPr fontId="27"/>
  </si>
  <si>
    <t>病・ホ</t>
    <phoneticPr fontId="27"/>
  </si>
  <si>
    <t>病・ホ（2000㎡未満）</t>
    <phoneticPr fontId="27"/>
  </si>
  <si>
    <t>若干の対策を行っている（評価する取組みにおいて1項目以上を採用）</t>
    <phoneticPr fontId="27"/>
  </si>
  <si>
    <t>太陽光発電による削減分</t>
    <rPh sb="0" eb="2">
      <t>タイヨウ</t>
    </rPh>
    <rPh sb="2" eb="3">
      <t>ヒカリ</t>
    </rPh>
    <rPh sb="3" eb="5">
      <t>ハツデン</t>
    </rPh>
    <rPh sb="8" eb="10">
      <t>サクゲン</t>
    </rPh>
    <rPh sb="10" eb="11">
      <t>ブン</t>
    </rPh>
    <phoneticPr fontId="27"/>
  </si>
  <si>
    <t>(内訳）自家消費分</t>
    <rPh sb="1" eb="3">
      <t>ウチワケ</t>
    </rPh>
    <rPh sb="4" eb="6">
      <t>ジカ</t>
    </rPh>
    <rPh sb="6" eb="8">
      <t>ショウヒ</t>
    </rPh>
    <rPh sb="8" eb="9">
      <t>ブン</t>
    </rPh>
    <phoneticPr fontId="27"/>
  </si>
  <si>
    <t>余剰売電分</t>
    <rPh sb="0" eb="2">
      <t>ヨジョウ</t>
    </rPh>
    <rPh sb="2" eb="4">
      <t>バイデン</t>
    </rPh>
    <rPh sb="4" eb="5">
      <t>ブン</t>
    </rPh>
    <phoneticPr fontId="27"/>
  </si>
  <si>
    <t>その他再生可能エネルギー</t>
    <rPh sb="2" eb="3">
      <t>ホカ</t>
    </rPh>
    <rPh sb="3" eb="5">
      <t>サイセイ</t>
    </rPh>
    <rPh sb="5" eb="7">
      <t>カノウ</t>
    </rPh>
    <phoneticPr fontId="27"/>
  </si>
  <si>
    <t>エネルギー
消費量の算定方法</t>
    <rPh sb="6" eb="9">
      <t>ショウヒリョウ</t>
    </rPh>
    <rPh sb="10" eb="12">
      <t>サンテイ</t>
    </rPh>
    <rPh sb="12" eb="14">
      <t>ホウホウ</t>
    </rPh>
    <phoneticPr fontId="27"/>
  </si>
  <si>
    <t>昼間（am8時～pm7時）、夜間（pm7時～翌朝8時）のいずれの時間も下記の基準を満たしていること</t>
    <phoneticPr fontId="27"/>
  </si>
  <si>
    <r>
      <t xml:space="preserve">3.1.3 </t>
    </r>
    <r>
      <rPr>
        <b/>
        <sz val="10"/>
        <rFont val="ＭＳ Ｐゴシック"/>
        <family val="3"/>
        <charset val="128"/>
      </rPr>
      <t>悪臭</t>
    </r>
    <phoneticPr fontId="27"/>
  </si>
  <si>
    <t>風害・砂塵、日照阻害の抑制</t>
    <phoneticPr fontId="27"/>
  </si>
  <si>
    <r>
      <t xml:space="preserve">3.2.1 </t>
    </r>
    <r>
      <rPr>
        <b/>
        <sz val="10"/>
        <rFont val="ＭＳ Ｐゴシック"/>
        <family val="3"/>
        <charset val="128"/>
      </rPr>
      <t>風害の抑制</t>
    </r>
    <phoneticPr fontId="27"/>
  </si>
  <si>
    <t>校庭からの砂塵に対する取組みが十分ではない。（評価ポイント1）</t>
    <phoneticPr fontId="27"/>
  </si>
  <si>
    <t>校庭からの砂塵に対して、標準的な取組みが行われている。（評価ポイント2）</t>
    <phoneticPr fontId="27"/>
  </si>
  <si>
    <t>評価内容</t>
    <phoneticPr fontId="27"/>
  </si>
  <si>
    <t>I 校庭からの砂塵の飛散を抑制する取組み</t>
    <phoneticPr fontId="27"/>
  </si>
  <si>
    <t>1）校庭の周囲に防砂林や防砂ネットを整備し、砂塵の飛散を抑制している。</t>
    <phoneticPr fontId="27"/>
  </si>
  <si>
    <t>2)校庭の周囲を建物で囲い、砂塵の発生や飛散を抑制している。</t>
    <phoneticPr fontId="27"/>
  </si>
  <si>
    <t>II 校庭を砂塵が発生しない仕上げとする。</t>
    <phoneticPr fontId="27"/>
  </si>
  <si>
    <t>1）校庭にスプリンクラーを設置し、砂塵の発生を抑制している。</t>
    <phoneticPr fontId="27"/>
  </si>
  <si>
    <t>2）校庭を砂塵が発生しにくい舗装としている。</t>
    <phoneticPr fontId="27"/>
  </si>
  <si>
    <t>3.1.1</t>
    <phoneticPr fontId="27"/>
  </si>
  <si>
    <t>3.1.2</t>
    <phoneticPr fontId="27"/>
  </si>
  <si>
    <t>3.1.3</t>
    <phoneticPr fontId="27"/>
  </si>
  <si>
    <t>3.2.1</t>
    <phoneticPr fontId="27"/>
  </si>
  <si>
    <t>3.2.2</t>
    <phoneticPr fontId="27"/>
  </si>
  <si>
    <t>3.2.3</t>
    <phoneticPr fontId="27"/>
  </si>
  <si>
    <t>3.2.3</t>
    <phoneticPr fontId="27"/>
  </si>
  <si>
    <t>IV 緑の質の確保</t>
    <phoneticPr fontId="27"/>
  </si>
  <si>
    <t>V 生物資源の管理と利用</t>
    <phoneticPr fontId="27"/>
  </si>
  <si>
    <t>はい</t>
    <phoneticPr fontId="27"/>
  </si>
  <si>
    <t>いいえ</t>
    <phoneticPr fontId="27"/>
  </si>
  <si>
    <t>　レベル　1</t>
    <phoneticPr fontId="27"/>
  </si>
  <si>
    <t>■レベル　1</t>
    <phoneticPr fontId="27"/>
  </si>
  <si>
    <t>レベル</t>
    <phoneticPr fontId="27"/>
  </si>
  <si>
    <t>1.2.1</t>
    <phoneticPr fontId="27"/>
  </si>
  <si>
    <t>1.2.2</t>
    <phoneticPr fontId="27"/>
  </si>
  <si>
    <t>-</t>
    <phoneticPr fontId="27"/>
  </si>
  <si>
    <t>-</t>
    <phoneticPr fontId="27"/>
  </si>
  <si>
    <t>-</t>
    <phoneticPr fontId="27"/>
  </si>
  <si>
    <t>-</t>
    <phoneticPr fontId="27"/>
  </si>
  <si>
    <t>-</t>
    <phoneticPr fontId="27"/>
  </si>
  <si>
    <r>
      <t>LR3</t>
    </r>
    <r>
      <rPr>
        <b/>
        <sz val="14"/>
        <rFont val="ＭＳ Ｐゴシック"/>
        <family val="3"/>
        <charset val="128"/>
      </rPr>
      <t>　敷地外環境</t>
    </r>
    <rPh sb="4" eb="6">
      <t>シキチ</t>
    </rPh>
    <rPh sb="6" eb="7">
      <t>ガイ</t>
    </rPh>
    <phoneticPr fontId="27"/>
  </si>
  <si>
    <t>住</t>
    <phoneticPr fontId="27"/>
  </si>
  <si>
    <t>5年未満</t>
    <phoneticPr fontId="27"/>
  </si>
  <si>
    <t>16年以上～25年未満</t>
    <phoneticPr fontId="27"/>
  </si>
  <si>
    <t>20年以上</t>
    <phoneticPr fontId="27"/>
  </si>
  <si>
    <t>採用項目</t>
    <rPh sb="0" eb="2">
      <t>サイヨウ</t>
    </rPh>
    <rPh sb="2" eb="4">
      <t>コウモク</t>
    </rPh>
    <phoneticPr fontId="27"/>
  </si>
  <si>
    <t>（屋外）吸込み口・排気口からの騒音</t>
    <phoneticPr fontId="27"/>
  </si>
  <si>
    <t>建物全体・共用部分</t>
    <phoneticPr fontId="27"/>
  </si>
  <si>
    <t>病・ホ・住</t>
    <phoneticPr fontId="27"/>
  </si>
  <si>
    <t>騒音が気になる。</t>
    <phoneticPr fontId="27"/>
  </si>
  <si>
    <t>騒音がほとんど気にならない。</t>
    <phoneticPr fontId="27"/>
  </si>
  <si>
    <t>T-1未満</t>
    <phoneticPr fontId="27"/>
  </si>
  <si>
    <t>T-1</t>
    <phoneticPr fontId="27"/>
  </si>
  <si>
    <t>T-2以上</t>
    <phoneticPr fontId="27"/>
  </si>
  <si>
    <r>
      <t xml:space="preserve">1.2.2 </t>
    </r>
    <r>
      <rPr>
        <b/>
        <sz val="10"/>
        <rFont val="ＭＳ Ｐゴシック"/>
        <family val="3"/>
        <charset val="128"/>
      </rPr>
      <t>界壁遮音性能</t>
    </r>
    <phoneticPr fontId="27"/>
  </si>
  <si>
    <t>住</t>
    <phoneticPr fontId="27"/>
  </si>
  <si>
    <t>人の話し声が気になる。</t>
    <phoneticPr fontId="27"/>
  </si>
  <si>
    <t>実排出係数の場合</t>
    <rPh sb="0" eb="1">
      <t>ジツ</t>
    </rPh>
    <rPh sb="1" eb="3">
      <t>ハイシュツ</t>
    </rPh>
    <rPh sb="3" eb="5">
      <t>ケイスウ</t>
    </rPh>
    <rPh sb="6" eb="8">
      <t>バアイ</t>
    </rPh>
    <phoneticPr fontId="27"/>
  </si>
  <si>
    <t>調整後排出係数を用いた場合の実排出量との差</t>
    <rPh sb="0" eb="3">
      <t>チョウセイゴ</t>
    </rPh>
    <rPh sb="3" eb="5">
      <t>ハイシュツ</t>
    </rPh>
    <rPh sb="5" eb="7">
      <t>ケイスウ</t>
    </rPh>
    <rPh sb="8" eb="9">
      <t>モチ</t>
    </rPh>
    <rPh sb="11" eb="13">
      <t>バアイ</t>
    </rPh>
    <rPh sb="14" eb="15">
      <t>ジツ</t>
    </rPh>
    <rPh sb="15" eb="17">
      <t>ハイシュツ</t>
    </rPh>
    <rPh sb="17" eb="18">
      <t>リョウ</t>
    </rPh>
    <rPh sb="20" eb="21">
      <t>サ</t>
    </rPh>
    <phoneticPr fontId="27"/>
  </si>
  <si>
    <t>実排出係数</t>
    <rPh sb="0" eb="1">
      <t>ジツ</t>
    </rPh>
    <rPh sb="1" eb="3">
      <t>ハイシュツ</t>
    </rPh>
    <rPh sb="3" eb="5">
      <t>ケイスウ</t>
    </rPh>
    <phoneticPr fontId="27"/>
  </si>
  <si>
    <t>延床面積あたり　[2]</t>
    <rPh sb="0" eb="2">
      <t>ノベユカ</t>
    </rPh>
    <rPh sb="2" eb="4">
      <t>メンセキ</t>
    </rPh>
    <phoneticPr fontId="27"/>
  </si>
  <si>
    <t>重み係数</t>
    <rPh sb="0" eb="1">
      <t>オモ</t>
    </rPh>
    <rPh sb="2" eb="4">
      <t>ケイスウ</t>
    </rPh>
    <phoneticPr fontId="27"/>
  </si>
  <si>
    <t>重み係数（既定）</t>
    <rPh sb="0" eb="1">
      <t>オモ</t>
    </rPh>
    <rPh sb="2" eb="4">
      <t>ケイスウ</t>
    </rPh>
    <rPh sb="5" eb="7">
      <t>キテイ</t>
    </rPh>
    <phoneticPr fontId="27"/>
  </si>
  <si>
    <t>0.　既存</t>
    <rPh sb="3" eb="5">
      <t>キソン</t>
    </rPh>
    <phoneticPr fontId="27"/>
  </si>
  <si>
    <t>１．基本設計</t>
    <rPh sb="2" eb="4">
      <t>キホン</t>
    </rPh>
    <rPh sb="4" eb="6">
      <t>セッケイ</t>
    </rPh>
    <phoneticPr fontId="27"/>
  </si>
  <si>
    <t>２．実施・竣工段階</t>
    <rPh sb="2" eb="4">
      <t>ジッシ</t>
    </rPh>
    <rPh sb="5" eb="7">
      <t>シュンコウ</t>
    </rPh>
    <rPh sb="7" eb="9">
      <t>ダンカイ</t>
    </rPh>
    <phoneticPr fontId="27"/>
  </si>
  <si>
    <t>補正後</t>
    <rPh sb="0" eb="2">
      <t>ホセイ</t>
    </rPh>
    <rPh sb="2" eb="3">
      <t>ゴ</t>
    </rPh>
    <phoneticPr fontId="27"/>
  </si>
  <si>
    <t>補正前</t>
    <rPh sb="0" eb="2">
      <t>ホセイ</t>
    </rPh>
    <rPh sb="2" eb="3">
      <t>マエ</t>
    </rPh>
    <phoneticPr fontId="27"/>
  </si>
  <si>
    <t>補正前計</t>
    <rPh sb="0" eb="2">
      <t>ホセイ</t>
    </rPh>
    <rPh sb="2" eb="3">
      <t>マエ</t>
    </rPh>
    <rPh sb="3" eb="4">
      <t>ケイ</t>
    </rPh>
    <phoneticPr fontId="27"/>
  </si>
  <si>
    <t>対象外の選択</t>
    <rPh sb="0" eb="3">
      <t>タイショウガイ</t>
    </rPh>
    <rPh sb="4" eb="6">
      <t>センタク</t>
    </rPh>
    <phoneticPr fontId="27"/>
  </si>
  <si>
    <t>既定重み</t>
    <rPh sb="0" eb="2">
      <t>キテイ</t>
    </rPh>
    <rPh sb="2" eb="3">
      <t>オモ</t>
    </rPh>
    <phoneticPr fontId="27"/>
  </si>
  <si>
    <t>中庭やテラス、バルコニー、サンルーム、アルコーブ、屋根付広場、風光ボイド、アトリウム、等のように風や光が通り抜ける開放的な空間をうまく内部空間と連続させている。
または、</t>
    <phoneticPr fontId="27"/>
  </si>
  <si>
    <t>玄関廻り、バルコニー廻り等のプライバシーと公共性の接点の部分に、風光ボイド、花台、パーゴラ、奥行きのあるバルコニー等のしつらえによって、生活感が滲み出るような豊かな中間領域を形成している。</t>
    <phoneticPr fontId="27"/>
  </si>
  <si>
    <t>6）防犯性の配慮</t>
    <phoneticPr fontId="27"/>
  </si>
  <si>
    <t>建物外部の広場などのスペースにおいて、視線を遮らない様な樹木の配置、夜間照明の設置、防犯カメラの設置、防犯に役立つ窓の配置などを行い、防犯性に配慮している。
または、</t>
    <phoneticPr fontId="27"/>
  </si>
  <si>
    <t>広場や歩道状空地がない場合、建物周囲において、視線の行き届かない袋小路や通路などの死角空間を作らないようにし、また防犯に役立つ窓の配置をするなどして、防犯性に配慮している。</t>
    <phoneticPr fontId="27"/>
  </si>
  <si>
    <t>または、
敷地周囲に境界壁等を設ける場合、視線を遮るような連続した塀等を作らず，見通しの良いフェンスや背の低い生垣等を設けて防犯性・防災性に配慮している。</t>
    <phoneticPr fontId="27"/>
  </si>
  <si>
    <t>燃焼機器を使用しておらず、対象建築物の仮想閉空間から外部空間に対して大気汚染物質を全く発生しない。</t>
    <phoneticPr fontId="27"/>
  </si>
  <si>
    <t>評価する取組み表の評価ポイントの合計値が0ポイント</t>
    <phoneticPr fontId="27"/>
  </si>
  <si>
    <t>評価する取組み表の評価ポイントの合計値が1～5ポイント</t>
    <phoneticPr fontId="27"/>
  </si>
  <si>
    <t>ホテル・住宅</t>
    <rPh sb="4" eb="6">
      <t>ジュウタク</t>
    </rPh>
    <phoneticPr fontId="27"/>
  </si>
  <si>
    <t>書斎</t>
    <rPh sb="0" eb="2">
      <t>ショサイ</t>
    </rPh>
    <phoneticPr fontId="27"/>
  </si>
  <si>
    <t>寝室・客室</t>
    <rPh sb="0" eb="2">
      <t>シンシツ</t>
    </rPh>
    <rPh sb="3" eb="5">
      <t>キャクシツ</t>
    </rPh>
    <phoneticPr fontId="27"/>
  </si>
  <si>
    <r>
      <t>2.3.1</t>
    </r>
    <r>
      <rPr>
        <b/>
        <sz val="10"/>
        <rFont val="ＭＳ Ｐゴシック"/>
        <family val="3"/>
        <charset val="128"/>
      </rPr>
      <t>　雨水排水負荷低減</t>
    </r>
    <phoneticPr fontId="27"/>
  </si>
  <si>
    <r>
      <t xml:space="preserve">2.3.2 </t>
    </r>
    <r>
      <rPr>
        <b/>
        <sz val="10"/>
        <rFont val="ＭＳ Ｐゴシック"/>
        <family val="3"/>
        <charset val="128"/>
      </rPr>
      <t>汚水処理負荷抑制</t>
    </r>
    <phoneticPr fontId="27"/>
  </si>
  <si>
    <t>排出基準を満たした上でそれ以上の特別な工夫を実施し、汚水処理負荷を高く抑制している。</t>
    <phoneticPr fontId="27"/>
  </si>
  <si>
    <r>
      <t xml:space="preserve">2.3.3 </t>
    </r>
    <r>
      <rPr>
        <b/>
        <sz val="10"/>
        <rFont val="ＭＳ Ｐゴシック"/>
        <family val="3"/>
        <charset val="128"/>
      </rPr>
      <t>交通負荷抑制</t>
    </r>
    <phoneticPr fontId="27"/>
  </si>
  <si>
    <t>評価する取組み表の評価ポイントの合計値が0ポイント</t>
    <phoneticPr fontId="27"/>
  </si>
  <si>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27"/>
  </si>
  <si>
    <t>レベル</t>
    <phoneticPr fontId="27"/>
  </si>
  <si>
    <t>N.A.</t>
    <phoneticPr fontId="27"/>
  </si>
  <si>
    <t>35＜ [騒音レベル] ≦40</t>
  </si>
  <si>
    <t>　レベル　4</t>
  </si>
  <si>
    <t>■レベル　4</t>
  </si>
  <si>
    <t>[騒音レベル] ≦40</t>
  </si>
  <si>
    <t>[騒音レベル] ≦35</t>
  </si>
  <si>
    <t>[騒音レベル] ≦45</t>
  </si>
  <si>
    <t>[騒音レベル] ≦30</t>
  </si>
  <si>
    <t>[騒音レベル] ≦35</t>
    <phoneticPr fontId="27"/>
  </si>
  <si>
    <t>　レベル　5</t>
  </si>
  <si>
    <t>■レベル　5</t>
  </si>
  <si>
    <t>騒音：　室内許容騒音レベル＊</t>
    <rPh sb="4" eb="6">
      <t>シツナイ</t>
    </rPh>
    <rPh sb="6" eb="8">
      <t>キョヨウ</t>
    </rPh>
    <rPh sb="8" eb="10">
      <t>ソウオン</t>
    </rPh>
    <phoneticPr fontId="27"/>
  </si>
  <si>
    <t>無音感―――</t>
    <rPh sb="0" eb="2">
      <t>ムオン</t>
    </rPh>
    <rPh sb="2" eb="3">
      <t>カン</t>
    </rPh>
    <phoneticPr fontId="27"/>
  </si>
  <si>
    <t>―――――――――非常に静か―――――――――</t>
    <rPh sb="9" eb="11">
      <t>ヒジョウ</t>
    </rPh>
    <rPh sb="12" eb="13">
      <t>シズ</t>
    </rPh>
    <phoneticPr fontId="27"/>
  </si>
  <si>
    <t>―特に気にならない――――――</t>
    <rPh sb="1" eb="2">
      <t>トク</t>
    </rPh>
    <rPh sb="3" eb="4">
      <t>キ</t>
    </rPh>
    <phoneticPr fontId="27"/>
  </si>
  <si>
    <t>会話・電話への影響</t>
    <rPh sb="0" eb="2">
      <t>カイワ</t>
    </rPh>
    <rPh sb="3" eb="5">
      <t>デンワ</t>
    </rPh>
    <rPh sb="7" eb="9">
      <t>エイキョウ</t>
    </rPh>
    <phoneticPr fontId="27"/>
  </si>
  <si>
    <t>５ｍ離れてささ</t>
    <rPh sb="2" eb="3">
      <t>ハナ</t>
    </rPh>
    <phoneticPr fontId="27"/>
  </si>
  <si>
    <t>――――１０ｍ離れて会議可能――――</t>
    <rPh sb="7" eb="8">
      <t>ハナ</t>
    </rPh>
    <rPh sb="10" eb="12">
      <t>カイギ</t>
    </rPh>
    <rPh sb="12" eb="14">
      <t>カノウ</t>
    </rPh>
    <phoneticPr fontId="27"/>
  </si>
  <si>
    <t>機械・配管支持方法</t>
    <rPh sb="0" eb="2">
      <t>キカイ</t>
    </rPh>
    <rPh sb="3" eb="5">
      <t>ハイカン</t>
    </rPh>
    <rPh sb="5" eb="7">
      <t>シジ</t>
    </rPh>
    <rPh sb="7" eb="9">
      <t>ホウホウ</t>
    </rPh>
    <phoneticPr fontId="27"/>
  </si>
  <si>
    <t>通信・情報設備</t>
    <rPh sb="0" eb="2">
      <t>ツウシン</t>
    </rPh>
    <rPh sb="3" eb="5">
      <t>ジョウホウ</t>
    </rPh>
    <rPh sb="5" eb="7">
      <t>セツビ</t>
    </rPh>
    <phoneticPr fontId="27"/>
  </si>
  <si>
    <t>対応性・更新性</t>
    <rPh sb="0" eb="3">
      <t>タイオウセイ</t>
    </rPh>
    <rPh sb="4" eb="6">
      <t>コウシン</t>
    </rPh>
    <rPh sb="6" eb="7">
      <t>セイ</t>
    </rPh>
    <phoneticPr fontId="27"/>
  </si>
  <si>
    <t>空間のゆとり</t>
  </si>
  <si>
    <t>階高のゆとり</t>
    <rPh sb="0" eb="1">
      <t>カイ</t>
    </rPh>
    <rPh sb="1" eb="2">
      <t>ダカ</t>
    </rPh>
    <phoneticPr fontId="27"/>
  </si>
  <si>
    <t>空間の形状・自由さ</t>
    <rPh sb="0" eb="2">
      <t>クウカン</t>
    </rPh>
    <rPh sb="3" eb="5">
      <t>ケイジョウ</t>
    </rPh>
    <rPh sb="6" eb="8">
      <t>ジユウ</t>
    </rPh>
    <phoneticPr fontId="27"/>
  </si>
  <si>
    <t>荷重のゆとり</t>
  </si>
  <si>
    <t>設備の更新性</t>
  </si>
  <si>
    <t>給排水管の更新性</t>
    <rPh sb="0" eb="1">
      <t>キュウ</t>
    </rPh>
    <rPh sb="1" eb="4">
      <t>ハイスイカン</t>
    </rPh>
    <rPh sb="5" eb="7">
      <t>コウシン</t>
    </rPh>
    <rPh sb="7" eb="8">
      <t>セイ</t>
    </rPh>
    <phoneticPr fontId="27"/>
  </si>
  <si>
    <t>電気配線の更新性</t>
    <rPh sb="0" eb="2">
      <t>デンキ</t>
    </rPh>
    <rPh sb="2" eb="4">
      <t>ハイセン</t>
    </rPh>
    <rPh sb="5" eb="7">
      <t>コウシン</t>
    </rPh>
    <rPh sb="7" eb="8">
      <t>セイ</t>
    </rPh>
    <phoneticPr fontId="27"/>
  </si>
  <si>
    <t>通信配線の更新性</t>
    <rPh sb="0" eb="2">
      <t>ツウシン</t>
    </rPh>
    <rPh sb="2" eb="4">
      <t>ハイセン</t>
    </rPh>
    <rPh sb="5" eb="7">
      <t>コウシン</t>
    </rPh>
    <rPh sb="7" eb="8">
      <t>セイ</t>
    </rPh>
    <phoneticPr fontId="27"/>
  </si>
  <si>
    <t>設備機器の更新性</t>
    <rPh sb="0" eb="2">
      <t>セツビ</t>
    </rPh>
    <rPh sb="2" eb="4">
      <t>キキ</t>
    </rPh>
    <rPh sb="5" eb="7">
      <t>コウシン</t>
    </rPh>
    <rPh sb="7" eb="8">
      <t>セイ</t>
    </rPh>
    <phoneticPr fontId="27"/>
  </si>
  <si>
    <t>バックアップスペースの確保</t>
    <rPh sb="11" eb="13">
      <t>カクホ</t>
    </rPh>
    <phoneticPr fontId="27"/>
  </si>
  <si>
    <t>生物環境の保全と創出</t>
    <rPh sb="0" eb="2">
      <t>セイブツ</t>
    </rPh>
    <rPh sb="2" eb="4">
      <t>カンキョウ</t>
    </rPh>
    <rPh sb="5" eb="7">
      <t>ホゼン</t>
    </rPh>
    <rPh sb="8" eb="10">
      <t>ソウシュツ</t>
    </rPh>
    <phoneticPr fontId="27"/>
  </si>
  <si>
    <t>まちなみ・景観への配慮</t>
    <rPh sb="5" eb="7">
      <t>ケイカン</t>
    </rPh>
    <rPh sb="9" eb="11">
      <t>ハイリョ</t>
    </rPh>
    <phoneticPr fontId="27"/>
  </si>
  <si>
    <t>地域性・アメニティへの配慮</t>
    <rPh sb="0" eb="3">
      <t>ﾁｲｷｾｲ</t>
    </rPh>
    <rPh sb="11" eb="13">
      <t>ﾊｲﾘｮ</t>
    </rPh>
    <phoneticPr fontId="39" type="noConversion"/>
  </si>
  <si>
    <t>地域性への配慮、快適性の向上</t>
  </si>
  <si>
    <t>敷地内温熱環境の向上</t>
    <rPh sb="0" eb="2">
      <t>シキチ</t>
    </rPh>
    <rPh sb="2" eb="3">
      <t>ナイ</t>
    </rPh>
    <rPh sb="3" eb="5">
      <t>オンネツ</t>
    </rPh>
    <rPh sb="8" eb="10">
      <t>コウジョウ</t>
    </rPh>
    <phoneticPr fontId="27"/>
  </si>
  <si>
    <t>LR　建築物の環境負荷低減性</t>
    <phoneticPr fontId="27"/>
  </si>
  <si>
    <t>LR1</t>
    <phoneticPr fontId="39" type="noConversion"/>
  </si>
  <si>
    <t>エネルギー</t>
    <phoneticPr fontId="27"/>
  </si>
  <si>
    <t>自然エネルギー利用</t>
    <rPh sb="0" eb="2">
      <t>ｼｾﾞﾝ</t>
    </rPh>
    <rPh sb="7" eb="9">
      <t>ﾘﾖｳ</t>
    </rPh>
    <phoneticPr fontId="39" type="noConversion"/>
  </si>
  <si>
    <t>実施・竣工</t>
    <rPh sb="0" eb="2">
      <t>ジッシ</t>
    </rPh>
    <rPh sb="3" eb="5">
      <t>シュンコウ</t>
    </rPh>
    <phoneticPr fontId="27"/>
  </si>
  <si>
    <t>基本</t>
    <rPh sb="0" eb="2">
      <t>キホン</t>
    </rPh>
    <phoneticPr fontId="27"/>
  </si>
  <si>
    <t>自然エネルギーの直接利用</t>
  </si>
  <si>
    <t>自然エネルギーの変換利用</t>
  </si>
  <si>
    <t>設備システムの高効率化</t>
    <rPh sb="0" eb="2">
      <t>ｾﾂﾋﾞ</t>
    </rPh>
    <rPh sb="7" eb="8">
      <t>ｺｳ</t>
    </rPh>
    <rPh sb="8" eb="10">
      <t>ｺｳﾘﾂ</t>
    </rPh>
    <rPh sb="10" eb="11">
      <t>ｶ</t>
    </rPh>
    <phoneticPr fontId="39" type="noConversion"/>
  </si>
  <si>
    <t>空調設備</t>
  </si>
  <si>
    <t>換気設備</t>
  </si>
  <si>
    <t>照明設備</t>
  </si>
  <si>
    <t>給湯設備</t>
  </si>
  <si>
    <t>昇降機設備</t>
  </si>
  <si>
    <t>効率的運用</t>
    <rPh sb="0" eb="3">
      <t>ｺｳﾘﾂﾃｷ</t>
    </rPh>
    <rPh sb="3" eb="5">
      <t>ｳﾝﾖｳ</t>
    </rPh>
    <phoneticPr fontId="39" type="noConversion"/>
  </si>
  <si>
    <t>運用管理体制</t>
    <rPh sb="0" eb="2">
      <t>ｳﾝﾖｳ</t>
    </rPh>
    <rPh sb="2" eb="4">
      <t>ｶﾝﾘ</t>
    </rPh>
    <rPh sb="4" eb="6">
      <t>ﾀｲｾｲ</t>
    </rPh>
    <phoneticPr fontId="39" type="noConversion"/>
  </si>
  <si>
    <t>水資源保護</t>
    <rPh sb="0" eb="1">
      <t>ﾐｽﾞ</t>
    </rPh>
    <rPh sb="1" eb="3">
      <t>ｼｹﾞﾝ</t>
    </rPh>
    <rPh sb="3" eb="5">
      <t>ﾎｺﾞ</t>
    </rPh>
    <phoneticPr fontId="39" type="noConversion"/>
  </si>
  <si>
    <t>節水</t>
    <rPh sb="0" eb="2">
      <t>ｾｯｽｲ</t>
    </rPh>
    <phoneticPr fontId="39" type="noConversion"/>
  </si>
  <si>
    <t>雨水利用・雑排水等の利用</t>
    <rPh sb="0" eb="2">
      <t>ｳｽｲ</t>
    </rPh>
    <rPh sb="2" eb="4">
      <t>ﾘﾖｳ</t>
    </rPh>
    <rPh sb="5" eb="8">
      <t>ｻﾞﾂﾊｲｽｲ</t>
    </rPh>
    <rPh sb="8" eb="9">
      <t>ﾄｳ</t>
    </rPh>
    <rPh sb="10" eb="12">
      <t>ﾘﾖｳ</t>
    </rPh>
    <phoneticPr fontId="39" type="noConversion"/>
  </si>
  <si>
    <t>雨水利用システム導入の有無</t>
    <rPh sb="0" eb="2">
      <t>ウスイ</t>
    </rPh>
    <rPh sb="2" eb="4">
      <t>リヨウ</t>
    </rPh>
    <rPh sb="8" eb="10">
      <t>ドウニュウ</t>
    </rPh>
    <rPh sb="11" eb="13">
      <t>ウム</t>
    </rPh>
    <phoneticPr fontId="27"/>
  </si>
  <si>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</si>
  <si>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7"/>
  </si>
  <si>
    <t>材料使用量の削減</t>
    <rPh sb="0" eb="2">
      <t>ザイリョウ</t>
    </rPh>
    <rPh sb="2" eb="4">
      <t>シヨウ</t>
    </rPh>
    <rPh sb="4" eb="5">
      <t>リョウ</t>
    </rPh>
    <rPh sb="6" eb="8">
      <t>サクゲン</t>
    </rPh>
    <phoneticPr fontId="27"/>
  </si>
  <si>
    <t>既存建築躯体等の継続使用</t>
    <rPh sb="6" eb="7">
      <t>トウ</t>
    </rPh>
    <rPh sb="8" eb="10">
      <t>ケイゾク</t>
    </rPh>
    <rPh sb="10" eb="12">
      <t>シヨウ</t>
    </rPh>
    <phoneticPr fontId="27"/>
  </si>
  <si>
    <t>躯体材料におけるリサイクル材の使用</t>
    <rPh sb="0" eb="2">
      <t>クタイ</t>
    </rPh>
    <rPh sb="2" eb="4">
      <t>ザイリョウ</t>
    </rPh>
    <rPh sb="13" eb="14">
      <t>ザイ</t>
    </rPh>
    <rPh sb="15" eb="17">
      <t>シヨウ</t>
    </rPh>
    <phoneticPr fontId="27"/>
  </si>
  <si>
    <t>持続可能な森林から産出された木材</t>
  </si>
  <si>
    <t>部材の再利用可能性向上への取組み</t>
    <rPh sb="9" eb="11">
      <t>コウジョウ</t>
    </rPh>
    <rPh sb="13" eb="15">
      <t>トリク</t>
    </rPh>
    <phoneticPr fontId="27"/>
  </si>
  <si>
    <t>汚染物質含有材料の使用回避</t>
    <rPh sb="0" eb="2">
      <t>オセン</t>
    </rPh>
    <rPh sb="2" eb="4">
      <t>ブッシツ</t>
    </rPh>
    <rPh sb="4" eb="6">
      <t>ガンユウ</t>
    </rPh>
    <rPh sb="6" eb="8">
      <t>ザイリョウ</t>
    </rPh>
    <rPh sb="9" eb="11">
      <t>シヨウ</t>
    </rPh>
    <rPh sb="11" eb="13">
      <t>カイヒ</t>
    </rPh>
    <phoneticPr fontId="27"/>
  </si>
  <si>
    <t>有害物質を含まない材料の使用</t>
    <rPh sb="0" eb="2">
      <t>ユウガイ</t>
    </rPh>
    <rPh sb="2" eb="4">
      <t>ブッシツ</t>
    </rPh>
    <rPh sb="5" eb="6">
      <t>フク</t>
    </rPh>
    <rPh sb="12" eb="14">
      <t>シヨウ</t>
    </rPh>
    <phoneticPr fontId="27"/>
  </si>
  <si>
    <t>フロン・ハロンの回避</t>
    <rPh sb="8" eb="10">
      <t>カイヒ</t>
    </rPh>
    <phoneticPr fontId="27"/>
  </si>
  <si>
    <t>事務室の天井高2.9m以上となっており、かつ、すべての執務者が十分な屋外の情報を得られるように窓が設置されている。</t>
    <phoneticPr fontId="27"/>
  </si>
  <si>
    <t>売場の天井高3.6m以上。</t>
    <phoneticPr fontId="27"/>
  </si>
  <si>
    <t>住居・宿泊部の天井高2.7m以上。</t>
    <phoneticPr fontId="27"/>
  </si>
  <si>
    <t>レストスペースが売り場面積の2％以上</t>
    <phoneticPr fontId="27"/>
  </si>
  <si>
    <t>レストスペースが売り場面積の3％以上</t>
    <phoneticPr fontId="27"/>
  </si>
  <si>
    <t>レストスペースが売り場面積の4％以上</t>
    <phoneticPr fontId="27"/>
  </si>
  <si>
    <t>評価する取り組みのうち２つの項目に該当する。</t>
    <phoneticPr fontId="27"/>
  </si>
  <si>
    <t>評価する取り組みのうち３つの項目に該当する。</t>
    <phoneticPr fontId="27"/>
  </si>
  <si>
    <t>評価する取り組みのうち４つの項目に該当する。</t>
    <phoneticPr fontId="27"/>
  </si>
  <si>
    <t>モックアップ（実物大模型）やインテリアパースによる内装計画の事前検証を実施している。</t>
    <phoneticPr fontId="27"/>
  </si>
  <si>
    <t>建築物衛生法における特定建築物に該当しない建築物</t>
    <phoneticPr fontId="27"/>
  </si>
  <si>
    <t>(該当するレベルなし)</t>
    <phoneticPr fontId="27"/>
  </si>
  <si>
    <t>冷却塔がない。または、冷却塔の水処理、飛散対策等が十分に施されており、給湯器は最低限の対策が施されている。</t>
  </si>
  <si>
    <t>換気</t>
    <rPh sb="0" eb="2">
      <t>カンキ</t>
    </rPh>
    <phoneticPr fontId="27"/>
  </si>
  <si>
    <r>
      <t xml:space="preserve">4.2.1 </t>
    </r>
    <r>
      <rPr>
        <b/>
        <sz val="10"/>
        <rFont val="ＭＳ Ｐゴシック"/>
        <family val="3"/>
        <charset val="128"/>
      </rPr>
      <t>換気量</t>
    </r>
    <rPh sb="6" eb="9">
      <t>カンキリョウ</t>
    </rPh>
    <phoneticPr fontId="27"/>
  </si>
  <si>
    <t>事・学(大学等)・物・飲・会・病・ホ・工・住</t>
    <rPh sb="0" eb="1">
      <t>コト</t>
    </rPh>
    <rPh sb="2" eb="3">
      <t>ガク</t>
    </rPh>
    <rPh sb="9" eb="10">
      <t>モノ</t>
    </rPh>
    <rPh sb="11" eb="12">
      <t>イン</t>
    </rPh>
    <rPh sb="13" eb="14">
      <t>カイ</t>
    </rPh>
    <rPh sb="15" eb="16">
      <t>ヤマイ</t>
    </rPh>
    <rPh sb="21" eb="22">
      <t>ジュウ</t>
    </rPh>
    <phoneticPr fontId="27"/>
  </si>
  <si>
    <t>中央管理方式の空気調和設備が設置されている居室の場合は30㎥/ｈ人以上。中央管理方式でない場合は建築基準法（シックハウス対応含む）および建築物衛生法を満たす換気量の1.2倍となっている。</t>
    <rPh sb="32" eb="33">
      <t>ニン</t>
    </rPh>
    <rPh sb="33" eb="35">
      <t>イジョウ</t>
    </rPh>
    <phoneticPr fontId="27"/>
  </si>
  <si>
    <t>中央管理方式の空気調和設備が設置されている居室の場合は35㎥/ｈ人以上。中央管理方式でない場合は建築基準法（シックハウス対応含む）および建築物衛生法を満たす換気量の1.4倍となっている。</t>
    <phoneticPr fontId="27"/>
  </si>
  <si>
    <r>
      <t xml:space="preserve">4.2.2 </t>
    </r>
    <r>
      <rPr>
        <b/>
        <sz val="10"/>
        <rFont val="ＭＳ Ｐゴシック"/>
        <family val="3"/>
        <charset val="128"/>
      </rPr>
      <t>自然換気性能</t>
    </r>
    <rPh sb="6" eb="8">
      <t>シゼン</t>
    </rPh>
    <rPh sb="8" eb="10">
      <t>カンキ</t>
    </rPh>
    <rPh sb="10" eb="12">
      <t>セイノウ</t>
    </rPh>
    <phoneticPr fontId="27"/>
  </si>
  <si>
    <t>地域区分Ⅱ</t>
  </si>
  <si>
    <t>照明計画と内装計画が一体として計画されるよう、内装計画の段階で、具体的な取り組みがある。（例えば、用途に適した雰囲気を演出するための間接照明の採用や光源の色温度の計画を内装計画と合わせて実施している等）</t>
    <rPh sb="45" eb="46">
      <t>タト</t>
    </rPh>
    <rPh sb="49" eb="51">
      <t>ヨウト</t>
    </rPh>
    <rPh sb="52" eb="53">
      <t>テキ</t>
    </rPh>
    <rPh sb="55" eb="58">
      <t>フンイキ</t>
    </rPh>
    <rPh sb="59" eb="61">
      <t>エンシュツ</t>
    </rPh>
    <rPh sb="66" eb="68">
      <t>カンセツ</t>
    </rPh>
    <rPh sb="68" eb="70">
      <t>ショウメイ</t>
    </rPh>
    <rPh sb="71" eb="73">
      <t>サイヨウ</t>
    </rPh>
    <rPh sb="74" eb="75">
      <t>ヒカリ</t>
    </rPh>
    <rPh sb="75" eb="76">
      <t>ゲン</t>
    </rPh>
    <rPh sb="77" eb="78">
      <t>イロ</t>
    </rPh>
    <rPh sb="78" eb="80">
      <t>オンド</t>
    </rPh>
    <rPh sb="81" eb="83">
      <t>ケイカク</t>
    </rPh>
    <rPh sb="84" eb="86">
      <t>ナイソウ</t>
    </rPh>
    <rPh sb="86" eb="88">
      <t>ケイカク</t>
    </rPh>
    <rPh sb="89" eb="90">
      <t>ア</t>
    </rPh>
    <rPh sb="93" eb="95">
      <t>ジッシ</t>
    </rPh>
    <rPh sb="99" eb="100">
      <t>トウ</t>
    </rPh>
    <phoneticPr fontId="27"/>
  </si>
  <si>
    <r>
      <t xml:space="preserve">1.3.1 </t>
    </r>
    <r>
      <rPr>
        <b/>
        <sz val="10"/>
        <rFont val="ＭＳ Ｐゴシック"/>
        <family val="3"/>
        <charset val="128"/>
      </rPr>
      <t>維持管理に配慮した設計</t>
    </r>
    <rPh sb="6" eb="8">
      <t>イジ</t>
    </rPh>
    <rPh sb="8" eb="10">
      <t>カンリ</t>
    </rPh>
    <rPh sb="11" eb="13">
      <t>ハイリョ</t>
    </rPh>
    <rPh sb="15" eb="17">
      <t>セッケイ</t>
    </rPh>
    <phoneticPr fontId="27"/>
  </si>
  <si>
    <t>建物全体・共用部分</t>
    <phoneticPr fontId="27"/>
  </si>
  <si>
    <t>延床面積＝</t>
    <rPh sb="0" eb="1">
      <t>ノベ</t>
    </rPh>
    <rPh sb="1" eb="4">
      <t>ユカメンセキ</t>
    </rPh>
    <phoneticPr fontId="27"/>
  </si>
  <si>
    <t>備考</t>
    <rPh sb="0" eb="2">
      <t>ビコウ</t>
    </rPh>
    <phoneticPr fontId="27"/>
  </si>
  <si>
    <t>評価する取組み表の評価ポイントの合計値が18ポイント以上</t>
  </si>
  <si>
    <t>2～3</t>
  </si>
  <si>
    <t>学校版基準</t>
    <rPh sb="0" eb="2">
      <t>ガッコウ</t>
    </rPh>
    <rPh sb="2" eb="3">
      <t>バン</t>
    </rPh>
    <rPh sb="3" eb="5">
      <t>キジュン</t>
    </rPh>
    <phoneticPr fontId="27"/>
  </si>
  <si>
    <t>一般地域</t>
    <rPh sb="0" eb="2">
      <t>イッパン</t>
    </rPh>
    <rPh sb="2" eb="4">
      <t>チイキ</t>
    </rPh>
    <phoneticPr fontId="8"/>
  </si>
  <si>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7"/>
  </si>
  <si>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7"/>
  </si>
  <si>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9" type="noConversion"/>
  </si>
  <si>
    <t>年間延床面積あたり指標</t>
    <rPh sb="0" eb="2">
      <t>ネンカン</t>
    </rPh>
    <rPh sb="2" eb="3">
      <t>ノ</t>
    </rPh>
    <rPh sb="3" eb="6">
      <t>ユカメンセキ</t>
    </rPh>
    <rPh sb="9" eb="11">
      <t>シヒョウ</t>
    </rPh>
    <phoneticPr fontId="27"/>
  </si>
  <si>
    <t>プルダウン選択肢</t>
    <rPh sb="5" eb="8">
      <t>センタクシ</t>
    </rPh>
    <phoneticPr fontId="27"/>
  </si>
  <si>
    <t>　レベル　2</t>
  </si>
  <si>
    <t>■レベル　2</t>
  </si>
  <si>
    <t>45＜ [騒音レベル] ≦50</t>
    <phoneticPr fontId="27"/>
  </si>
  <si>
    <t>40＜ [騒音レベル] ≦45</t>
    <phoneticPr fontId="27"/>
  </si>
  <si>
    <t>50＜ [騒音レベル] ≦55</t>
    <phoneticPr fontId="27"/>
  </si>
  <si>
    <t>35＜ [騒音レベル] ≦40</t>
    <phoneticPr fontId="27"/>
  </si>
  <si>
    <t>　レベル　3</t>
  </si>
  <si>
    <t>■レベル　3</t>
  </si>
  <si>
    <t>30＜ [騒音レベル] ≦35</t>
    <phoneticPr fontId="27"/>
  </si>
  <si>
    <t>35＜ [騒音レベル] ≦45</t>
    <phoneticPr fontId="27"/>
  </si>
  <si>
    <t>ISS 、設備階の設置などによって、仕上げ材を痛めることなく空調配管の更新・修繕が容易にできる。</t>
    <phoneticPr fontId="27"/>
  </si>
  <si>
    <t>構造部材、仕上げ材を痛めることなく修繕、更新できる。</t>
    <phoneticPr fontId="27"/>
  </si>
  <si>
    <t>小中（北海道）</t>
    <rPh sb="0" eb="1">
      <t>ショウ</t>
    </rPh>
    <rPh sb="1" eb="2">
      <t>チュウ</t>
    </rPh>
    <rPh sb="3" eb="6">
      <t>ホッカイドウ</t>
    </rPh>
    <phoneticPr fontId="27"/>
  </si>
  <si>
    <t>小中（その他）</t>
    <rPh sb="0" eb="2">
      <t>ショウチュウ</t>
    </rPh>
    <rPh sb="5" eb="6">
      <t>ホカ</t>
    </rPh>
    <phoneticPr fontId="27"/>
  </si>
  <si>
    <t>実排出係数及び代替値</t>
    <phoneticPr fontId="27"/>
  </si>
  <si>
    <t>評価ﾚﾍﾞﾙ</t>
    <phoneticPr fontId="27"/>
  </si>
  <si>
    <t>Ａａ1</t>
    <phoneticPr fontId="27"/>
  </si>
  <si>
    <t>Ａｂ1</t>
    <phoneticPr fontId="27"/>
  </si>
  <si>
    <t>Ｂａ1</t>
    <phoneticPr fontId="27"/>
  </si>
  <si>
    <t>Ｂｂ1</t>
    <phoneticPr fontId="27"/>
  </si>
  <si>
    <t>Ｃａ1</t>
    <phoneticPr fontId="27"/>
  </si>
  <si>
    <t>ratio</t>
    <phoneticPr fontId="27"/>
  </si>
  <si>
    <t>日本建築学会による2005年産業連関表分析による日本の平均値</t>
    <rPh sb="0" eb="2">
      <t>ニホン</t>
    </rPh>
    <rPh sb="2" eb="4">
      <t>ケンチク</t>
    </rPh>
    <rPh sb="4" eb="6">
      <t>ガッカイ</t>
    </rPh>
    <rPh sb="13" eb="14">
      <t>ネン</t>
    </rPh>
    <rPh sb="14" eb="16">
      <t>サンギョウ</t>
    </rPh>
    <rPh sb="16" eb="18">
      <t>レンカン</t>
    </rPh>
    <rPh sb="18" eb="19">
      <t>ヒョウ</t>
    </rPh>
    <rPh sb="19" eb="21">
      <t>ブンセキ</t>
    </rPh>
    <rPh sb="24" eb="26">
      <t>ニホン</t>
    </rPh>
    <rPh sb="27" eb="30">
      <t>ヘイキンチ</t>
    </rPh>
    <phoneticPr fontId="27"/>
  </si>
  <si>
    <t>日本建築学会による2005年産業連関表分析による分析結果</t>
    <rPh sb="0" eb="2">
      <t>ニホン</t>
    </rPh>
    <rPh sb="2" eb="4">
      <t>ケンチク</t>
    </rPh>
    <rPh sb="4" eb="6">
      <t>ガッカイ</t>
    </rPh>
    <rPh sb="13" eb="14">
      <t>ネン</t>
    </rPh>
    <rPh sb="14" eb="16">
      <t>サンギョウ</t>
    </rPh>
    <rPh sb="16" eb="18">
      <t>レンカン</t>
    </rPh>
    <rPh sb="18" eb="19">
      <t>ヒョウ</t>
    </rPh>
    <rPh sb="19" eb="21">
      <t>ブンセキ</t>
    </rPh>
    <rPh sb="24" eb="26">
      <t>ブンセキ</t>
    </rPh>
    <rPh sb="26" eb="28">
      <t>ケッカ</t>
    </rPh>
    <phoneticPr fontId="27"/>
  </si>
  <si>
    <t>&lt;評価しない&gt;</t>
    <rPh sb="1" eb="3">
      <t>ヒョウカ</t>
    </rPh>
    <phoneticPr fontId="27"/>
  </si>
  <si>
    <t>音環境</t>
    <rPh sb="0" eb="1">
      <t>オト</t>
    </rPh>
    <rPh sb="1" eb="3">
      <t>カンキョウ</t>
    </rPh>
    <phoneticPr fontId="27"/>
  </si>
  <si>
    <t>建物全体・共用部分</t>
    <phoneticPr fontId="27"/>
  </si>
  <si>
    <t>重み係数(既定）＝</t>
    <rPh sb="0" eb="1">
      <t>オモ</t>
    </rPh>
    <rPh sb="2" eb="4">
      <t>ケイスウ</t>
    </rPh>
    <rPh sb="5" eb="7">
      <t>キテイ</t>
    </rPh>
    <phoneticPr fontId="27"/>
  </si>
  <si>
    <t>学(小中高)</t>
    <rPh sb="0" eb="1">
      <t>ガク</t>
    </rPh>
    <rPh sb="2" eb="5">
      <t>ショウチュウコウ</t>
    </rPh>
    <phoneticPr fontId="27"/>
  </si>
  <si>
    <t>病・ホ・住</t>
    <rPh sb="0" eb="1">
      <t>ビョウ</t>
    </rPh>
    <rPh sb="4" eb="5">
      <t>ジュウ</t>
    </rPh>
    <phoneticPr fontId="27"/>
  </si>
  <si>
    <t>50＜ [騒音レベル]</t>
  </si>
  <si>
    <t>45＜ [騒音レベル]</t>
  </si>
  <si>
    <t>55＜ [騒音レベル]</t>
    <phoneticPr fontId="27"/>
  </si>
  <si>
    <t>40＜ [騒音レベル]</t>
  </si>
  <si>
    <r>
      <t>kg-CO</t>
    </r>
    <r>
      <rPr>
        <vertAlign val="subscript"/>
        <sz val="9"/>
        <rFont val="ＭＳ Ｐゴシック"/>
        <family val="3"/>
        <charset val="128"/>
      </rPr>
      <t>2</t>
    </r>
    <r>
      <rPr>
        <sz val="9"/>
        <rFont val="ＭＳ Ｐゴシック"/>
        <family val="3"/>
        <charset val="128"/>
      </rPr>
      <t>/年㎡</t>
    </r>
    <rPh sb="7" eb="8">
      <t>ネン</t>
    </rPh>
    <phoneticPr fontId="27"/>
  </si>
  <si>
    <t>ライフサイクルCO2排出率が、一般的な建物（参照値）に対して１２５％以上</t>
    <rPh sb="19" eb="21">
      <t>タテモノ</t>
    </rPh>
    <phoneticPr fontId="27"/>
  </si>
  <si>
    <t>ライフサイクルCO2排出率が、一般的な建物（参照値）と同等</t>
    <rPh sb="19" eb="21">
      <t>タテモノ</t>
    </rPh>
    <phoneticPr fontId="27"/>
  </si>
  <si>
    <t>2.3.2</t>
    <phoneticPr fontId="27"/>
  </si>
  <si>
    <t>2.3.3</t>
    <phoneticPr fontId="27"/>
  </si>
  <si>
    <t xml:space="preserve"> Q2 2.3</t>
    <phoneticPr fontId="27"/>
  </si>
  <si>
    <t>2.3.3</t>
    <phoneticPr fontId="27"/>
  </si>
  <si>
    <t>2.4.1</t>
    <phoneticPr fontId="27"/>
  </si>
  <si>
    <t>3.1.1</t>
    <phoneticPr fontId="27"/>
  </si>
  <si>
    <t>3.1.2</t>
    <phoneticPr fontId="27"/>
  </si>
  <si>
    <t>3.3.1</t>
    <phoneticPr fontId="27"/>
  </si>
  <si>
    <t>3.3.2</t>
    <phoneticPr fontId="27"/>
  </si>
  <si>
    <t>3.3.3</t>
    <phoneticPr fontId="27"/>
  </si>
  <si>
    <t>3.3.4</t>
    <phoneticPr fontId="27"/>
  </si>
  <si>
    <t>3.3.5</t>
    <phoneticPr fontId="27"/>
  </si>
  <si>
    <t>3.3.6</t>
    <phoneticPr fontId="27"/>
  </si>
  <si>
    <t>Q3</t>
    <phoneticPr fontId="27"/>
  </si>
  <si>
    <t>室外環境（敷地内）</t>
    <phoneticPr fontId="27"/>
  </si>
  <si>
    <t>まちなみ・景観への配慮</t>
    <phoneticPr fontId="27"/>
  </si>
  <si>
    <t>地域性・アメニティへの配慮</t>
    <phoneticPr fontId="27"/>
  </si>
  <si>
    <t>3.1</t>
    <phoneticPr fontId="27"/>
  </si>
  <si>
    <t>地域性への配慮、快適性の向上</t>
    <phoneticPr fontId="27"/>
  </si>
  <si>
    <t>3.2</t>
    <phoneticPr fontId="27"/>
  </si>
  <si>
    <t>敷地内温熱環境の向上</t>
    <phoneticPr fontId="27"/>
  </si>
  <si>
    <t>LR</t>
    <phoneticPr fontId="39" type="noConversion"/>
  </si>
  <si>
    <t>LR</t>
    <phoneticPr fontId="39" type="noConversion"/>
  </si>
  <si>
    <t>LR1</t>
    <phoneticPr fontId="39" type="noConversion"/>
  </si>
  <si>
    <t>LR</t>
    <phoneticPr fontId="27"/>
  </si>
  <si>
    <t>エネルギー</t>
    <phoneticPr fontId="27"/>
  </si>
  <si>
    <t>2.1</t>
    <phoneticPr fontId="27"/>
  </si>
  <si>
    <t>2.2</t>
    <phoneticPr fontId="27"/>
  </si>
  <si>
    <t>3a</t>
    <phoneticPr fontId="27"/>
  </si>
  <si>
    <t>LR1 3</t>
    <phoneticPr fontId="27"/>
  </si>
  <si>
    <t>LR1 3b</t>
    <phoneticPr fontId="27"/>
  </si>
  <si>
    <t>LR</t>
    <phoneticPr fontId="27"/>
  </si>
  <si>
    <t>地域区分Ⅰ</t>
    <phoneticPr fontId="27"/>
  </si>
  <si>
    <t>2.6</t>
    <phoneticPr fontId="27"/>
  </si>
  <si>
    <t>3.1</t>
    <phoneticPr fontId="27"/>
  </si>
  <si>
    <t>3.1</t>
    <phoneticPr fontId="27"/>
  </si>
  <si>
    <t>3.2</t>
    <phoneticPr fontId="27"/>
  </si>
  <si>
    <t>3.2.1</t>
    <phoneticPr fontId="27"/>
  </si>
  <si>
    <t>消火剤</t>
    <phoneticPr fontId="27"/>
  </si>
  <si>
    <t>3.2.2</t>
    <phoneticPr fontId="27"/>
  </si>
  <si>
    <t>発泡剤（断熱材等）</t>
    <phoneticPr fontId="27"/>
  </si>
  <si>
    <t>(blank star)</t>
    <phoneticPr fontId="27"/>
  </si>
  <si>
    <t>LCCO2(kg-CO2/ym2)</t>
    <phoneticPr fontId="27"/>
  </si>
  <si>
    <t>オンサイト</t>
    <phoneticPr fontId="27"/>
  </si>
  <si>
    <t>オフサイト</t>
    <phoneticPr fontId="27"/>
  </si>
  <si>
    <t>％</t>
    <phoneticPr fontId="27"/>
  </si>
  <si>
    <t>Sum</t>
    <phoneticPr fontId="27"/>
  </si>
  <si>
    <r>
      <t>2-4</t>
    </r>
    <r>
      <rPr>
        <b/>
        <sz val="12"/>
        <color indexed="9"/>
        <rFont val="ＭＳ Ｐゴシック"/>
        <family val="3"/>
        <charset val="128"/>
      </rPr>
      <t>　中項目の評価（バーチャート）</t>
    </r>
    <phoneticPr fontId="27"/>
  </si>
  <si>
    <t>Q-2 サービス性能</t>
    <phoneticPr fontId="27"/>
  </si>
  <si>
    <t>Score(RoundDown)</t>
    <phoneticPr fontId="27"/>
  </si>
  <si>
    <t>NA</t>
    <phoneticPr fontId="27"/>
  </si>
  <si>
    <t>まちなみ景観</t>
    <phoneticPr fontId="27"/>
  </si>
  <si>
    <r>
      <t>LR</t>
    </r>
    <r>
      <rPr>
        <b/>
        <sz val="11"/>
        <color indexed="42"/>
        <rFont val="ＭＳ Ｐゴシック"/>
        <family val="3"/>
        <charset val="128"/>
      </rPr>
      <t>　環境負荷低減性</t>
    </r>
    <phoneticPr fontId="27"/>
  </si>
  <si>
    <r>
      <t>LR</t>
    </r>
    <r>
      <rPr>
        <b/>
        <i/>
        <sz val="14"/>
        <color indexed="9"/>
        <rFont val="ＭＳ Ｐゴシック"/>
        <family val="3"/>
        <charset val="128"/>
      </rPr>
      <t>のスコア</t>
    </r>
    <r>
      <rPr>
        <b/>
        <i/>
        <sz val="14"/>
        <color indexed="9"/>
        <rFont val="Arial"/>
        <family val="2"/>
      </rPr>
      <t>=</t>
    </r>
    <phoneticPr fontId="27"/>
  </si>
  <si>
    <t>Score(RoundDown)</t>
    <phoneticPr fontId="27"/>
  </si>
  <si>
    <t>Score</t>
    <phoneticPr fontId="27"/>
  </si>
  <si>
    <t>LR-1 エネルギー</t>
    <phoneticPr fontId="27"/>
  </si>
  <si>
    <t>Score(RoundDown)</t>
    <phoneticPr fontId="27"/>
  </si>
  <si>
    <t>NA</t>
    <phoneticPr fontId="27"/>
  </si>
  <si>
    <t>持続可能な森林から産出された木材</t>
    <rPh sb="0" eb="2">
      <t>ジゾク</t>
    </rPh>
    <rPh sb="2" eb="4">
      <t>カノウ</t>
    </rPh>
    <rPh sb="5" eb="7">
      <t>シンリン</t>
    </rPh>
    <rPh sb="9" eb="11">
      <t>サンシュツ</t>
    </rPh>
    <rPh sb="14" eb="16">
      <t>モクザイ</t>
    </rPh>
    <phoneticPr fontId="27"/>
  </si>
  <si>
    <t>持続可能な森林から産出された木材の使用比率が50％以上。</t>
  </si>
  <si>
    <t>部材の再利用可能性向上への取組み</t>
    <rPh sb="0" eb="2">
      <t>ブザイ</t>
    </rPh>
    <rPh sb="3" eb="11">
      <t>サイリヨウカノウセイコウジョウ</t>
    </rPh>
    <rPh sb="13" eb="15">
      <t>トリク</t>
    </rPh>
    <phoneticPr fontId="27"/>
  </si>
  <si>
    <t>解体時におけるリサイクルを促進する対策として、評価する取組みをひとつも行っていない。</t>
  </si>
  <si>
    <t>解体時におけるリサイクルを促進する対策として、評価する取組みを1ポイント以上実施している。</t>
  </si>
  <si>
    <t>解体時におけるリサイクルを促進する対策として、評価する取組みを2ポイント以上実施している。</t>
  </si>
  <si>
    <t>躯体と仕上げ材が容易に分別可能となっている</t>
  </si>
  <si>
    <t>学(小中高)・住</t>
    <rPh sb="0" eb="1">
      <t>ガク</t>
    </rPh>
    <rPh sb="2" eb="3">
      <t>ショウ</t>
    </rPh>
    <rPh sb="3" eb="4">
      <t>チュウ</t>
    </rPh>
    <rPh sb="4" eb="5">
      <t>コウ</t>
    </rPh>
    <rPh sb="7" eb="8">
      <t>ジュウ</t>
    </rPh>
    <phoneticPr fontId="27"/>
  </si>
  <si>
    <t>建物全体・共用部分</t>
    <phoneticPr fontId="27"/>
  </si>
  <si>
    <t>学（小中高）</t>
    <phoneticPr fontId="27"/>
  </si>
  <si>
    <t>ホルムアルデヒド濃度が75μg/m3以下。
かつ、トルエン濃度が195μg/m3以下。</t>
    <phoneticPr fontId="27"/>
  </si>
  <si>
    <t>建築基準法を満たしており、かつ建築基準法規制対象外となる建築材料（告示対象外の建材およびJIS・JAS規格のＦ☆☆☆☆）をほぼ全面的（床・壁・天井・天井裏の面積の合計の70％以上の面積）に採用している。</t>
    <phoneticPr fontId="27"/>
  </si>
  <si>
    <t>建築基準法を満たしており、かつ建築基準法規制対象外となる建築材料（告示対象外の建材およびJIS・JAS規格のＦ☆☆☆☆）をほぼ全面的（床・壁・天井・天井裏の面積の合計の90％以上の面積）に採用している。さらに、ホルムアルデヒド以外のVOCについても放散量が少ない建材を全面的に採用している。</t>
    <phoneticPr fontId="27"/>
  </si>
  <si>
    <t xml:space="preserve">ホルムアルデヒド濃度が50μg/m3以下。
かつ、トルエン濃度が130μg/m3以下。
</t>
    <phoneticPr fontId="27"/>
  </si>
  <si>
    <t>事・学・物・飲・会・病・ホ・工・住</t>
    <phoneticPr fontId="27"/>
  </si>
  <si>
    <t>昼光利用設備が２種類以上ある、または高度な機能を有する。</t>
    <phoneticPr fontId="27"/>
  </si>
  <si>
    <t>昼光利用設備がある。</t>
    <phoneticPr fontId="27"/>
  </si>
  <si>
    <t>建物全体・共用部分</t>
    <phoneticPr fontId="27"/>
  </si>
  <si>
    <t>-</t>
    <phoneticPr fontId="27"/>
  </si>
  <si>
    <t>水平方向から見て光源が露出せずグレアを制限している器具。G2分類の器具。</t>
    <phoneticPr fontId="27"/>
  </si>
  <si>
    <t>反射板形状の工夫、ルーバー・透光性カバーなどにより十分にグレアを制限している器具。G1、G0、V分類の器具。</t>
    <phoneticPr fontId="27"/>
  </si>
  <si>
    <t>何もない。</t>
    <phoneticPr fontId="27"/>
  </si>
  <si>
    <t>スクリーン、オーニング、庇によりグレアを制御。</t>
    <phoneticPr fontId="27"/>
  </si>
  <si>
    <t>ブラインドによりグレアを制御、もしくはスクリーン、オーニング、庇のうち2種類を組み合わせてグレアを制御。</t>
    <phoneticPr fontId="27"/>
  </si>
  <si>
    <t>カーテン、スクリーン、オーニング、庇によりグレアを制御。</t>
    <phoneticPr fontId="27"/>
  </si>
  <si>
    <t>ブラインドに、スクリーン、オーニング、庇のうち１種類以上を組合せてグレアを制御。</t>
    <phoneticPr fontId="27"/>
  </si>
  <si>
    <t>ブラインドによりグレアを制御、もしくはカーテン、スクリーン、オーニング、庇のうち、２種類以上を組み合わせて制御。</t>
    <phoneticPr fontId="27"/>
  </si>
  <si>
    <t>ブラインドに、カーテン、スクリーン、オーニング、庇のうち、１種類以上を組み合わせて制御。</t>
    <phoneticPr fontId="27"/>
  </si>
  <si>
    <t>レベル３を満たさない。</t>
    <phoneticPr fontId="27"/>
  </si>
  <si>
    <t>教室内で視界に見え方を妨害するような「まぶしさ」を感じさせる強い光源がないこと。
（解説（ア）～（ウ））</t>
    <phoneticPr fontId="27"/>
  </si>
  <si>
    <t>レベル３を満たし、かつ、カーテンを使用する、などの運用面の取り組みを行っている。</t>
    <phoneticPr fontId="27"/>
  </si>
  <si>
    <t>判定基準</t>
    <phoneticPr fontId="27"/>
  </si>
  <si>
    <t>建物全体・共用部分</t>
    <phoneticPr fontId="27"/>
  </si>
  <si>
    <t>学</t>
    <phoneticPr fontId="27"/>
  </si>
  <si>
    <t>病(待)</t>
    <phoneticPr fontId="27"/>
  </si>
  <si>
    <t>ホ</t>
    <phoneticPr fontId="27"/>
  </si>
  <si>
    <t>病</t>
    <phoneticPr fontId="27"/>
  </si>
  <si>
    <t>予備スリーブを用いれば構造部材を痛めることなく空調配管の更新・修繕ができる場合もあるが全ての配管の更新・修繕には対応できない。</t>
  </si>
  <si>
    <t>構造部材を痛めることなく修繕できるが、更新できない。</t>
  </si>
  <si>
    <t>構造部材、仕上げ材を痛めることなく修繕できるが、仕上げ材、構造部材を痛めないと更新できない。</t>
  </si>
  <si>
    <t>外部空調配管、天井スペースが確保されることによって、構造部材だけでなく仕上げ材を痛めることなく空調配管の更新・修繕ができる。</t>
  </si>
  <si>
    <t>構造部材を痛めることなく修繕、更新できる。</t>
  </si>
  <si>
    <r>
      <t xml:space="preserve">3.3.3 </t>
    </r>
    <r>
      <rPr>
        <b/>
        <sz val="10"/>
        <rFont val="ＭＳ Ｐゴシック"/>
        <family val="3"/>
        <charset val="128"/>
      </rPr>
      <t>電気配線の更新性</t>
    </r>
    <rPh sb="6" eb="8">
      <t>デンキ</t>
    </rPh>
    <rPh sb="8" eb="10">
      <t>ハイセン</t>
    </rPh>
    <rPh sb="11" eb="13">
      <t>コウシン</t>
    </rPh>
    <rPh sb="13" eb="14">
      <t>セイ</t>
    </rPh>
    <phoneticPr fontId="27"/>
  </si>
  <si>
    <t>構造部材を痛めなければ電気配線の更新・修繕ができない。</t>
  </si>
  <si>
    <t>構造部材を痛めなければ通信配線の更新・修繕ができない。</t>
  </si>
  <si>
    <t>構造部材だけでなく、仕上げ材を痛めることなく電気配線の更新・修繕ができる。</t>
  </si>
  <si>
    <t>仕上げ材を痛めることなく通信配線の更新・修繕ができる。</t>
  </si>
  <si>
    <r>
      <t xml:space="preserve">3.3.5 </t>
    </r>
    <r>
      <rPr>
        <b/>
        <sz val="10"/>
        <rFont val="ＭＳ Ｐゴシック"/>
        <family val="3"/>
        <charset val="128"/>
      </rPr>
      <t>設備機器の更新性</t>
    </r>
    <rPh sb="6" eb="8">
      <t>セツビ</t>
    </rPh>
    <rPh sb="8" eb="10">
      <t>キキ</t>
    </rPh>
    <rPh sb="11" eb="13">
      <t>コウシン</t>
    </rPh>
    <rPh sb="13" eb="14">
      <t>セイ</t>
    </rPh>
    <phoneticPr fontId="27"/>
  </si>
  <si>
    <r>
      <t xml:space="preserve">3.3.6 </t>
    </r>
    <r>
      <rPr>
        <b/>
        <sz val="10"/>
        <rFont val="ＭＳ Ｐゴシック"/>
        <family val="3"/>
        <charset val="128"/>
      </rPr>
      <t>バックアップスペースの確保</t>
    </r>
    <rPh sb="17" eb="19">
      <t>カクホ</t>
    </rPh>
    <phoneticPr fontId="27"/>
  </si>
  <si>
    <t>バックアップ設備のためのスペースが計画的に確保されていない。</t>
  </si>
  <si>
    <t>11年以上～20年未満</t>
  </si>
  <si>
    <t>屋外露出ダクト、厨房排気ダクト、高湿系排気ダクトなど亜鉛鉄板では耐用年数が一般空調換気と比較して短くなると考えられる系統にステンレスダクトやガルバリウムダクトなど長寿命化を図っている。または、内部結露水を適切に排水できるようにな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81" eb="82">
      <t>チョウ</t>
    </rPh>
    <rPh sb="82" eb="85">
      <t>ジュミョウカ</t>
    </rPh>
    <rPh sb="86" eb="87">
      <t>ハカ</t>
    </rPh>
    <rPh sb="96" eb="98">
      <t>ナイブ</t>
    </rPh>
    <rPh sb="98" eb="100">
      <t>ケツロ</t>
    </rPh>
    <rPh sb="100" eb="101">
      <t>スイ</t>
    </rPh>
    <rPh sb="102" eb="104">
      <t>テキセツ</t>
    </rPh>
    <rPh sb="105" eb="107">
      <t>ハイスイ</t>
    </rPh>
    <phoneticPr fontId="27"/>
  </si>
  <si>
    <t>25年以上</t>
  </si>
  <si>
    <t>屋外露出ダクト、厨房排気ダクト、高湿系排気ダクトなど亜鉛鉄板では耐用年数が一般空調換気と比較して短くなると考えられる系統の90％以上の範囲にステンレスダクトやガルバリウムダクトなど長寿命化を図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64" eb="66">
      <t>イジョウ</t>
    </rPh>
    <rPh sb="67" eb="69">
      <t>ハンイ</t>
    </rPh>
    <rPh sb="90" eb="91">
      <t>チョウ</t>
    </rPh>
    <rPh sb="91" eb="94">
      <t>ジュミョウカ</t>
    </rPh>
    <rPh sb="95" eb="96">
      <t>ハカ</t>
    </rPh>
    <phoneticPr fontId="27"/>
  </si>
  <si>
    <t>昼間（am8時～pm7時）、朝・夕（am6時～am8時、pm7時～pm10時）、夜間（pm10時～翌朝6時）のいずれの計測時も下記を満たしていること</t>
    <phoneticPr fontId="27"/>
  </si>
  <si>
    <t>昼間</t>
    <phoneticPr fontId="27"/>
  </si>
  <si>
    <t>朝・夕</t>
    <phoneticPr fontId="27"/>
  </si>
  <si>
    <t>夜間</t>
    <phoneticPr fontId="27"/>
  </si>
  <si>
    <t>50dB以下</t>
    <phoneticPr fontId="27"/>
  </si>
  <si>
    <t>35dB以下</t>
    <phoneticPr fontId="27"/>
  </si>
  <si>
    <t>30dB以下</t>
    <phoneticPr fontId="27"/>
  </si>
  <si>
    <t>昼間</t>
    <phoneticPr fontId="27"/>
  </si>
  <si>
    <t>朝・夕</t>
    <phoneticPr fontId="27"/>
  </si>
  <si>
    <t>夜間</t>
    <phoneticPr fontId="27"/>
  </si>
  <si>
    <r>
      <t xml:space="preserve">3.1.2 </t>
    </r>
    <r>
      <rPr>
        <b/>
        <sz val="10"/>
        <rFont val="ＭＳ Ｐゴシック"/>
        <family val="3"/>
        <charset val="128"/>
      </rPr>
      <t>振動</t>
    </r>
    <phoneticPr fontId="27"/>
  </si>
  <si>
    <r>
      <t xml:space="preserve">3.1.1 </t>
    </r>
    <r>
      <rPr>
        <b/>
        <sz val="10"/>
        <rFont val="ＭＳ Ｐゴシック"/>
        <family val="3"/>
        <charset val="128"/>
      </rPr>
      <t>階高のゆとり</t>
    </r>
    <phoneticPr fontId="27"/>
  </si>
  <si>
    <t>病・ホ</t>
    <phoneticPr fontId="27"/>
  </si>
  <si>
    <t>住</t>
    <phoneticPr fontId="27"/>
  </si>
  <si>
    <t>3.3ｍ未満</t>
    <phoneticPr fontId="27"/>
  </si>
  <si>
    <t>3.1ｍ未満</t>
    <phoneticPr fontId="27"/>
  </si>
  <si>
    <t>2.7ｍ未満</t>
    <phoneticPr fontId="27"/>
  </si>
  <si>
    <t>3.3ｍ以上、3.5ｍ未満</t>
    <phoneticPr fontId="27"/>
  </si>
  <si>
    <t>3.1ｍ以上、3.3ｍ未満</t>
    <phoneticPr fontId="27"/>
  </si>
  <si>
    <t>3.5ｍ以上、3.7ｍ未満</t>
    <phoneticPr fontId="27"/>
  </si>
  <si>
    <t>2.8ｍ以上、2.9ｍ未満</t>
    <phoneticPr fontId="27"/>
  </si>
  <si>
    <t>3.7ｍ以上、3.9ｍ未満</t>
    <phoneticPr fontId="27"/>
  </si>
  <si>
    <t>3.9ｍ以上</t>
    <phoneticPr fontId="27"/>
  </si>
  <si>
    <t>3.7ｍ以上</t>
    <phoneticPr fontId="27"/>
  </si>
  <si>
    <t>3.0ｍ以上</t>
    <phoneticPr fontId="27"/>
  </si>
  <si>
    <t>建物全体・共用部分</t>
    <phoneticPr fontId="27"/>
  </si>
  <si>
    <t>設備システムの高効率化</t>
    <rPh sb="0" eb="2">
      <t>セツビ</t>
    </rPh>
    <rPh sb="7" eb="11">
      <t>コウコウリツカ</t>
    </rPh>
    <phoneticPr fontId="27"/>
  </si>
  <si>
    <t>各住戸または各客室に100Mbitクラスのブロードバンドが利用可能な環境が整備されていること。</t>
  </si>
  <si>
    <r>
      <t xml:space="preserve">1.1.3 </t>
    </r>
    <r>
      <rPr>
        <b/>
        <sz val="10"/>
        <rFont val="ＭＳ Ｐゴシック"/>
        <family val="3"/>
        <charset val="128"/>
      </rPr>
      <t>バリアフリー計画</t>
    </r>
    <rPh sb="12" eb="14">
      <t>ケイカク</t>
    </rPh>
    <phoneticPr fontId="27"/>
  </si>
  <si>
    <t>バリアフリー新法の建築物移動等円滑化基準項目の半分以上を満たしている。</t>
  </si>
  <si>
    <t>バリアフリー新法の建築物移動等円滑化基準（最低限のレベル）を満たしている。</t>
  </si>
  <si>
    <t>バリアフリー新法の建築物移動等円滑化誘導基準（望ましいレベル）を満たしている。</t>
  </si>
  <si>
    <t>心理性・快適性</t>
    <rPh sb="0" eb="2">
      <t>シンリ</t>
    </rPh>
    <rPh sb="2" eb="3">
      <t>セイ</t>
    </rPh>
    <rPh sb="4" eb="6">
      <t>カイテキ</t>
    </rPh>
    <rPh sb="6" eb="7">
      <t>セイ</t>
    </rPh>
    <phoneticPr fontId="27"/>
  </si>
  <si>
    <t>既存は事務所のみ評価</t>
    <rPh sb="0" eb="2">
      <t>キソン</t>
    </rPh>
    <rPh sb="3" eb="5">
      <t>ジム</t>
    </rPh>
    <rPh sb="5" eb="6">
      <t>ショ</t>
    </rPh>
    <rPh sb="8" eb="10">
      <t>ヒョウカ</t>
    </rPh>
    <phoneticPr fontId="27"/>
  </si>
  <si>
    <t>物・飲</t>
    <rPh sb="0" eb="1">
      <t>モノ</t>
    </rPh>
    <rPh sb="2" eb="3">
      <t>イン</t>
    </rPh>
    <phoneticPr fontId="27"/>
  </si>
  <si>
    <t>主要な用途上位3種の、2種類以上にB以上を使用し、Eは不使用。</t>
    <rPh sb="0" eb="2">
      <t>シュヨウ</t>
    </rPh>
    <rPh sb="3" eb="5">
      <t>ヨウト</t>
    </rPh>
    <rPh sb="5" eb="7">
      <t>ジョウイ</t>
    </rPh>
    <rPh sb="8" eb="9">
      <t>シュ</t>
    </rPh>
    <rPh sb="12" eb="16">
      <t>シュルイイジョウ</t>
    </rPh>
    <rPh sb="18" eb="20">
      <t>イジョウ</t>
    </rPh>
    <rPh sb="21" eb="23">
      <t>シヨウ</t>
    </rPh>
    <rPh sb="27" eb="30">
      <t>フシヨウ</t>
    </rPh>
    <phoneticPr fontId="27"/>
  </si>
  <si>
    <t>３０年以上</t>
  </si>
  <si>
    <t>＜評価しない＞</t>
    <rPh sb="1" eb="3">
      <t>ヒョウカ</t>
    </rPh>
    <phoneticPr fontId="27"/>
  </si>
  <si>
    <t>既存で評価</t>
    <rPh sb="0" eb="2">
      <t>キソン</t>
    </rPh>
    <rPh sb="3" eb="5">
      <t>ヒョウカ</t>
    </rPh>
    <phoneticPr fontId="27"/>
  </si>
  <si>
    <t>メンテナンス記録がなく判定不可能。</t>
  </si>
  <si>
    <t>全て耐用年数を超えている。</t>
  </si>
  <si>
    <t>全て耐用年数以内である。</t>
  </si>
  <si>
    <t>空調居住域の上下温度差、気流速度の目標値をおおよそ4℃以内、0.4m/s程度に設定している。トイレ・浴室などを含めた非空調部分でもスポット的空調対応が可能で、室間温度差を軽減することができる。</t>
    <phoneticPr fontId="27"/>
  </si>
  <si>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が採用されている。あるいは、その他の空調方式で、上下温度差および気流速度の目標値をおおよそ2℃以内、0.15m/s程度に設定している。</t>
    </r>
    <rPh sb="49" eb="50">
      <t>タ</t>
    </rPh>
    <rPh sb="51" eb="53">
      <t>クウチョウ</t>
    </rPh>
    <rPh sb="53" eb="55">
      <t>ホウシキ</t>
    </rPh>
    <phoneticPr fontId="27"/>
  </si>
  <si>
    <t>居住域の上下温度差や気流速度が少なくなるように配慮された空調方式＊が採用されている。上下温度差および気流速度の目標値をおおよそ2℃以内、0.15m/s程度に設定している。</t>
    <phoneticPr fontId="27"/>
  </si>
  <si>
    <t>空調居住域の上下温度差、気流速度の目標値をおおよそ2℃以内、0.2m/s程度に設定している。トイレ・浴室などを含めた全室が空調可能とし、室間温度差を無くすことができる。</t>
    <phoneticPr fontId="27"/>
  </si>
  <si>
    <t>＊　例えば、天井・床輻射冷暖房方式や床吹出し方式などを指す。</t>
    <phoneticPr fontId="27"/>
  </si>
  <si>
    <t>建物全体・共用部分</t>
    <phoneticPr fontId="27"/>
  </si>
  <si>
    <t>5℃＜ [上下温度差]</t>
    <phoneticPr fontId="27"/>
  </si>
  <si>
    <t>2℃＜ [上下温度差] ≦5℃</t>
    <phoneticPr fontId="27"/>
  </si>
  <si>
    <t>[昼光率] ＜0.5％</t>
    <phoneticPr fontId="27"/>
  </si>
  <si>
    <t>0.75％≦ [昼光率] ＜1.0％</t>
    <phoneticPr fontId="27"/>
  </si>
  <si>
    <t>集合住宅の評価</t>
    <rPh sb="0" eb="2">
      <t>シュウゴウ</t>
    </rPh>
    <rPh sb="2" eb="4">
      <t>ジュウタク</t>
    </rPh>
    <rPh sb="5" eb="7">
      <t>ヒョウカ</t>
    </rPh>
    <phoneticPr fontId="27"/>
  </si>
  <si>
    <t>LR2</t>
  </si>
  <si>
    <t>LR3</t>
  </si>
  <si>
    <t>〃</t>
  </si>
  <si>
    <t>代表的な資材の環境負荷</t>
    <rPh sb="0" eb="3">
      <t>ダイヒョウテキ</t>
    </rPh>
    <rPh sb="4" eb="6">
      <t>シザイ</t>
    </rPh>
    <rPh sb="7" eb="9">
      <t>カンキョウ</t>
    </rPh>
    <rPh sb="9" eb="11">
      <t>フカ</t>
    </rPh>
    <phoneticPr fontId="27"/>
  </si>
  <si>
    <t>建設
段階</t>
    <rPh sb="0" eb="2">
      <t>ケンセツ</t>
    </rPh>
    <rPh sb="3" eb="5">
      <t>ダンカイ</t>
    </rPh>
    <phoneticPr fontId="27"/>
  </si>
  <si>
    <r>
      <t>エンボディドCO</t>
    </r>
    <r>
      <rPr>
        <vertAlign val="subscript"/>
        <sz val="10"/>
        <rFont val="ＭＳ Ｐゴシック"/>
        <family val="3"/>
        <charset val="128"/>
      </rPr>
      <t>2</t>
    </r>
    <r>
      <rPr>
        <sz val="10"/>
        <rFont val="ＭＳ Ｐゴシック"/>
        <family val="3"/>
        <charset val="128"/>
      </rPr>
      <t>の
算定方法</t>
    </r>
    <rPh sb="11" eb="13">
      <t>サンテイ</t>
    </rPh>
    <rPh sb="13" eb="15">
      <t>ホウホウ</t>
    </rPh>
    <phoneticPr fontId="27"/>
  </si>
  <si>
    <t>左記からの、リサイクル建材の採用による削減量を推定して算定</t>
    <rPh sb="0" eb="2">
      <t>サキ</t>
    </rPh>
    <rPh sb="11" eb="13">
      <t>ケンザイ</t>
    </rPh>
    <rPh sb="14" eb="16">
      <t>サイヨウ</t>
    </rPh>
    <rPh sb="19" eb="21">
      <t>サクゲン</t>
    </rPh>
    <rPh sb="21" eb="22">
      <t>リョウ</t>
    </rPh>
    <rPh sb="23" eb="25">
      <t>スイテイ</t>
    </rPh>
    <rPh sb="27" eb="29">
      <t>サンテイ</t>
    </rPh>
    <phoneticPr fontId="27"/>
  </si>
  <si>
    <r>
      <t>CO</t>
    </r>
    <r>
      <rPr>
        <vertAlign val="subscript"/>
        <sz val="10"/>
        <rFont val="ＭＳ Ｐゴシック"/>
        <family val="3"/>
        <charset val="128"/>
      </rPr>
      <t>2</t>
    </r>
    <r>
      <rPr>
        <sz val="10"/>
        <rFont val="ＭＳ Ｐゴシック"/>
        <family val="3"/>
        <charset val="128"/>
      </rPr>
      <t>排出量原単位の
出典</t>
    </r>
    <rPh sb="3" eb="5">
      <t>ハイシュツ</t>
    </rPh>
    <rPh sb="5" eb="6">
      <t>リョウ</t>
    </rPh>
    <rPh sb="6" eb="9">
      <t>ゲンタンイ</t>
    </rPh>
    <rPh sb="11" eb="13">
      <t>シュッテン</t>
    </rPh>
    <phoneticPr fontId="27"/>
  </si>
  <si>
    <t>住まい方の提示</t>
    <rPh sb="5" eb="7">
      <t>テイジ</t>
    </rPh>
    <phoneticPr fontId="9"/>
  </si>
  <si>
    <t>エネルギーの管理と制御</t>
  </si>
  <si>
    <t>取組みなし。</t>
  </si>
  <si>
    <t>設備毎の取扱説明書が居住者に手渡されている。</t>
  </si>
  <si>
    <t>レベル３に加え、省エネに関する住まい方について一般的な説明がすまい手になされている。</t>
    <rPh sb="5" eb="6">
      <t>クワ</t>
    </rPh>
    <phoneticPr fontId="27"/>
  </si>
  <si>
    <t>レベル３に加え、当該住宅に採用された設備や仕様に関して、個別の建物・生活スタイルごとに対応した適切な説明がすまい手になされている。</t>
    <rPh sb="5" eb="6">
      <t>クワ</t>
    </rPh>
    <phoneticPr fontId="27"/>
  </si>
  <si>
    <t>4.1.1</t>
    <phoneticPr fontId="27"/>
  </si>
  <si>
    <t>4.1.2</t>
    <phoneticPr fontId="27"/>
  </si>
  <si>
    <t>4.2.1</t>
    <phoneticPr fontId="27"/>
  </si>
  <si>
    <t>4.2.2</t>
    <phoneticPr fontId="27"/>
  </si>
  <si>
    <t>LR1 4.1</t>
    <phoneticPr fontId="27"/>
  </si>
  <si>
    <t>LR1 4.1</t>
    <phoneticPr fontId="27"/>
  </si>
  <si>
    <t>LR1 4.2</t>
    <phoneticPr fontId="27"/>
  </si>
  <si>
    <t>住宅以外の評価</t>
    <rPh sb="0" eb="2">
      <t>じゅうたく</t>
    </rPh>
    <rPh sb="2" eb="4">
      <t>いがい</t>
    </rPh>
    <rPh sb="5" eb="7">
      <t>ひょうか</t>
    </rPh>
    <phoneticPr fontId="39" type="noConversion"/>
  </si>
  <si>
    <t>住宅の評価</t>
    <rPh sb="0" eb="2">
      <t>じゅうたく</t>
    </rPh>
    <rPh sb="3" eb="5">
      <t>ひょうか</t>
    </rPh>
    <phoneticPr fontId="39" type="noConversion"/>
  </si>
  <si>
    <t>躯体材料以外におけるリサイクル材の使用</t>
  </si>
  <si>
    <t>LPG</t>
  </si>
  <si>
    <t>LPG</t>
    <phoneticPr fontId="27"/>
  </si>
  <si>
    <t>⑪　専用部以外の諸設備は共用部での維持管理作業が可能となっている。</t>
    <phoneticPr fontId="27"/>
  </si>
  <si>
    <t>⑫　上記以外に維持管理用機能の確保を考慮したポイントを明確にし、実施している。</t>
    <phoneticPr fontId="27"/>
  </si>
  <si>
    <t>（１）</t>
    <phoneticPr fontId="7"/>
  </si>
  <si>
    <t>（２）</t>
    <phoneticPr fontId="7"/>
  </si>
  <si>
    <t>（３）</t>
    <phoneticPr fontId="7"/>
  </si>
  <si>
    <t>ポイント</t>
    <phoneticPr fontId="27"/>
  </si>
  <si>
    <t>空調管理は何も実施していない。</t>
    <phoneticPr fontId="27"/>
  </si>
  <si>
    <t>-1（レベル2）</t>
    <phoneticPr fontId="27"/>
  </si>
  <si>
    <t>延床面積比率</t>
    <rPh sb="0" eb="4">
      <t>ノベユカメンセキ</t>
    </rPh>
    <rPh sb="4" eb="6">
      <t>ヒリツ</t>
    </rPh>
    <phoneticPr fontId="27"/>
  </si>
  <si>
    <t>ﾚﾍﾞﾙ３</t>
  </si>
  <si>
    <t>ﾚﾍﾞﾙ４</t>
  </si>
  <si>
    <t>ﾚﾍﾞﾙ５</t>
  </si>
  <si>
    <t>同一フロアで、売り場・テナント用に細かくゾーニングがなされており、それを細かく監視するために制御センサとは別に複数の監視・計測用センサがある監視システムが設置されている。</t>
    <phoneticPr fontId="27"/>
  </si>
  <si>
    <t>建物全体・共用部分</t>
    <phoneticPr fontId="27"/>
  </si>
  <si>
    <t>住</t>
    <phoneticPr fontId="27"/>
  </si>
  <si>
    <t>レベル３を満たさない。</t>
    <phoneticPr fontId="27"/>
  </si>
  <si>
    <t>加湿機能を有し、かつ一般的な冬期40％、夏期50％の設定で計画されている。</t>
    <phoneticPr fontId="27"/>
  </si>
  <si>
    <t>加湿機能を有し、かつ一般的な冬期40～70％、夏期50～65％。の範囲で計画されている。　　　　　　　　　　</t>
    <phoneticPr fontId="27"/>
  </si>
  <si>
    <t>評価する取組み表の評価ポイントの合計値が1ポイント</t>
    <phoneticPr fontId="27"/>
  </si>
  <si>
    <t>評価する取組み表の評価ポイントの合計値が2ポイント</t>
    <phoneticPr fontId="27"/>
  </si>
  <si>
    <t>評価する取組み表の評価ポイントの合計値が3ポイント</t>
    <phoneticPr fontId="27"/>
  </si>
  <si>
    <t>評価する取組み表の評価ポイントの合計値が4ポイント以上</t>
    <phoneticPr fontId="27"/>
  </si>
  <si>
    <t>I 自転車の利用（代替交通手段の利用）に関する取組み</t>
    <phoneticPr fontId="27"/>
  </si>
  <si>
    <t>1) 建物利用者のための適切な量の自転車置場（バイク置場を含む）の確保、駐輪場利用者の利便性への配慮（出し入れし易さ、利用し易い位置にあるなど）</t>
    <phoneticPr fontId="27"/>
  </si>
  <si>
    <t>II 駐車場の確保に関する取組み</t>
    <phoneticPr fontId="27"/>
  </si>
  <si>
    <t>1) 適切な量の駐車スペースの確保（周辺道路に渋滞や路上駐車などを発生させないための措置として）</t>
    <phoneticPr fontId="27"/>
  </si>
  <si>
    <t>2) 管理用車両や荷捌き用車両の駐車施設の確保</t>
    <rPh sb="3" eb="6">
      <t>カンリヨウ</t>
    </rPh>
    <rPh sb="6" eb="8">
      <t>シャリョウ</t>
    </rPh>
    <phoneticPr fontId="27"/>
  </si>
  <si>
    <t>3) 駐車場の導入路（出入り口など）の位置や形状・数への配慮（周辺道路の渋滞緩和に資するもの）</t>
    <phoneticPr fontId="27"/>
  </si>
  <si>
    <t>評価する取組み表の評価ポイントの合計値が1ポイント以下</t>
    <phoneticPr fontId="27"/>
  </si>
  <si>
    <t>評価する取組み表の評価ポイントの合計値が2ポイント</t>
    <phoneticPr fontId="27"/>
  </si>
  <si>
    <t>室内空調機からの騒音</t>
    <rPh sb="8" eb="10">
      <t>ソウオン</t>
    </rPh>
    <phoneticPr fontId="27"/>
  </si>
  <si>
    <t>防音カバー、位置など</t>
  </si>
  <si>
    <t>主要な用途上位3種の、2種類以上にC以上を使用</t>
    <rPh sb="0" eb="2">
      <t>シュヨウ</t>
    </rPh>
    <rPh sb="3" eb="5">
      <t>ヨウト</t>
    </rPh>
    <rPh sb="5" eb="7">
      <t>ジョウイ</t>
    </rPh>
    <rPh sb="8" eb="9">
      <t>シュ</t>
    </rPh>
    <rPh sb="12" eb="16">
      <t>シュルイイジョウ</t>
    </rPh>
    <rPh sb="18" eb="20">
      <t>イジョウ</t>
    </rPh>
    <rPh sb="21" eb="23">
      <t>シヨウ</t>
    </rPh>
    <phoneticPr fontId="27"/>
  </si>
  <si>
    <t>１６年以上～３０年未満</t>
  </si>
  <si>
    <t>外気がレタンと混合されず、各室の必要外気量が直接各室に供給されている等、各室の負荷条件によらず、必要な場所に必要な外気量が保証されるシステムとなっている。</t>
    <phoneticPr fontId="27"/>
  </si>
  <si>
    <r>
      <t>4.3.1 CO</t>
    </r>
    <r>
      <rPr>
        <b/>
        <vertAlign val="subscript"/>
        <sz val="10"/>
        <rFont val="Arial"/>
        <family val="2"/>
      </rPr>
      <t>2</t>
    </r>
    <r>
      <rPr>
        <b/>
        <sz val="10"/>
        <rFont val="ＭＳ Ｐゴシック"/>
        <family val="3"/>
        <charset val="128"/>
      </rPr>
      <t>の監視</t>
    </r>
    <rPh sb="10" eb="12">
      <t>カンシ</t>
    </rPh>
    <phoneticPr fontId="27"/>
  </si>
  <si>
    <t>建物全体・共用部分</t>
    <phoneticPr fontId="27"/>
  </si>
  <si>
    <r>
      <t>CO</t>
    </r>
    <r>
      <rPr>
        <vertAlign val="subscript"/>
        <sz val="9"/>
        <rFont val="ＭＳ Ｐゴシック"/>
        <family val="3"/>
        <charset val="128"/>
      </rPr>
      <t>2</t>
    </r>
    <r>
      <rPr>
        <sz val="9"/>
        <rFont val="ＭＳ Ｐゴシック"/>
        <family val="3"/>
        <charset val="128"/>
      </rPr>
      <t>監視が中央で常時行えるシステムとなっている。かつ、空気質を適正に維持するための管理マニュアル等が整備されており、有効に機能している。</t>
    </r>
    <phoneticPr fontId="27"/>
  </si>
  <si>
    <r>
      <t>Q2</t>
    </r>
    <r>
      <rPr>
        <b/>
        <sz val="14"/>
        <rFont val="ＭＳ Ｐゴシック"/>
        <family val="3"/>
        <charset val="128"/>
      </rPr>
      <t>　サービス性能</t>
    </r>
    <rPh sb="7" eb="9">
      <t>セイノウ</t>
    </rPh>
    <phoneticPr fontId="27"/>
  </si>
  <si>
    <t>はい</t>
    <phoneticPr fontId="27"/>
  </si>
  <si>
    <t>いいえ</t>
    <phoneticPr fontId="27"/>
  </si>
  <si>
    <t>ホ</t>
    <phoneticPr fontId="27"/>
  </si>
  <si>
    <t>　レベル　1</t>
    <phoneticPr fontId="27"/>
  </si>
  <si>
    <t>若干の対策を行っている（評価する取組みにおいて2項目以上を採用）</t>
  </si>
  <si>
    <t>対策を行っている（評価する取組みにおいて4項目以上を採用）</t>
  </si>
  <si>
    <t>対策を行っている（評価する取組みにおいて2～3項目以上を採用）</t>
  </si>
  <si>
    <t>やや高度な対策を行っている（評価する取組みにおいて6項目以上を採用）</t>
  </si>
  <si>
    <t>高度な対策を行っている（評価する取組みにおいて全ての項目を採用）</t>
  </si>
  <si>
    <t>A.住宅以外の建築物における設備騒音対策の評価する取組み</t>
    <rPh sb="2" eb="4">
      <t>ジュウタク</t>
    </rPh>
    <rPh sb="4" eb="6">
      <t>イガイ</t>
    </rPh>
    <rPh sb="7" eb="10">
      <t>ケンチクブツ</t>
    </rPh>
    <rPh sb="14" eb="16">
      <t>セツビ</t>
    </rPh>
    <rPh sb="16" eb="18">
      <t>ソウオン</t>
    </rPh>
    <rPh sb="18" eb="20">
      <t>タイサク</t>
    </rPh>
    <rPh sb="21" eb="23">
      <t>ヒョウカ</t>
    </rPh>
    <rPh sb="25" eb="26">
      <t>ト</t>
    </rPh>
    <rPh sb="26" eb="27">
      <t>ク</t>
    </rPh>
    <phoneticPr fontId="27"/>
  </si>
  <si>
    <t>2,000㎡未満の基準で評価する。</t>
    <rPh sb="6" eb="8">
      <t>ミマン</t>
    </rPh>
    <rPh sb="9" eb="11">
      <t>キジュン</t>
    </rPh>
    <rPh sb="12" eb="14">
      <t>ヒョウカ</t>
    </rPh>
    <phoneticPr fontId="27"/>
  </si>
  <si>
    <t>ビル用マルチCOP評価</t>
  </si>
  <si>
    <t>個別分散空調システムの効率評価</t>
  </si>
  <si>
    <t>変風量制御の評価</t>
  </si>
  <si>
    <t>各種制御の評価</t>
  </si>
  <si>
    <t>昼光利用、人感センサーなどによる削減エネルギー量</t>
  </si>
  <si>
    <t>その他</t>
  </si>
  <si>
    <t>CGS評価</t>
  </si>
  <si>
    <t>各種連携制御</t>
    <rPh sb="0" eb="2">
      <t>カクシュ</t>
    </rPh>
    <rPh sb="2" eb="4">
      <t>レンケイ</t>
    </rPh>
    <rPh sb="4" eb="6">
      <t>セイギョ</t>
    </rPh>
    <phoneticPr fontId="27"/>
  </si>
  <si>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以上となっている。加えて、通信に関しては、ビル内へ光ファイバーが引き込まれている。</t>
    </r>
    <phoneticPr fontId="27"/>
  </si>
  <si>
    <t>居室面積の1/8以上の開閉可能な窓を確保している。</t>
  </si>
  <si>
    <t>3.2.3</t>
    <phoneticPr fontId="27"/>
  </si>
  <si>
    <t>LR3</t>
    <phoneticPr fontId="39" type="noConversion"/>
  </si>
  <si>
    <t>LR</t>
    <phoneticPr fontId="27"/>
  </si>
  <si>
    <t>敷地外環境</t>
    <phoneticPr fontId="27"/>
  </si>
  <si>
    <t>2.1</t>
    <phoneticPr fontId="27"/>
  </si>
  <si>
    <t>2.1</t>
    <phoneticPr fontId="27"/>
  </si>
  <si>
    <t>2.2</t>
    <phoneticPr fontId="27"/>
  </si>
  <si>
    <t>2.3</t>
    <phoneticPr fontId="27"/>
  </si>
  <si>
    <t>2.3</t>
    <phoneticPr fontId="27"/>
  </si>
  <si>
    <t>2.3.1</t>
    <phoneticPr fontId="27"/>
  </si>
  <si>
    <t>2.3.2</t>
    <phoneticPr fontId="27"/>
  </si>
  <si>
    <t>2.3.3</t>
    <phoneticPr fontId="27"/>
  </si>
  <si>
    <t>2.3.3</t>
    <phoneticPr fontId="27"/>
  </si>
  <si>
    <t>2.3.4</t>
    <phoneticPr fontId="27"/>
  </si>
  <si>
    <t>2.3.4</t>
    <phoneticPr fontId="27"/>
  </si>
  <si>
    <t>3.1</t>
    <phoneticPr fontId="27"/>
  </si>
  <si>
    <t>3.1</t>
    <phoneticPr fontId="27"/>
  </si>
  <si>
    <t>3.1.1</t>
    <phoneticPr fontId="27"/>
  </si>
  <si>
    <t>3.1.1</t>
    <phoneticPr fontId="27"/>
  </si>
  <si>
    <t>3.1.2</t>
    <phoneticPr fontId="27"/>
  </si>
  <si>
    <t>3.1.3</t>
    <phoneticPr fontId="27"/>
  </si>
  <si>
    <t>3.2</t>
    <phoneticPr fontId="27"/>
  </si>
  <si>
    <t>風害、日照阻害の抑制</t>
    <phoneticPr fontId="39" type="noConversion"/>
  </si>
  <si>
    <t>3.2.1</t>
    <phoneticPr fontId="27"/>
  </si>
  <si>
    <t>風害の抑制</t>
    <phoneticPr fontId="39" type="noConversion"/>
  </si>
  <si>
    <t>3.2.2</t>
    <phoneticPr fontId="27"/>
  </si>
  <si>
    <t>LR3 3.2</t>
    <phoneticPr fontId="27"/>
  </si>
  <si>
    <t>3.2.3</t>
    <phoneticPr fontId="27"/>
  </si>
  <si>
    <t>3.3</t>
    <phoneticPr fontId="27"/>
  </si>
  <si>
    <t>3.3.1</t>
    <phoneticPr fontId="27"/>
  </si>
  <si>
    <t>屋外照明及び屋内照明のうち外に漏れる光への対策</t>
    <phoneticPr fontId="39" type="noConversion"/>
  </si>
  <si>
    <t>レベル</t>
    <phoneticPr fontId="27"/>
  </si>
  <si>
    <t>２０</t>
    <phoneticPr fontId="27"/>
  </si>
  <si>
    <t>２５</t>
    <phoneticPr fontId="27"/>
  </si>
  <si>
    <t>３０</t>
    <phoneticPr fontId="27"/>
  </si>
  <si>
    <t>３５</t>
    <phoneticPr fontId="27"/>
  </si>
  <si>
    <t>４０</t>
    <phoneticPr fontId="27"/>
  </si>
  <si>
    <t>ＮＣ～ＮＲ</t>
    <phoneticPr fontId="27"/>
  </si>
  <si>
    <t>１０～１５</t>
    <phoneticPr fontId="27"/>
  </si>
  <si>
    <t>１５～２０</t>
    <phoneticPr fontId="27"/>
  </si>
  <si>
    <t>２０～２５</t>
    <phoneticPr fontId="27"/>
  </si>
  <si>
    <t>維持管理に配慮した設計において、充実した取り組みにおいて該当する項目数が行われている。（評価する取組みが 9～）</t>
    <rPh sb="0" eb="2">
      <t>イジ</t>
    </rPh>
    <rPh sb="2" eb="4">
      <t>カンリ</t>
    </rPh>
    <rPh sb="5" eb="7">
      <t>ハイリョ</t>
    </rPh>
    <rPh sb="9" eb="11">
      <t>セッケイ</t>
    </rPh>
    <rPh sb="16" eb="18">
      <t>ジュウジツ</t>
    </rPh>
    <rPh sb="20" eb="21">
      <t>ト</t>
    </rPh>
    <rPh sb="22" eb="23">
      <t>ク</t>
    </rPh>
    <rPh sb="36" eb="37">
      <t>オコナ</t>
    </rPh>
    <rPh sb="44" eb="46">
      <t>ヒョウカ</t>
    </rPh>
    <rPh sb="48" eb="50">
      <t>トリク</t>
    </rPh>
    <phoneticPr fontId="27"/>
  </si>
  <si>
    <t>評価内容</t>
    <rPh sb="0" eb="2">
      <t>ヒョウカ</t>
    </rPh>
    <rPh sb="2" eb="4">
      <t>ナイヨウ</t>
    </rPh>
    <phoneticPr fontId="27"/>
  </si>
  <si>
    <t>評価項目</t>
    <rPh sb="0" eb="2">
      <t>ヒョウカ</t>
    </rPh>
    <rPh sb="2" eb="4">
      <t>コウモク</t>
    </rPh>
    <phoneticPr fontId="27"/>
  </si>
  <si>
    <t>評価ポイント</t>
    <rPh sb="0" eb="2">
      <t>ヒョウカ</t>
    </rPh>
    <phoneticPr fontId="27"/>
  </si>
  <si>
    <t>4) 感染症対策</t>
    <rPh sb="3" eb="6">
      <t>カンセンショウ</t>
    </rPh>
    <rPh sb="6" eb="8">
      <t>タイサク</t>
    </rPh>
    <phoneticPr fontId="27"/>
  </si>
  <si>
    <t>④　廃棄物のスペースを確保しており、搬出も容易な計画となっている。</t>
    <rPh sb="2" eb="5">
      <t>ハイキブツ</t>
    </rPh>
    <rPh sb="11" eb="13">
      <t>カクホ</t>
    </rPh>
    <rPh sb="18" eb="20">
      <t>ハンシュツ</t>
    </rPh>
    <rPh sb="21" eb="23">
      <t>ヨウイ</t>
    </rPh>
    <rPh sb="24" eb="26">
      <t>ケイカク</t>
    </rPh>
    <phoneticPr fontId="27"/>
  </si>
  <si>
    <t>　　標準計算に用いる電力の排出係数（設定値）</t>
    <rPh sb="2" eb="4">
      <t>ヒョウジュン</t>
    </rPh>
    <rPh sb="4" eb="6">
      <t>ケイサン</t>
    </rPh>
    <rPh sb="7" eb="8">
      <t>モチ</t>
    </rPh>
    <rPh sb="10" eb="12">
      <t>デンリョク</t>
    </rPh>
    <rPh sb="13" eb="15">
      <t>ハイシュツ</t>
    </rPh>
    <rPh sb="15" eb="17">
      <t>ケイスウ</t>
    </rPh>
    <rPh sb="18" eb="20">
      <t>セッテイ</t>
    </rPh>
    <rPh sb="20" eb="21">
      <t>チ</t>
    </rPh>
    <phoneticPr fontId="27"/>
  </si>
  <si>
    <t>←オプションボタン番号</t>
    <rPh sb="9" eb="11">
      <t>バンゴウ</t>
    </rPh>
    <phoneticPr fontId="27"/>
  </si>
  <si>
    <t>電力事業社名/根拠等</t>
    <rPh sb="0" eb="2">
      <t>デンリョク</t>
    </rPh>
    <rPh sb="2" eb="4">
      <t>ジギョウ</t>
    </rPh>
    <rPh sb="4" eb="6">
      <t>シャメイ</t>
    </rPh>
    <rPh sb="7" eb="9">
      <t>コンキョ</t>
    </rPh>
    <rPh sb="9" eb="10">
      <t>トウ</t>
    </rPh>
    <phoneticPr fontId="27"/>
  </si>
  <si>
    <t>排出係数</t>
    <rPh sb="0" eb="2">
      <t>ハイシュツ</t>
    </rPh>
    <rPh sb="2" eb="4">
      <t>ケイスウ</t>
    </rPh>
    <phoneticPr fontId="27"/>
  </si>
  <si>
    <t>↓事業社名</t>
    <rPh sb="1" eb="3">
      <t>ジギョウ</t>
    </rPh>
    <rPh sb="3" eb="5">
      <t>シャメイ</t>
    </rPh>
    <phoneticPr fontId="27"/>
  </si>
  <si>
    <t>↓排出係数</t>
    <rPh sb="1" eb="3">
      <t>ハイシュツ</t>
    </rPh>
    <rPh sb="3" eb="5">
      <t>ケイスウ</t>
    </rPh>
    <phoneticPr fontId="27"/>
  </si>
  <si>
    <t>排出係数</t>
    <phoneticPr fontId="27"/>
  </si>
  <si>
    <r>
      <t>kg-CO</t>
    </r>
    <r>
      <rPr>
        <vertAlign val="subscript"/>
        <sz val="10"/>
        <rFont val="ＭＳ Ｐゴシック"/>
        <family val="3"/>
        <charset val="128"/>
      </rPr>
      <t>2</t>
    </r>
    <r>
      <rPr>
        <sz val="10"/>
        <rFont val="ＭＳ Ｐゴシック"/>
        <family val="3"/>
        <charset val="128"/>
      </rPr>
      <t>/MJ</t>
    </r>
    <phoneticPr fontId="27"/>
  </si>
  <si>
    <t>住宅　共用部</t>
    <rPh sb="0" eb="2">
      <t>ジュウタク</t>
    </rPh>
    <rPh sb="3" eb="6">
      <t>キョウヨウブ</t>
    </rPh>
    <phoneticPr fontId="27"/>
  </si>
  <si>
    <t>一次エネ消費量　GJ/年</t>
    <phoneticPr fontId="27"/>
  </si>
  <si>
    <t>評価建物②</t>
    <rPh sb="0" eb="2">
      <t>ヒョウカ</t>
    </rPh>
    <rPh sb="2" eb="4">
      <t>タテモノ</t>
    </rPh>
    <phoneticPr fontId="27"/>
  </si>
  <si>
    <t>参照建物①</t>
    <rPh sb="0" eb="2">
      <t>サンショウ</t>
    </rPh>
    <rPh sb="2" eb="4">
      <t>タテモノ</t>
    </rPh>
    <phoneticPr fontId="27"/>
  </si>
  <si>
    <t>評価建物③</t>
    <rPh sb="0" eb="2">
      <t>ヒョウカ</t>
    </rPh>
    <rPh sb="2" eb="4">
      <t>タテモノ</t>
    </rPh>
    <phoneticPr fontId="27"/>
  </si>
  <si>
    <t>雑排水等を利用していない。</t>
    <rPh sb="3" eb="4">
      <t>トウ</t>
    </rPh>
    <rPh sb="5" eb="7">
      <t>リヨウ</t>
    </rPh>
    <phoneticPr fontId="7"/>
  </si>
  <si>
    <t>雑排水等を利用している。</t>
    <rPh sb="3" eb="4">
      <t>トウ</t>
    </rPh>
    <rPh sb="5" eb="7">
      <t>リヨウ</t>
    </rPh>
    <phoneticPr fontId="7"/>
  </si>
  <si>
    <t>2種類以上の雑排水等を利用している。</t>
    <rPh sb="1" eb="3">
      <t>シュルイ</t>
    </rPh>
    <rPh sb="3" eb="5">
      <t>イジョウ</t>
    </rPh>
    <rPh sb="6" eb="7">
      <t>ザツ</t>
    </rPh>
    <rPh sb="7" eb="9">
      <t>ハイスイ</t>
    </rPh>
    <rPh sb="9" eb="10">
      <t>トウ</t>
    </rPh>
    <rPh sb="11" eb="13">
      <t>リヨウ</t>
    </rPh>
    <phoneticPr fontId="7"/>
  </si>
  <si>
    <t>⑤　専用の清掃用流しや水道を設置している。</t>
    <rPh sb="2" eb="4">
      <t>センヨウ</t>
    </rPh>
    <rPh sb="5" eb="8">
      <t>セイソウヨウ</t>
    </rPh>
    <rPh sb="8" eb="9">
      <t>ナガ</t>
    </rPh>
    <rPh sb="11" eb="13">
      <t>スイドウ</t>
    </rPh>
    <rPh sb="14" eb="16">
      <t>セッチ</t>
    </rPh>
    <phoneticPr fontId="27"/>
  </si>
  <si>
    <t>LR1</t>
  </si>
  <si>
    <t>冬期24℃、夏期24℃の室温を実現することが可能な設備容量が確保されている。</t>
    <phoneticPr fontId="27"/>
  </si>
  <si>
    <t>建物全体・共用部分</t>
    <phoneticPr fontId="27"/>
  </si>
  <si>
    <t>高度な負荷変動追従ができるような制御システムである。</t>
    <phoneticPr fontId="27"/>
  </si>
  <si>
    <t>住</t>
    <phoneticPr fontId="27"/>
  </si>
  <si>
    <t>窓,外壁,屋根や床（特にピロティ）において室内への熱の侵入に対しての配慮が十分でなく、日射遮蔽性能や断熱性能が低い。</t>
    <phoneticPr fontId="27"/>
  </si>
  <si>
    <t>窓,外壁,屋根や床（特にピロティ）において、室内への熱の侵入に対しての配慮がなされており、実用上、日射遮蔽性能および断熱性能に問題がない。</t>
    <phoneticPr fontId="27"/>
  </si>
  <si>
    <t>窓,外壁,屋根や床（特にピロティ）において、室内への熱の侵入に対して、十分な配慮がなされており、最良の日射遮蔽性能および断熱性能を有する。</t>
    <phoneticPr fontId="27"/>
  </si>
  <si>
    <t>空調システムの例</t>
    <phoneticPr fontId="27"/>
  </si>
  <si>
    <t>方位別やペリメータとインテリア別などの区別が無く、１系統で空調システムが計画されており、季節別に冷暖切り替えが必要である。</t>
    <phoneticPr fontId="27"/>
  </si>
  <si>
    <t>一般的な冬期23℃、夏期26℃の設定。</t>
    <phoneticPr fontId="27"/>
  </si>
  <si>
    <t>一般的な冬期18～20℃、夏期25～28℃の設定。</t>
    <phoneticPr fontId="27"/>
  </si>
  <si>
    <t>事務所</t>
    <rPh sb="0" eb="2">
      <t>ジム</t>
    </rPh>
    <rPh sb="2" eb="3">
      <t>ショ</t>
    </rPh>
    <phoneticPr fontId="27"/>
  </si>
  <si>
    <t>学校</t>
    <rPh sb="0" eb="2">
      <t>ガッコウ</t>
    </rPh>
    <phoneticPr fontId="27"/>
  </si>
  <si>
    <r>
      <t xml:space="preserve">1.3.2 </t>
    </r>
    <r>
      <rPr>
        <b/>
        <sz val="10"/>
        <rFont val="ＭＳ Ｐゴシック"/>
        <family val="3"/>
        <charset val="128"/>
      </rPr>
      <t>維持管理用機能の確保</t>
    </r>
    <rPh sb="6" eb="8">
      <t>イジ</t>
    </rPh>
    <rPh sb="8" eb="10">
      <t>カンリ</t>
    </rPh>
    <rPh sb="10" eb="11">
      <t>ヨウ</t>
    </rPh>
    <rPh sb="11" eb="13">
      <t>キノウ</t>
    </rPh>
    <rPh sb="14" eb="16">
      <t>カクホ</t>
    </rPh>
    <phoneticPr fontId="27"/>
  </si>
  <si>
    <t>事・学・飲・物・会・病・ホ・住・工</t>
    <rPh sb="0" eb="1">
      <t>コト</t>
    </rPh>
    <rPh sb="2" eb="3">
      <t>ガク</t>
    </rPh>
    <rPh sb="4" eb="5">
      <t>ノ</t>
    </rPh>
    <rPh sb="6" eb="7">
      <t>モノ</t>
    </rPh>
    <rPh sb="8" eb="9">
      <t>カイ</t>
    </rPh>
    <rPh sb="10" eb="11">
      <t>ビョウ</t>
    </rPh>
    <rPh sb="14" eb="15">
      <t>ジュウ</t>
    </rPh>
    <rPh sb="16" eb="17">
      <t>コウ</t>
    </rPh>
    <phoneticPr fontId="27"/>
  </si>
  <si>
    <t>（調整後排出係数</t>
    <rPh sb="1" eb="4">
      <t>チョウセイゴ</t>
    </rPh>
    <rPh sb="4" eb="6">
      <t>ハイシュツ</t>
    </rPh>
    <rPh sb="6" eb="8">
      <t>ケイスウ</t>
    </rPh>
    <phoneticPr fontId="27"/>
  </si>
  <si>
    <t>kg-CO2/MJ</t>
  </si>
  <si>
    <t>都市ガス</t>
    <rPh sb="0" eb="2">
      <t>トシ</t>
    </rPh>
    <phoneticPr fontId="33"/>
  </si>
  <si>
    <t>DHC</t>
  </si>
  <si>
    <t>灯油</t>
    <rPh sb="0" eb="2">
      <t>トウユ</t>
    </rPh>
    <phoneticPr fontId="33"/>
  </si>
  <si>
    <t>Ａ重油</t>
  </si>
  <si>
    <t>その他</t>
    <rPh sb="2" eb="3">
      <t>タ</t>
    </rPh>
    <phoneticPr fontId="33"/>
  </si>
  <si>
    <t>(灯油＋A重油の平均値）</t>
    <rPh sb="1" eb="3">
      <t>トウユ</t>
    </rPh>
    <rPh sb="5" eb="7">
      <t>ジュウユ</t>
    </rPh>
    <rPh sb="8" eb="11">
      <t>ヘイキンチ</t>
    </rPh>
    <phoneticPr fontId="33"/>
  </si>
  <si>
    <t>代替値</t>
  </si>
  <si>
    <t>用途別排出原単位</t>
    <rPh sb="0" eb="2">
      <t>ヨウト</t>
    </rPh>
    <rPh sb="2" eb="3">
      <t>ベツ</t>
    </rPh>
    <rPh sb="3" eb="5">
      <t>ハイシュツ</t>
    </rPh>
    <rPh sb="5" eb="8">
      <t>ゲンタンイ</t>
    </rPh>
    <phoneticPr fontId="27"/>
  </si>
  <si>
    <t>ガス</t>
  </si>
  <si>
    <r>
      <t xml:space="preserve">4.2.3 </t>
    </r>
    <r>
      <rPr>
        <b/>
        <sz val="10"/>
        <rFont val="ＭＳ Ｐゴシック"/>
        <family val="3"/>
        <charset val="128"/>
      </rPr>
      <t>取り入れ外気への配慮</t>
    </r>
    <rPh sb="6" eb="7">
      <t>ト</t>
    </rPh>
    <rPh sb="8" eb="9">
      <t>イ</t>
    </rPh>
    <rPh sb="10" eb="12">
      <t>ガイキ</t>
    </rPh>
    <rPh sb="14" eb="16">
      <t>ハイリョ</t>
    </rPh>
    <phoneticPr fontId="27"/>
  </si>
  <si>
    <t>評価する取組みが2つ。</t>
  </si>
  <si>
    <r>
      <t xml:space="preserve">2.4.3 </t>
    </r>
    <r>
      <rPr>
        <b/>
        <sz val="10"/>
        <rFont val="ＭＳ Ｐゴシック"/>
        <family val="3"/>
        <charset val="128"/>
      </rPr>
      <t>電気設備</t>
    </r>
    <rPh sb="6" eb="8">
      <t>デンキ</t>
    </rPh>
    <rPh sb="8" eb="10">
      <t>セツビ</t>
    </rPh>
    <phoneticPr fontId="27"/>
  </si>
  <si>
    <t>建物用途</t>
    <rPh sb="0" eb="2">
      <t>タテモノ</t>
    </rPh>
    <rPh sb="2" eb="4">
      <t>ヨウト</t>
    </rPh>
    <phoneticPr fontId="27"/>
  </si>
  <si>
    <t>空間のゆとり</t>
    <rPh sb="0" eb="2">
      <t>クウカン</t>
    </rPh>
    <phoneticPr fontId="27"/>
  </si>
  <si>
    <t>事・学・物・飲・病・工</t>
    <rPh sb="8" eb="9">
      <t>ヤマイ</t>
    </rPh>
    <rPh sb="10" eb="11">
      <t>コウ</t>
    </rPh>
    <phoneticPr fontId="27"/>
  </si>
  <si>
    <t>事・学・物・飲・病・工【&lt;2000㎡】</t>
    <rPh sb="8" eb="9">
      <t>ヤマイ</t>
    </rPh>
    <rPh sb="10" eb="11">
      <t>コウ</t>
    </rPh>
    <phoneticPr fontId="27"/>
  </si>
  <si>
    <t>3.3ｍ以上、3.5ｍ未満</t>
  </si>
  <si>
    <t>2.7ｍ以上、2.8ｍ未満</t>
  </si>
  <si>
    <t>3.7ｍ以上、3.9ｍ未満</t>
  </si>
  <si>
    <t>2.9ｍ以上、3.0ｍ未満</t>
  </si>
  <si>
    <t>事・学・物・飲・会・病・工</t>
    <rPh sb="12" eb="13">
      <t>コウ</t>
    </rPh>
    <phoneticPr fontId="27"/>
  </si>
  <si>
    <t>0.7≦　[壁長さ比率]</t>
  </si>
  <si>
    <t>0.5≦　[壁長さ比率] ＜0.7</t>
  </si>
  <si>
    <t>0.3≦　[壁長さ比率] ＜0.5</t>
  </si>
  <si>
    <t>0.1≦　[壁長さ比率] ＜0.3</t>
  </si>
  <si>
    <t>荷重のゆとり</t>
    <rPh sb="0" eb="2">
      <t>カジュウ</t>
    </rPh>
    <phoneticPr fontId="27"/>
  </si>
  <si>
    <t>事・物・飲・会（固定席）・病・工</t>
    <rPh sb="0" eb="1">
      <t>コト</t>
    </rPh>
    <rPh sb="2" eb="3">
      <t>モノ</t>
    </rPh>
    <rPh sb="4" eb="5">
      <t>イン</t>
    </rPh>
    <rPh sb="6" eb="7">
      <t>カイ</t>
    </rPh>
    <rPh sb="8" eb="10">
      <t>コテイ</t>
    </rPh>
    <rPh sb="10" eb="11">
      <t>セキ</t>
    </rPh>
    <rPh sb="15" eb="16">
      <t>コウ</t>
    </rPh>
    <phoneticPr fontId="27"/>
  </si>
  <si>
    <t>会（非固定席）</t>
    <rPh sb="0" eb="1">
      <t>カイ</t>
    </rPh>
    <rPh sb="2" eb="3">
      <t>ヒ</t>
    </rPh>
    <rPh sb="3" eb="5">
      <t>コテイ</t>
    </rPh>
    <rPh sb="5" eb="6">
      <t>セキ</t>
    </rPh>
    <phoneticPr fontId="27"/>
  </si>
  <si>
    <t>（該当するレベルなし）</t>
  </si>
  <si>
    <t>2900N/㎡未満</t>
    <phoneticPr fontId="27"/>
  </si>
  <si>
    <t>3500N/㎡未満</t>
    <phoneticPr fontId="27"/>
  </si>
  <si>
    <t>2300N/㎡未満</t>
    <phoneticPr fontId="27"/>
  </si>
  <si>
    <t>1800N/㎡未満</t>
    <phoneticPr fontId="27"/>
  </si>
  <si>
    <t>2900N/㎡以上～3500N/㎡未満</t>
    <phoneticPr fontId="27"/>
  </si>
  <si>
    <t>3500N/㎡以上～4200N/㎡未満</t>
    <phoneticPr fontId="27"/>
  </si>
  <si>
    <t>LR3</t>
    <phoneticPr fontId="27"/>
  </si>
  <si>
    <t>塗り床材</t>
    <rPh sb="0" eb="1">
      <t>ヌ</t>
    </rPh>
    <rPh sb="2" eb="3">
      <t>ユカ</t>
    </rPh>
    <rPh sb="3" eb="4">
      <t>ザイ</t>
    </rPh>
    <phoneticPr fontId="27"/>
  </si>
  <si>
    <t>床仕上げ</t>
    <rPh sb="0" eb="1">
      <t>ユカ</t>
    </rPh>
    <rPh sb="1" eb="3">
      <t>シア</t>
    </rPh>
    <phoneticPr fontId="27"/>
  </si>
  <si>
    <t>床仕上げワックス</t>
    <rPh sb="0" eb="1">
      <t>ユカ</t>
    </rPh>
    <rPh sb="1" eb="3">
      <t>シア</t>
    </rPh>
    <phoneticPr fontId="27"/>
  </si>
  <si>
    <t>防腐剤</t>
    <rPh sb="0" eb="3">
      <t>ボウフザイ</t>
    </rPh>
    <phoneticPr fontId="27"/>
  </si>
  <si>
    <t>平均気流速度</t>
    <rPh sb="0" eb="2">
      <t>ヘイキン</t>
    </rPh>
    <rPh sb="2" eb="4">
      <t>キリュウ</t>
    </rPh>
    <rPh sb="4" eb="6">
      <t>ソクド</t>
    </rPh>
    <phoneticPr fontId="27"/>
  </si>
  <si>
    <t>光・視環境</t>
    <rPh sb="0" eb="1">
      <t>ﾋｶﾘ</t>
    </rPh>
    <rPh sb="2" eb="3">
      <t>ｼ</t>
    </rPh>
    <rPh sb="3" eb="5">
      <t>ｶﾝｷｮｳ</t>
    </rPh>
    <phoneticPr fontId="39" type="noConversion"/>
  </si>
  <si>
    <t>昼光利用</t>
    <rPh sb="0" eb="1">
      <t>ﾋﾙ</t>
    </rPh>
    <rPh sb="1" eb="2">
      <t>ﾋｶﾘ</t>
    </rPh>
    <rPh sb="2" eb="4">
      <t>ﾘﾖｳ</t>
    </rPh>
    <phoneticPr fontId="39" type="noConversion"/>
  </si>
  <si>
    <t>昼光率</t>
    <rPh sb="0" eb="1">
      <t>ヒル</t>
    </rPh>
    <rPh sb="1" eb="2">
      <t>ヒカリ</t>
    </rPh>
    <rPh sb="2" eb="3">
      <t>リツ</t>
    </rPh>
    <phoneticPr fontId="27"/>
  </si>
  <si>
    <t>方位別開口</t>
    <rPh sb="0" eb="2">
      <t>ホウイ</t>
    </rPh>
    <rPh sb="2" eb="3">
      <t>ベツ</t>
    </rPh>
    <rPh sb="3" eb="5">
      <t>カイコウ</t>
    </rPh>
    <phoneticPr fontId="27"/>
  </si>
  <si>
    <t>昼光利用設備</t>
    <rPh sb="0" eb="1">
      <t>ヒル</t>
    </rPh>
    <rPh sb="1" eb="2">
      <t>ヒカリ</t>
    </rPh>
    <rPh sb="2" eb="4">
      <t>リヨウ</t>
    </rPh>
    <rPh sb="4" eb="6">
      <t>セツビ</t>
    </rPh>
    <phoneticPr fontId="27"/>
  </si>
  <si>
    <t>グレア対策</t>
    <rPh sb="3" eb="5">
      <t>ﾀｲｻｸ</t>
    </rPh>
    <phoneticPr fontId="39" type="noConversion"/>
  </si>
  <si>
    <t>照明器具のグレア</t>
    <rPh sb="0" eb="2">
      <t>ショウメイ</t>
    </rPh>
    <rPh sb="2" eb="4">
      <t>キグ</t>
    </rPh>
    <phoneticPr fontId="27"/>
  </si>
  <si>
    <t>昼光制御</t>
    <rPh sb="0" eb="1">
      <t>ヒル</t>
    </rPh>
    <rPh sb="1" eb="2">
      <t>ヒカリ</t>
    </rPh>
    <rPh sb="2" eb="4">
      <t>セイギョ</t>
    </rPh>
    <phoneticPr fontId="27"/>
  </si>
  <si>
    <t>1人当たりの執務スペースが9㎡以上。</t>
  </si>
  <si>
    <r>
      <t xml:space="preserve">1.1.2 </t>
    </r>
    <r>
      <rPr>
        <b/>
        <sz val="10"/>
        <rFont val="ＭＳ Ｐゴシック"/>
        <family val="3"/>
        <charset val="128"/>
      </rPr>
      <t>高度情報通信設備対応</t>
    </r>
    <rPh sb="6" eb="8">
      <t>コウド</t>
    </rPh>
    <rPh sb="8" eb="10">
      <t>ジョウホウ</t>
    </rPh>
    <rPh sb="10" eb="12">
      <t>ツウシン</t>
    </rPh>
    <rPh sb="12" eb="14">
      <t>セツビ</t>
    </rPh>
    <rPh sb="14" eb="16">
      <t>タイオウ</t>
    </rPh>
    <phoneticPr fontId="27"/>
  </si>
  <si>
    <t>建物全体・共用部分</t>
    <phoneticPr fontId="27"/>
  </si>
  <si>
    <r>
      <t xml:space="preserve">4.3.2 </t>
    </r>
    <r>
      <rPr>
        <b/>
        <sz val="10"/>
        <rFont val="ＭＳ Ｐゴシック"/>
        <family val="3"/>
        <charset val="128"/>
      </rPr>
      <t>喫煙の制御</t>
    </r>
    <rPh sb="6" eb="8">
      <t>キツエン</t>
    </rPh>
    <rPh sb="9" eb="11">
      <t>セイギョ</t>
    </rPh>
    <phoneticPr fontId="27"/>
  </si>
  <si>
    <t>事・学・物・飲・会・工</t>
    <rPh sb="10" eb="11">
      <t>コウ</t>
    </rPh>
    <phoneticPr fontId="27"/>
  </si>
  <si>
    <t>事・学・物・飲・会・病(待)・ホ・工</t>
    <rPh sb="10" eb="11">
      <t>ヤマイ</t>
    </rPh>
    <rPh sb="12" eb="13">
      <t>マ</t>
    </rPh>
    <rPh sb="17" eb="18">
      <t>コウ</t>
    </rPh>
    <phoneticPr fontId="27"/>
  </si>
  <si>
    <t>手動による計測を前提としたシステムとなっており、必要最低限の記録がなされている。</t>
  </si>
  <si>
    <t>喫煙ブースなど、非喫煙者が煙に曝されないような対策が最低限取られている。</t>
  </si>
  <si>
    <t>手動による計測を前提としたシステムとなっており、空気質を適正に維持するための管理マニュアル等が整備されており、有効に機能している。</t>
  </si>
  <si>
    <t>ビル全体の禁煙が確認されている。または、喫煙ブースなど、非喫煙者が煙に曝されないような対策が十分に取られている。</t>
  </si>
  <si>
    <t>特定建築物に該当する場合の取組みで評価する</t>
  </si>
  <si>
    <r>
      <t xml:space="preserve">1.1.1 </t>
    </r>
    <r>
      <rPr>
        <b/>
        <sz val="10"/>
        <rFont val="ＭＳ Ｐゴシック"/>
        <family val="3"/>
        <charset val="128"/>
      </rPr>
      <t>広さ・収納性</t>
    </r>
    <rPh sb="6" eb="7">
      <t>ヒロ</t>
    </rPh>
    <rPh sb="9" eb="12">
      <t>シュウノウセイ</t>
    </rPh>
    <phoneticPr fontId="27"/>
  </si>
  <si>
    <t>事・工</t>
    <rPh sb="0" eb="1">
      <t>コト</t>
    </rPh>
    <rPh sb="2" eb="3">
      <t>コウ</t>
    </rPh>
    <phoneticPr fontId="27"/>
  </si>
  <si>
    <t>病</t>
    <rPh sb="0" eb="1">
      <t>ビョウ</t>
    </rPh>
    <phoneticPr fontId="27"/>
  </si>
  <si>
    <t>診療室</t>
    <rPh sb="0" eb="3">
      <t>シンリョウシツ</t>
    </rPh>
    <phoneticPr fontId="27"/>
  </si>
  <si>
    <t>維持管理用機能の確保において、取り組みにおいて該当する項目数が十分でない。（評価する取組みが 0～3）</t>
    <rPh sb="0" eb="2">
      <t>イジ</t>
    </rPh>
    <rPh sb="2" eb="5">
      <t>カンリヨウ</t>
    </rPh>
    <rPh sb="5" eb="7">
      <t>キノウ</t>
    </rPh>
    <rPh sb="8" eb="10">
      <t>カクホ</t>
    </rPh>
    <rPh sb="15" eb="16">
      <t>ト</t>
    </rPh>
    <rPh sb="17" eb="18">
      <t>ク</t>
    </rPh>
    <rPh sb="31" eb="33">
      <t>ジュウブン</t>
    </rPh>
    <phoneticPr fontId="27"/>
  </si>
  <si>
    <t>維持管理用機能の確保において、取り組みにおいて該当する項目数が標準的である。（評価する取組みが 4～6）</t>
    <rPh sb="0" eb="2">
      <t>イジ</t>
    </rPh>
    <rPh sb="2" eb="5">
      <t>カンリヨウ</t>
    </rPh>
    <rPh sb="5" eb="7">
      <t>キノウ</t>
    </rPh>
    <rPh sb="8" eb="10">
      <t>カクホ</t>
    </rPh>
    <rPh sb="15" eb="16">
      <t>ト</t>
    </rPh>
    <rPh sb="17" eb="18">
      <t>ク</t>
    </rPh>
    <rPh sb="31" eb="33">
      <t>ヒョウジュン</t>
    </rPh>
    <rPh sb="33" eb="34">
      <t>テキ</t>
    </rPh>
    <phoneticPr fontId="27"/>
  </si>
  <si>
    <t>維持管理用機能の確保において、取り組みにおいて該当する項目数が標準以上である。（評価する取組みが 7～9）</t>
    <rPh sb="15" eb="16">
      <t>ト</t>
    </rPh>
    <rPh sb="17" eb="18">
      <t>ク</t>
    </rPh>
    <rPh sb="31" eb="33">
      <t>ヒョウジュン</t>
    </rPh>
    <rPh sb="33" eb="35">
      <t>イジョウ</t>
    </rPh>
    <phoneticPr fontId="27"/>
  </si>
  <si>
    <t>維持管理用機能の確保において、充実した取り組みにおいて該当する項目数が行われている。（評価する取組みが 10以上）</t>
    <rPh sb="15" eb="17">
      <t>ジュウジツ</t>
    </rPh>
    <rPh sb="19" eb="20">
      <t>ト</t>
    </rPh>
    <rPh sb="21" eb="22">
      <t>ク</t>
    </rPh>
    <rPh sb="35" eb="36">
      <t>オコナ</t>
    </rPh>
    <rPh sb="54" eb="56">
      <t>イジョウ</t>
    </rPh>
    <phoneticPr fontId="27"/>
  </si>
  <si>
    <t>Lr-55</t>
    <phoneticPr fontId="27"/>
  </si>
  <si>
    <t>Lr-60</t>
    <phoneticPr fontId="27"/>
  </si>
  <si>
    <t>Lr-50</t>
    <phoneticPr fontId="27"/>
  </si>
  <si>
    <t>Lr-45</t>
    <phoneticPr fontId="27"/>
  </si>
  <si>
    <t>Lr-50　またはそれより良い</t>
    <phoneticPr fontId="27"/>
  </si>
  <si>
    <t>全般照明方式の場合で室内にかなり不快に感じる程度の非常に暗い部分がある。</t>
    <phoneticPr fontId="27"/>
  </si>
  <si>
    <t>マルチユニット型ヒートポンプ方式（冷暖同時）、二重ダクト方式（ＡＨＵで４管式）、４管式ＦＣＵ方式レベル３，４以上の細かなゾーニング（４０m2程度）による。</t>
    <phoneticPr fontId="27"/>
  </si>
  <si>
    <r>
      <t xml:space="preserve">2.1.5 </t>
    </r>
    <r>
      <rPr>
        <b/>
        <sz val="10"/>
        <rFont val="ＭＳ Ｐゴシック"/>
        <family val="3"/>
        <charset val="128"/>
      </rPr>
      <t>温度・湿度制御</t>
    </r>
    <rPh sb="6" eb="8">
      <t>オンド</t>
    </rPh>
    <rPh sb="9" eb="11">
      <t>シツド</t>
    </rPh>
    <rPh sb="11" eb="13">
      <t>セイギョ</t>
    </rPh>
    <phoneticPr fontId="27"/>
  </si>
  <si>
    <t>事・学・物・飲・会・病・ホ・工・住</t>
    <rPh sb="16" eb="17">
      <t>ジュウ</t>
    </rPh>
    <phoneticPr fontId="27"/>
  </si>
  <si>
    <t>ＯＮ-ＯＦＦによる温度・湿度制御になっている。</t>
  </si>
  <si>
    <t>比例制御、多位置制御による温度・湿度制御になっている。</t>
  </si>
  <si>
    <t>ＰＩＤ制御による温度・室内湿度になっている。</t>
  </si>
  <si>
    <t>快適センサーなどによる温度・湿度制御（快適範囲における温度制御）が可能である。</t>
  </si>
  <si>
    <r>
      <t xml:space="preserve">2.1.6 </t>
    </r>
    <r>
      <rPr>
        <b/>
        <sz val="10"/>
        <rFont val="ＭＳ Ｐゴシック"/>
        <family val="3"/>
        <charset val="128"/>
      </rPr>
      <t>個別制御</t>
    </r>
    <rPh sb="6" eb="8">
      <t>コベツ</t>
    </rPh>
    <rPh sb="8" eb="10">
      <t>セイギョ</t>
    </rPh>
    <phoneticPr fontId="27"/>
  </si>
  <si>
    <t>住</t>
    <rPh sb="0" eb="1">
      <t>ジュウ</t>
    </rPh>
    <phoneticPr fontId="27"/>
  </si>
  <si>
    <t>在室者は手元で、Low-Middle-Highの風量切り替えが可能である。</t>
  </si>
  <si>
    <t>在室者は手元で、直接温度設定やLow-Middle-Highの風量調整が可能である。ただし、熱源側は季節に応じて冷暖切り替えである。</t>
  </si>
  <si>
    <t>各室内で温度設定が可能。</t>
  </si>
  <si>
    <t>在室者は手元で、直接、温度設定や風量調整が可能である。（熱源側は冷暖同時）</t>
  </si>
  <si>
    <t>住戸内の温度を設定しつつ、各室において温度の個別設定が可能。</t>
  </si>
  <si>
    <r>
      <t xml:space="preserve">2.1.8 </t>
    </r>
    <r>
      <rPr>
        <b/>
        <sz val="10"/>
        <rFont val="ＭＳ Ｐゴシック"/>
        <family val="3"/>
        <charset val="128"/>
      </rPr>
      <t>監視システム</t>
    </r>
    <rPh sb="6" eb="8">
      <t>カンシ</t>
    </rPh>
    <phoneticPr fontId="27"/>
  </si>
  <si>
    <t>事・学・病・ホ・工</t>
    <rPh sb="4" eb="5">
      <t>ヤマイ</t>
    </rPh>
    <rPh sb="8" eb="9">
      <t>コウ</t>
    </rPh>
    <phoneticPr fontId="27"/>
  </si>
  <si>
    <t>物・飲</t>
    <rPh sb="2" eb="3">
      <t>イン</t>
    </rPh>
    <phoneticPr fontId="27"/>
  </si>
  <si>
    <t>時間外や休日時には、空調運転を行わない。</t>
  </si>
  <si>
    <t>同一フロアで熱負荷別に複数にゾーニングがなされておらず、代表的なゾーン監視のためにセンサー等の監視システムが設置されている。</t>
  </si>
  <si>
    <t>＜実施設計段階、竣工段階で詳細な評価を行う場合に記入＞</t>
    <phoneticPr fontId="27"/>
  </si>
  <si>
    <t>Quality</t>
    <phoneticPr fontId="27"/>
  </si>
  <si>
    <r>
      <t>L</t>
    </r>
    <r>
      <rPr>
        <sz val="8"/>
        <color indexed="10"/>
        <rFont val="ＭＳ Ｐゴシック"/>
        <family val="3"/>
        <charset val="128"/>
      </rPr>
      <t>：</t>
    </r>
    <r>
      <rPr>
        <sz val="8"/>
        <color indexed="10"/>
        <rFont val="Arial"/>
        <family val="2"/>
      </rPr>
      <t>Load</t>
    </r>
    <phoneticPr fontId="27"/>
  </si>
  <si>
    <r>
      <t>LR</t>
    </r>
    <r>
      <rPr>
        <sz val="8"/>
        <color indexed="10"/>
        <rFont val="ＭＳ Ｐゴシック"/>
        <family val="3"/>
        <charset val="128"/>
      </rPr>
      <t>：</t>
    </r>
    <r>
      <rPr>
        <sz val="8"/>
        <color indexed="10"/>
        <rFont val="Arial"/>
        <family val="2"/>
      </rPr>
      <t>Load Reduction</t>
    </r>
    <phoneticPr fontId="27"/>
  </si>
  <si>
    <r>
      <t>SQ</t>
    </r>
    <r>
      <rPr>
        <sz val="8"/>
        <color indexed="10"/>
        <rFont val="ＭＳ Ｐゴシック"/>
        <family val="3"/>
        <charset val="128"/>
      </rPr>
      <t>：</t>
    </r>
    <r>
      <rPr>
        <sz val="8"/>
        <color indexed="10"/>
        <rFont val="Arial"/>
        <family val="2"/>
      </rPr>
      <t>Score of Q category</t>
    </r>
    <phoneticPr fontId="27"/>
  </si>
  <si>
    <r>
      <t>SLR</t>
    </r>
    <r>
      <rPr>
        <sz val="8"/>
        <color indexed="10"/>
        <rFont val="ＭＳ Ｐゴシック"/>
        <family val="3"/>
        <charset val="128"/>
      </rPr>
      <t>：</t>
    </r>
    <r>
      <rPr>
        <sz val="8"/>
        <color indexed="10"/>
        <rFont val="Arial"/>
        <family val="2"/>
      </rPr>
      <t>Score of LR category</t>
    </r>
    <phoneticPr fontId="27"/>
  </si>
  <si>
    <r>
      <t>BEE</t>
    </r>
    <r>
      <rPr>
        <sz val="8"/>
        <color indexed="10"/>
        <rFont val="ＭＳ Ｐゴシック"/>
        <family val="3"/>
        <charset val="128"/>
      </rPr>
      <t>：</t>
    </r>
    <r>
      <rPr>
        <sz val="8"/>
        <color indexed="10"/>
        <rFont val="Arial"/>
        <family val="2"/>
      </rPr>
      <t>Building Environmental Efficiency</t>
    </r>
    <phoneticPr fontId="27"/>
  </si>
  <si>
    <t>(3)の評価はオプションとし、実施設計段階および竣工段階で可能な範囲で記入する。</t>
    <phoneticPr fontId="27"/>
  </si>
  <si>
    <t>配慮項目</t>
    <phoneticPr fontId="27"/>
  </si>
  <si>
    <t>環境配慮設計の概要記入欄</t>
    <phoneticPr fontId="27"/>
  </si>
  <si>
    <t>全体</t>
    <phoneticPr fontId="27"/>
  </si>
  <si>
    <t>weight(set)</t>
    <phoneticPr fontId="27"/>
  </si>
  <si>
    <t>Ｑ　建築物の環境品質</t>
    <phoneticPr fontId="27"/>
  </si>
  <si>
    <t>Q1</t>
    <phoneticPr fontId="39" type="noConversion"/>
  </si>
  <si>
    <t>温度・湿度制御</t>
    <phoneticPr fontId="27"/>
  </si>
  <si>
    <t>Q2</t>
    <phoneticPr fontId="39" type="noConversion"/>
  </si>
  <si>
    <t>サービス性能</t>
    <phoneticPr fontId="27"/>
  </si>
  <si>
    <t>リフレッシュスペース</t>
    <phoneticPr fontId="27"/>
  </si>
  <si>
    <t>空調配管の更新性</t>
    <phoneticPr fontId="27"/>
  </si>
  <si>
    <t>Q3</t>
    <phoneticPr fontId="39" type="noConversion"/>
  </si>
  <si>
    <t>室外環境（敷地内）</t>
    <phoneticPr fontId="27"/>
  </si>
  <si>
    <t>3b</t>
    <phoneticPr fontId="27"/>
  </si>
  <si>
    <t>エネルギー利用効率化設備</t>
    <phoneticPr fontId="27"/>
  </si>
  <si>
    <t>モニタリング</t>
    <phoneticPr fontId="39" type="noConversion"/>
  </si>
  <si>
    <t>LR2</t>
    <phoneticPr fontId="39" type="noConversion"/>
  </si>
  <si>
    <t>資源・マテリアル</t>
    <phoneticPr fontId="27"/>
  </si>
  <si>
    <t>LR3</t>
    <phoneticPr fontId="39" type="noConversion"/>
  </si>
  <si>
    <t>敷地外環境</t>
    <phoneticPr fontId="27"/>
  </si>
  <si>
    <t>温熱環境悪化の改善</t>
    <phoneticPr fontId="27"/>
  </si>
  <si>
    <t>雨水排水負荷低減</t>
    <phoneticPr fontId="39" type="noConversion"/>
  </si>
  <si>
    <t>汚水処理負荷抑制</t>
    <phoneticPr fontId="39" type="noConversion"/>
  </si>
  <si>
    <t>振動</t>
    <phoneticPr fontId="39" type="noConversion"/>
  </si>
  <si>
    <t>悪臭</t>
    <phoneticPr fontId="39" type="noConversion"/>
  </si>
  <si>
    <t>風害の抑制</t>
    <phoneticPr fontId="39" type="noConversion"/>
  </si>
  <si>
    <t>日照阻害の抑制</t>
    <phoneticPr fontId="39" type="noConversion"/>
  </si>
  <si>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7"/>
  </si>
  <si>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27"/>
  </si>
  <si>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7"/>
  </si>
  <si>
    <t>集合住宅</t>
    <phoneticPr fontId="27"/>
  </si>
  <si>
    <t>ｍ3/㎡</t>
    <phoneticPr fontId="27"/>
  </si>
  <si>
    <t>◆</t>
    <phoneticPr fontId="27"/>
  </si>
  <si>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7"/>
  </si>
  <si>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7"/>
  </si>
  <si>
    <r>
      <t>3.　運用時のエネルギーに係るCO</t>
    </r>
    <r>
      <rPr>
        <b/>
        <vertAlign val="subscript"/>
        <sz val="11"/>
        <rFont val="ＭＳ Ｐゴシック"/>
        <family val="3"/>
        <charset val="128"/>
      </rPr>
      <t>2</t>
    </r>
    <r>
      <rPr>
        <b/>
        <sz val="11"/>
        <rFont val="ＭＳ Ｐゴシック"/>
        <family val="3"/>
        <charset val="128"/>
      </rPr>
      <t>排出量</t>
    </r>
    <rPh sb="3" eb="5">
      <t>ウンヨウ</t>
    </rPh>
    <rPh sb="5" eb="6">
      <t>ジ</t>
    </rPh>
    <rPh sb="13" eb="14">
      <t>カカ</t>
    </rPh>
    <rPh sb="18" eb="20">
      <t>ハイシュツ</t>
    </rPh>
    <rPh sb="20" eb="21">
      <t>リョウ</t>
    </rPh>
    <phoneticPr fontId="27"/>
  </si>
  <si>
    <t>N.A.</t>
    <phoneticPr fontId="27"/>
  </si>
  <si>
    <r>
      <t>4.　ライフサイクルCO</t>
    </r>
    <r>
      <rPr>
        <b/>
        <vertAlign val="subscript"/>
        <sz val="11"/>
        <rFont val="ＭＳ Ｐゴシック"/>
        <family val="3"/>
        <charset val="128"/>
      </rPr>
      <t>2</t>
    </r>
    <r>
      <rPr>
        <b/>
        <sz val="11"/>
        <rFont val="ＭＳ Ｐゴシック"/>
        <family val="3"/>
        <charset val="128"/>
      </rPr>
      <t>の計算（標準計算）</t>
    </r>
    <rPh sb="14" eb="16">
      <t>ケイサン</t>
    </rPh>
    <rPh sb="17" eb="19">
      <t>ヒョウジュン</t>
    </rPh>
    <rPh sb="19" eb="21">
      <t>ケイサン</t>
    </rPh>
    <phoneticPr fontId="27"/>
  </si>
  <si>
    <r>
      <t xml:space="preserve">Q1 </t>
    </r>
    <r>
      <rPr>
        <b/>
        <sz val="14"/>
        <rFont val="ＭＳ Ｐゴシック"/>
        <family val="3"/>
        <charset val="128"/>
      </rPr>
      <t>室内環境</t>
    </r>
    <rPh sb="3" eb="5">
      <t>シツナイ</t>
    </rPh>
    <rPh sb="5" eb="7">
      <t>カンキョウ</t>
    </rPh>
    <phoneticPr fontId="27"/>
  </si>
  <si>
    <t>○</t>
    <phoneticPr fontId="27"/>
  </si>
  <si>
    <t>ON</t>
    <phoneticPr fontId="27"/>
  </si>
  <si>
    <t>dB(A)</t>
    <phoneticPr fontId="27"/>
  </si>
  <si>
    <t>建物全体・共用部分</t>
    <phoneticPr fontId="27"/>
  </si>
  <si>
    <t>住居・宿泊部分</t>
    <phoneticPr fontId="27"/>
  </si>
  <si>
    <t>小中学校</t>
    <rPh sb="0" eb="4">
      <t>ショウチュウガッコウ</t>
    </rPh>
    <phoneticPr fontId="27"/>
  </si>
  <si>
    <t>物販店</t>
    <rPh sb="0" eb="3">
      <t>ブッパンテン</t>
    </rPh>
    <phoneticPr fontId="27"/>
  </si>
  <si>
    <t>デパート・スーパー</t>
  </si>
  <si>
    <t>集会所</t>
    <rPh sb="0" eb="3">
      <t>シュウカイショ</t>
    </rPh>
    <phoneticPr fontId="27"/>
  </si>
  <si>
    <t>集会所</t>
    <rPh sb="0" eb="2">
      <t>シュウカイ</t>
    </rPh>
    <rPh sb="2" eb="3">
      <t>ジョ</t>
    </rPh>
    <phoneticPr fontId="27"/>
  </si>
  <si>
    <t>病院</t>
    <rPh sb="0" eb="2">
      <t>ビョウイン</t>
    </rPh>
    <phoneticPr fontId="27"/>
  </si>
  <si>
    <t>１作業単位で照明制御でき、かつ、端末・リモコン等で調整できる、または自動照明制御ができる。</t>
    <rPh sb="6" eb="8">
      <t>ショウメイ</t>
    </rPh>
    <rPh sb="34" eb="36">
      <t>ジドウ</t>
    </rPh>
    <rPh sb="36" eb="38">
      <t>ショウメイ</t>
    </rPh>
    <rPh sb="38" eb="40">
      <t>セイギョ</t>
    </rPh>
    <phoneticPr fontId="27"/>
  </si>
  <si>
    <t>室内の複数部分に対して端末、リモコン等で細かい照明制御ができる、または、自動照明制御ができる。</t>
    <rPh sb="23" eb="25">
      <t>ショウメイ</t>
    </rPh>
    <rPh sb="36" eb="38">
      <t>ジドウ</t>
    </rPh>
    <rPh sb="38" eb="40">
      <t>ショウメイ</t>
    </rPh>
    <rPh sb="40" eb="42">
      <t>セイギョ</t>
    </rPh>
    <phoneticPr fontId="27"/>
  </si>
  <si>
    <t>発生源対策</t>
    <rPh sb="0" eb="3">
      <t>ハッセイゲン</t>
    </rPh>
    <rPh sb="3" eb="5">
      <t>タイサク</t>
    </rPh>
    <phoneticPr fontId="27"/>
  </si>
  <si>
    <r>
      <t xml:space="preserve">4.1.1 </t>
    </r>
    <r>
      <rPr>
        <b/>
        <sz val="10"/>
        <rFont val="ＭＳ Ｐゴシック"/>
        <family val="3"/>
        <charset val="128"/>
      </rPr>
      <t>化学汚染物質</t>
    </r>
    <rPh sb="6" eb="8">
      <t>カガク</t>
    </rPh>
    <rPh sb="8" eb="10">
      <t>オセン</t>
    </rPh>
    <rPh sb="10" eb="12">
      <t>ブッシツ</t>
    </rPh>
    <phoneticPr fontId="27"/>
  </si>
  <si>
    <t>事・学・物・飲・会・病・ホ・工・住</t>
    <rPh sb="2" eb="3">
      <t>ガク</t>
    </rPh>
    <rPh sb="6" eb="7">
      <t>イン</t>
    </rPh>
    <rPh sb="8" eb="9">
      <t>カイ</t>
    </rPh>
    <rPh sb="16" eb="17">
      <t>ジュウ</t>
    </rPh>
    <phoneticPr fontId="27"/>
  </si>
  <si>
    <t>病・ホ・住</t>
    <rPh sb="0" eb="1">
      <t>ヤマイ</t>
    </rPh>
    <rPh sb="4" eb="5">
      <t>ジュウ</t>
    </rPh>
    <phoneticPr fontId="27"/>
  </si>
  <si>
    <t>レベル３を満たさない。</t>
    <phoneticPr fontId="27"/>
  </si>
  <si>
    <t>建築基準法を満たしている。</t>
    <phoneticPr fontId="27"/>
  </si>
  <si>
    <t>ホルムアルデヒド濃度が100μg/m3以下。
かつ、トルエン濃度が260μg/m3以下。
測定によらない場合、建築基準法を満たしている。</t>
    <phoneticPr fontId="27"/>
  </si>
  <si>
    <t>建築基準法を満たしており、かつ建築基準法規制対象外となる建築材料（告示対象外の建材およびJIS・JAS規格のＦ☆☆☆☆）をほぼ全面的（床・壁・天井・天井裏の面積の合計の70％以上の面積）に採用している。</t>
    <rPh sb="81" eb="83">
      <t>ゴウケイ</t>
    </rPh>
    <phoneticPr fontId="27"/>
  </si>
  <si>
    <r>
      <t xml:space="preserve">4.1.2 </t>
    </r>
    <r>
      <rPr>
        <b/>
        <sz val="10"/>
        <rFont val="ＭＳ Ｐゴシック"/>
        <family val="3"/>
        <charset val="128"/>
      </rPr>
      <t>アスベスト対策</t>
    </r>
    <rPh sb="11" eb="13">
      <t>タイサク</t>
    </rPh>
    <phoneticPr fontId="27"/>
  </si>
  <si>
    <t>既存のみ評価</t>
    <rPh sb="0" eb="2">
      <t>キソン</t>
    </rPh>
    <rPh sb="4" eb="6">
      <t>ヒョウカ</t>
    </rPh>
    <phoneticPr fontId="27"/>
  </si>
  <si>
    <t>吹き付けアスベスト等を使用しているが、封じ込め又は囲い込みが行われている。</t>
    <phoneticPr fontId="27"/>
  </si>
  <si>
    <t>吹き付けアスベスト等を一切使用していない。</t>
    <phoneticPr fontId="27"/>
  </si>
  <si>
    <r>
      <t xml:space="preserve">4.1.3 </t>
    </r>
    <r>
      <rPr>
        <b/>
        <sz val="10"/>
        <rFont val="ＭＳ Ｐゴシック"/>
        <family val="3"/>
        <charset val="128"/>
      </rPr>
      <t>ダニ・カビ等</t>
    </r>
    <rPh sb="11" eb="12">
      <t>トウ</t>
    </rPh>
    <phoneticPr fontId="27"/>
  </si>
  <si>
    <t>事・学・物・飲・会・病・ホ・工・住</t>
    <rPh sb="0" eb="1">
      <t>コト</t>
    </rPh>
    <rPh sb="2" eb="3">
      <t>ガク</t>
    </rPh>
    <rPh sb="4" eb="5">
      <t>モノ</t>
    </rPh>
    <rPh sb="6" eb="7">
      <t>イン</t>
    </rPh>
    <rPh sb="8" eb="9">
      <t>カイ</t>
    </rPh>
    <rPh sb="10" eb="11">
      <t>ヤマイ</t>
    </rPh>
    <rPh sb="16" eb="17">
      <t>ジュウ</t>
    </rPh>
    <phoneticPr fontId="27"/>
  </si>
  <si>
    <t>内装は、床・壁の50％以上～65％未満の面積において、ダニ・カビの発生を抑制、あるいは清掃・メンテナンスに配慮したものとなっている。</t>
    <rPh sb="17" eb="19">
      <t>ミマン</t>
    </rPh>
    <phoneticPr fontId="27"/>
  </si>
  <si>
    <r>
      <t xml:space="preserve">4.1.4 </t>
    </r>
    <r>
      <rPr>
        <b/>
        <sz val="10"/>
        <rFont val="ＭＳ Ｐゴシック"/>
        <family val="3"/>
        <charset val="128"/>
      </rPr>
      <t>レジオネラ対策</t>
    </r>
    <rPh sb="11" eb="13">
      <t>タイサク</t>
    </rPh>
    <phoneticPr fontId="27"/>
  </si>
  <si>
    <t>事・学・物・飲・会・工・病</t>
    <rPh sb="0" eb="1">
      <t>コト</t>
    </rPh>
    <rPh sb="2" eb="3">
      <t>ガク</t>
    </rPh>
    <rPh sb="4" eb="5">
      <t>モノ</t>
    </rPh>
    <rPh sb="6" eb="7">
      <t>イン</t>
    </rPh>
    <rPh sb="8" eb="9">
      <t>カイ</t>
    </rPh>
    <rPh sb="10" eb="11">
      <t>コウ</t>
    </rPh>
    <rPh sb="12" eb="13">
      <t>ビョウ</t>
    </rPh>
    <phoneticPr fontId="27"/>
  </si>
  <si>
    <t>冷却塔の水処理、飛散対策等が最低限施されており、給湯器も最低限の対策が施されている。</t>
  </si>
  <si>
    <t>評価する取組み表の評価ポイントの合計値が3ポイント</t>
    <phoneticPr fontId="27"/>
  </si>
  <si>
    <t>評価する取組み表の評価ポイントの合計値が4ポイント</t>
    <phoneticPr fontId="27"/>
  </si>
  <si>
    <t>評価する取組み表の評価ポイントの合計値が5ポイント以上</t>
    <phoneticPr fontId="27"/>
  </si>
  <si>
    <t>I ゴミの種類や量の推計</t>
    <phoneticPr fontId="27"/>
  </si>
  <si>
    <t>持続可能な森林から産出された木材を使用していない。</t>
    <phoneticPr fontId="27"/>
  </si>
  <si>
    <t>持続可能な森林から産出された木材を使用しているが、使用比率10％未満。</t>
    <phoneticPr fontId="27"/>
  </si>
  <si>
    <t>振動に関する規制基準値</t>
    <rPh sb="0" eb="2">
      <t>シンドウ</t>
    </rPh>
    <rPh sb="3" eb="4">
      <t>カン</t>
    </rPh>
    <rPh sb="6" eb="8">
      <t>キセイ</t>
    </rPh>
    <rPh sb="8" eb="11">
      <t>キジュンチ</t>
    </rPh>
    <phoneticPr fontId="27"/>
  </si>
  <si>
    <t>65dB以下</t>
  </si>
  <si>
    <t>建物に求められている機能が明確化されており、内装計画の段階で、その機能を促進するするための取り組みが具体的に示されている。（例えば、ホテル等では、生活空間としてのインテリアを意識して、木や石などの天然素材を導入してリビング的な演出を行うなどの積極的な工夫を行う等。）</t>
  </si>
  <si>
    <t>Dr-45</t>
  </si>
  <si>
    <t>Dr-45以上</t>
  </si>
  <si>
    <t>Dr-50以上</t>
    <rPh sb="5" eb="7">
      <t>イジョウ</t>
    </rPh>
    <phoneticPr fontId="27"/>
  </si>
  <si>
    <t>Dr-55以上</t>
    <rPh sb="5" eb="7">
      <t>イジョウ</t>
    </rPh>
    <phoneticPr fontId="27"/>
  </si>
  <si>
    <t>学</t>
    <rPh sb="0" eb="1">
      <t>ガク</t>
    </rPh>
    <phoneticPr fontId="27"/>
  </si>
  <si>
    <t>吸音</t>
    <rPh sb="0" eb="2">
      <t>キュウオン</t>
    </rPh>
    <phoneticPr fontId="27"/>
  </si>
  <si>
    <t>建物全体・共用部分</t>
    <phoneticPr fontId="27"/>
  </si>
  <si>
    <t>事・学・物・飲・会・病・ホ・工</t>
    <rPh sb="4" eb="5">
      <t>モノ</t>
    </rPh>
    <rPh sb="6" eb="7">
      <t>イン</t>
    </rPh>
    <rPh sb="8" eb="9">
      <t>カイ</t>
    </rPh>
    <phoneticPr fontId="27"/>
  </si>
  <si>
    <t>吸音材を使用していない。</t>
    <rPh sb="4" eb="6">
      <t>シヨウ</t>
    </rPh>
    <phoneticPr fontId="27"/>
  </si>
  <si>
    <t>壁、床、天井のうち一面に吸音材を使用している。</t>
    <rPh sb="9" eb="11">
      <t>イチメン</t>
    </rPh>
    <rPh sb="16" eb="18">
      <t>シヨウ</t>
    </rPh>
    <phoneticPr fontId="27"/>
  </si>
  <si>
    <t>温熱環境</t>
    <rPh sb="0" eb="2">
      <t>オンネツ</t>
    </rPh>
    <rPh sb="2" eb="4">
      <t>カンキョウ</t>
    </rPh>
    <phoneticPr fontId="27"/>
  </si>
  <si>
    <t>室温制御</t>
    <rPh sb="0" eb="2">
      <t>シツオン</t>
    </rPh>
    <rPh sb="2" eb="4">
      <t>セイギョ</t>
    </rPh>
    <phoneticPr fontId="27"/>
  </si>
  <si>
    <t>住居・宿泊部分</t>
  </si>
  <si>
    <t>病(待)・ホ・工・住</t>
    <rPh sb="2" eb="3">
      <t>マ</t>
    </rPh>
    <phoneticPr fontId="27"/>
  </si>
  <si>
    <t>病(診)</t>
    <rPh sb="2" eb="3">
      <t>ミ</t>
    </rPh>
    <phoneticPr fontId="27"/>
  </si>
  <si>
    <t>学（小中高）</t>
    <rPh sb="2" eb="5">
      <t>ショウチュウコウ</t>
    </rPh>
    <phoneticPr fontId="27"/>
  </si>
  <si>
    <t>レベル２を満たさない。</t>
  </si>
  <si>
    <t>居住域の上下温度差や気流速度について特に配慮していない空調方式が計画されている。</t>
    <phoneticPr fontId="27"/>
  </si>
  <si>
    <t>通常の空調方式であるが、居住域の上下温度差や気流速度に配慮した給排気計画がなされている。</t>
    <phoneticPr fontId="27"/>
  </si>
  <si>
    <t>通常の空調方式であるが、居住域の上下温度差や気流速度および診療室内の間仕切りなどに配慮した給排気計画がなされている。</t>
    <phoneticPr fontId="27"/>
  </si>
  <si>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t>
    </r>
    <phoneticPr fontId="27"/>
  </si>
  <si>
    <t>居住域の上下温度差や気流速度が少なくなり、また診療室内の間仕切りに配慮された空調方式*が採用されている。</t>
    <phoneticPr fontId="27"/>
  </si>
  <si>
    <t>空調居住域の上下温度差、気流速度や非空調部屋との室間温度差などが少なくなるように配慮された空調方式が計画されている。</t>
    <phoneticPr fontId="27"/>
  </si>
  <si>
    <t>居住域の上下温度差や気流速度について特に配慮していない空調方式が計画されている。</t>
    <phoneticPr fontId="27"/>
  </si>
  <si>
    <t>空調居住域の上下温度差、気流速度や非空調部屋との室間温度差などについて特に配慮していない空調方式が採用されている。</t>
    <phoneticPr fontId="27"/>
  </si>
  <si>
    <t>雨水の排水溝等</t>
    <rPh sb="0" eb="2">
      <t>アマミズ</t>
    </rPh>
    <rPh sb="3" eb="6">
      <t>ハイスイコウ</t>
    </rPh>
    <rPh sb="6" eb="7">
      <t>トウ</t>
    </rPh>
    <phoneticPr fontId="27"/>
  </si>
  <si>
    <t>耐用性・信頼性</t>
    <rPh sb="4" eb="6">
      <t>シンライ</t>
    </rPh>
    <rPh sb="6" eb="7">
      <t>セイ</t>
    </rPh>
    <phoneticPr fontId="7"/>
  </si>
  <si>
    <t>耐震･免震</t>
    <rPh sb="0" eb="2">
      <t>タイシン</t>
    </rPh>
    <rPh sb="3" eb="4">
      <t>メン</t>
    </rPh>
    <rPh sb="4" eb="5">
      <t>フル</t>
    </rPh>
    <phoneticPr fontId="7"/>
  </si>
  <si>
    <t>免震・制振性能</t>
    <rPh sb="5" eb="7">
      <t>セイノウ</t>
    </rPh>
    <phoneticPr fontId="7"/>
  </si>
  <si>
    <t>部品・部材の耐用年数</t>
    <rPh sb="0" eb="2">
      <t>ブヒン</t>
    </rPh>
    <rPh sb="3" eb="4">
      <t>ブ</t>
    </rPh>
    <rPh sb="4" eb="5">
      <t>ザイ</t>
    </rPh>
    <rPh sb="6" eb="8">
      <t>タイヨウ</t>
    </rPh>
    <rPh sb="8" eb="10">
      <t>ネンスウ</t>
    </rPh>
    <phoneticPr fontId="7"/>
  </si>
  <si>
    <t>躯体材料の耐用年数</t>
    <rPh sb="0" eb="2">
      <t>クタイ</t>
    </rPh>
    <rPh sb="2" eb="4">
      <t>ザイリョウ</t>
    </rPh>
    <rPh sb="5" eb="7">
      <t>タイヨウ</t>
    </rPh>
    <rPh sb="7" eb="9">
      <t>ネンスウ</t>
    </rPh>
    <phoneticPr fontId="7"/>
  </si>
  <si>
    <t>空調換気ダクトの更新必要間隔</t>
    <rPh sb="0" eb="2">
      <t>クウチョウ</t>
    </rPh>
    <rPh sb="2" eb="4">
      <t>カンキ</t>
    </rPh>
    <phoneticPr fontId="7"/>
  </si>
  <si>
    <t>空調・給排水配管の更新必要間隔</t>
    <rPh sb="0" eb="2">
      <t>クウチョウ</t>
    </rPh>
    <rPh sb="3" eb="4">
      <t>キュウ</t>
    </rPh>
    <rPh sb="4" eb="6">
      <t>ハイスイ</t>
    </rPh>
    <rPh sb="6" eb="8">
      <t>ハイカン</t>
    </rPh>
    <phoneticPr fontId="7"/>
  </si>
  <si>
    <t>適切な更新</t>
    <rPh sb="0" eb="2">
      <t>テキセツ</t>
    </rPh>
    <rPh sb="3" eb="5">
      <t>コウシン</t>
    </rPh>
    <phoneticPr fontId="7"/>
  </si>
  <si>
    <t>屋上（屋根）・外壁仕上げ材の更新</t>
    <rPh sb="0" eb="2">
      <t>オクジョウ</t>
    </rPh>
    <rPh sb="3" eb="5">
      <t>ヤネ</t>
    </rPh>
    <rPh sb="7" eb="9">
      <t>ガイヘキ</t>
    </rPh>
    <rPh sb="9" eb="11">
      <t>シア</t>
    </rPh>
    <rPh sb="12" eb="13">
      <t>ザイ</t>
    </rPh>
    <rPh sb="14" eb="16">
      <t>コウシン</t>
    </rPh>
    <phoneticPr fontId="7"/>
  </si>
  <si>
    <t>配管・配線材の更新</t>
    <rPh sb="0" eb="2">
      <t>ハイカン</t>
    </rPh>
    <rPh sb="3" eb="5">
      <t>ハイセン</t>
    </rPh>
    <rPh sb="5" eb="6">
      <t>ザイ</t>
    </rPh>
    <rPh sb="7" eb="9">
      <t>コウシン</t>
    </rPh>
    <phoneticPr fontId="7"/>
  </si>
  <si>
    <t>主要設備機器の更新</t>
    <rPh sb="0" eb="2">
      <t>シュヨウ</t>
    </rPh>
    <rPh sb="2" eb="4">
      <t>セツビ</t>
    </rPh>
    <rPh sb="4" eb="6">
      <t>キキ</t>
    </rPh>
    <rPh sb="7" eb="9">
      <t>コウシン</t>
    </rPh>
    <phoneticPr fontId="7"/>
  </si>
  <si>
    <t>信頼性</t>
    <rPh sb="0" eb="3">
      <t>シンライセイ</t>
    </rPh>
    <phoneticPr fontId="7"/>
  </si>
  <si>
    <t>バックアップスペースの確保</t>
    <rPh sb="11" eb="13">
      <t>カクホ</t>
    </rPh>
    <phoneticPr fontId="7"/>
  </si>
  <si>
    <t>上記以外</t>
    <rPh sb="0" eb="2">
      <t>ジョウキ</t>
    </rPh>
    <rPh sb="2" eb="4">
      <t>イガイ</t>
    </rPh>
    <phoneticPr fontId="27"/>
  </si>
  <si>
    <t xml:space="preserve"> Q2 1.3</t>
  </si>
  <si>
    <t>総合的な取組み</t>
    <rPh sb="0" eb="3">
      <t>ソウゴウテキ</t>
    </rPh>
    <rPh sb="4" eb="5">
      <t>ト</t>
    </rPh>
    <rPh sb="5" eb="6">
      <t>ク</t>
    </rPh>
    <phoneticPr fontId="27"/>
  </si>
  <si>
    <t>維持管理に配慮した設計</t>
    <rPh sb="0" eb="2">
      <t>イジ</t>
    </rPh>
    <rPh sb="2" eb="4">
      <t>カンリ</t>
    </rPh>
    <rPh sb="5" eb="7">
      <t>ハイリョ</t>
    </rPh>
    <rPh sb="9" eb="11">
      <t>セッケイ</t>
    </rPh>
    <phoneticPr fontId="27"/>
  </si>
  <si>
    <t>1.3.2</t>
  </si>
  <si>
    <t>清掃管理業務</t>
    <rPh sb="0" eb="2">
      <t>セイソウ</t>
    </rPh>
    <rPh sb="2" eb="4">
      <t>カンリ</t>
    </rPh>
    <rPh sb="4" eb="6">
      <t>ギョウム</t>
    </rPh>
    <phoneticPr fontId="27"/>
  </si>
  <si>
    <t>維持管理用機能の確保</t>
    <rPh sb="0" eb="2">
      <t>イジ</t>
    </rPh>
    <rPh sb="2" eb="5">
      <t>カンリヨウ</t>
    </rPh>
    <rPh sb="5" eb="7">
      <t>キノウ</t>
    </rPh>
    <rPh sb="8" eb="10">
      <t>カクホ</t>
    </rPh>
    <phoneticPr fontId="27"/>
  </si>
  <si>
    <t>1.3.3</t>
  </si>
  <si>
    <t>耐用性・信頼性</t>
    <rPh sb="4" eb="6">
      <t>シンライ</t>
    </rPh>
    <rPh sb="6" eb="7">
      <t>セイ</t>
    </rPh>
    <phoneticPr fontId="27"/>
  </si>
  <si>
    <t xml:space="preserve"> Q2 2</t>
  </si>
  <si>
    <t xml:space="preserve"> Q2 2.1</t>
  </si>
  <si>
    <t>耐震性</t>
  </si>
  <si>
    <t>免震・制振性能</t>
    <rPh sb="5" eb="7">
      <t>セイノウ</t>
    </rPh>
    <phoneticPr fontId="27"/>
  </si>
  <si>
    <t xml:space="preserve"> Q2 2.2</t>
  </si>
  <si>
    <t>外壁仕上げ材の補修必要間隔</t>
  </si>
  <si>
    <t>主要内装仕上げ材の更新必要間隔</t>
  </si>
  <si>
    <t>空調換気ダクトの更新必要間隔</t>
    <rPh sb="0" eb="2">
      <t>クウチョウ</t>
    </rPh>
    <rPh sb="2" eb="4">
      <t>カンキ</t>
    </rPh>
    <phoneticPr fontId="27"/>
  </si>
  <si>
    <t>空調・給排水配管の更新必要間隔</t>
    <rPh sb="0" eb="2">
      <t>クウチョウ</t>
    </rPh>
    <rPh sb="3" eb="4">
      <t>キュウ</t>
    </rPh>
    <rPh sb="4" eb="6">
      <t>ハイスイ</t>
    </rPh>
    <rPh sb="6" eb="8">
      <t>ハイカン</t>
    </rPh>
    <phoneticPr fontId="27"/>
  </si>
  <si>
    <t>主要設備機器の更新必要間隔</t>
  </si>
  <si>
    <t xml:space="preserve"> Q2 2.3</t>
  </si>
  <si>
    <t>主要設備機器の更新</t>
    <rPh sb="0" eb="2">
      <t>シュヨウ</t>
    </rPh>
    <rPh sb="2" eb="4">
      <t>セツビ</t>
    </rPh>
    <rPh sb="4" eb="6">
      <t>キキ</t>
    </rPh>
    <rPh sb="7" eb="9">
      <t>コウシン</t>
    </rPh>
    <phoneticPr fontId="27"/>
  </si>
  <si>
    <t xml:space="preserve"> Q2 2.4</t>
  </si>
  <si>
    <t>空調・換気設備</t>
  </si>
  <si>
    <t>2.4.2</t>
  </si>
  <si>
    <t>給排水・衛生設備</t>
  </si>
  <si>
    <t>2.4.3</t>
  </si>
  <si>
    <t>電気設備</t>
  </si>
  <si>
    <t>2.4.4</t>
  </si>
  <si>
    <t>機械・配管支持方法</t>
  </si>
  <si>
    <t>2.4.5</t>
  </si>
  <si>
    <t>通信・情報設備</t>
  </si>
  <si>
    <t>木　材</t>
    <rPh sb="0" eb="1">
      <t>キ</t>
    </rPh>
    <rPh sb="2" eb="3">
      <t>ザイ</t>
    </rPh>
    <phoneticPr fontId="27"/>
  </si>
  <si>
    <t>飲食店</t>
    <rPh sb="0" eb="2">
      <t>インショク</t>
    </rPh>
    <rPh sb="2" eb="3">
      <t>テン</t>
    </rPh>
    <phoneticPr fontId="27"/>
  </si>
  <si>
    <t>集合住宅</t>
    <rPh sb="0" eb="2">
      <t>シュウゴウ</t>
    </rPh>
    <rPh sb="2" eb="4">
      <t>ジュウタク</t>
    </rPh>
    <phoneticPr fontId="27"/>
  </si>
  <si>
    <t>2-2.　合計の計算</t>
    <rPh sb="5" eb="7">
      <t>ゴウケイ</t>
    </rPh>
    <rPh sb="8" eb="10">
      <t>ケイサン</t>
    </rPh>
    <phoneticPr fontId="27"/>
  </si>
  <si>
    <t>3-1.　建築物の取組み（②）</t>
    <rPh sb="5" eb="8">
      <t>ケンチクブツ</t>
    </rPh>
    <rPh sb="9" eb="11">
      <t>トリク</t>
    </rPh>
    <phoneticPr fontId="27"/>
  </si>
  <si>
    <t>参照値（①）</t>
    <rPh sb="0" eb="2">
      <t>サンショウ</t>
    </rPh>
    <rPh sb="2" eb="3">
      <t>チ</t>
    </rPh>
    <phoneticPr fontId="27"/>
  </si>
  <si>
    <t>3-2.　上記+上記以外のオンサイト手法（③）</t>
    <rPh sb="5" eb="7">
      <t>ジョウキ</t>
    </rPh>
    <rPh sb="8" eb="10">
      <t>ジョウキ</t>
    </rPh>
    <rPh sb="10" eb="12">
      <t>イガイ</t>
    </rPh>
    <rPh sb="18" eb="20">
      <t>シュホウ</t>
    </rPh>
    <phoneticPr fontId="27"/>
  </si>
  <si>
    <t>削減量</t>
    <rPh sb="0" eb="2">
      <t>サクゲン</t>
    </rPh>
    <rPh sb="2" eb="3">
      <t>リョウ</t>
    </rPh>
    <phoneticPr fontId="27"/>
  </si>
  <si>
    <t>合計  [1]</t>
    <phoneticPr fontId="27"/>
  </si>
  <si>
    <t>自家消費分</t>
    <phoneticPr fontId="27"/>
  </si>
  <si>
    <t>地域区分Ⅲ</t>
  </si>
  <si>
    <t>地域区分Ⅳ</t>
  </si>
  <si>
    <t>地域区分Ⅴ</t>
  </si>
  <si>
    <t>地域区分Ⅵ</t>
  </si>
  <si>
    <t>3.3.1</t>
    <phoneticPr fontId="27"/>
  </si>
  <si>
    <t>照度</t>
    <phoneticPr fontId="27"/>
  </si>
  <si>
    <t>3.3.2</t>
    <phoneticPr fontId="27"/>
  </si>
  <si>
    <t>※個別計算</t>
    <rPh sb="1" eb="3">
      <t>コベツ</t>
    </rPh>
    <rPh sb="3" eb="5">
      <t>ケイサン</t>
    </rPh>
    <phoneticPr fontId="27"/>
  </si>
  <si>
    <t>室内全体に対して照明制御盤、器具等による大まかな調整ができる。</t>
    <phoneticPr fontId="27"/>
  </si>
  <si>
    <t>レベル３を満たしている。かつ、部分的に自動調光ができる。</t>
    <phoneticPr fontId="27"/>
  </si>
  <si>
    <t>4500N/㎡以上</t>
    <phoneticPr fontId="27"/>
  </si>
  <si>
    <t>5200N/㎡以上</t>
    <phoneticPr fontId="27"/>
  </si>
  <si>
    <t>3500N/㎡以上</t>
    <phoneticPr fontId="27"/>
  </si>
  <si>
    <t>2900N/㎡以上</t>
    <phoneticPr fontId="27"/>
  </si>
  <si>
    <t>設備の更新性</t>
    <rPh sb="0" eb="2">
      <t>セツビ</t>
    </rPh>
    <rPh sb="3" eb="5">
      <t>コウシン</t>
    </rPh>
    <rPh sb="5" eb="6">
      <t>セイ</t>
    </rPh>
    <phoneticPr fontId="27"/>
  </si>
  <si>
    <t>構造部材を痛めなければ空調配管の更新・修繕ができない。</t>
  </si>
  <si>
    <t>構造部材、仕上げ材を痛めなければ修繕、更新できない。</t>
  </si>
  <si>
    <t>IV 防犯性の配慮</t>
    <rPh sb="7" eb="9">
      <t>ハイリョ</t>
    </rPh>
    <phoneticPr fontId="27"/>
  </si>
  <si>
    <t>新築はなし</t>
    <rPh sb="0" eb="2">
      <t>シンチク</t>
    </rPh>
    <phoneticPr fontId="27"/>
  </si>
  <si>
    <t>V 屋外施設等の適切な維持管理（植栽管理を除く）</t>
    <rPh sb="2" eb="4">
      <t>オクガイ</t>
    </rPh>
    <rPh sb="4" eb="6">
      <t>シセツ</t>
    </rPh>
    <rPh sb="6" eb="7">
      <t>トウ</t>
    </rPh>
    <rPh sb="8" eb="10">
      <t>テキセツ</t>
    </rPh>
    <rPh sb="11" eb="13">
      <t>イジ</t>
    </rPh>
    <rPh sb="13" eb="15">
      <t>カンリ</t>
    </rPh>
    <rPh sb="16" eb="18">
      <t>ショクサイ</t>
    </rPh>
    <rPh sb="18" eb="20">
      <t>カンリ</t>
    </rPh>
    <rPh sb="21" eb="22">
      <t>ノゾ</t>
    </rPh>
    <phoneticPr fontId="27"/>
  </si>
  <si>
    <t>7) 屋外施設等の適切な維持管理の実施
屋外施設等（舗装・ファニチャー等）について適切な維持管理（清掃・洗浄・補修等）が実施されている。</t>
    <rPh sb="3" eb="5">
      <t>オクガイ</t>
    </rPh>
    <rPh sb="5" eb="7">
      <t>シセツ</t>
    </rPh>
    <rPh sb="7" eb="8">
      <t>トウ</t>
    </rPh>
    <rPh sb="9" eb="11">
      <t>テキセツ</t>
    </rPh>
    <rPh sb="12" eb="14">
      <t>イジ</t>
    </rPh>
    <rPh sb="14" eb="16">
      <t>カンリ</t>
    </rPh>
    <rPh sb="17" eb="19">
      <t>ジッシ</t>
    </rPh>
    <rPh sb="20" eb="22">
      <t>オクガイ</t>
    </rPh>
    <rPh sb="22" eb="24">
      <t>シセツ</t>
    </rPh>
    <rPh sb="24" eb="25">
      <t>トウ</t>
    </rPh>
    <rPh sb="26" eb="28">
      <t>ホソウ</t>
    </rPh>
    <rPh sb="35" eb="36">
      <t>トウ</t>
    </rPh>
    <rPh sb="41" eb="43">
      <t>テキセツ</t>
    </rPh>
    <rPh sb="44" eb="46">
      <t>イジ</t>
    </rPh>
    <rPh sb="46" eb="48">
      <t>カンリ</t>
    </rPh>
    <rPh sb="49" eb="51">
      <t>セイソウ</t>
    </rPh>
    <rPh sb="52" eb="54">
      <t>センジョウ</t>
    </rPh>
    <rPh sb="55" eb="57">
      <t>ホシュウ</t>
    </rPh>
    <rPh sb="57" eb="58">
      <t>トウ</t>
    </rPh>
    <rPh sb="60" eb="62">
      <t>ジッシ</t>
    </rPh>
    <phoneticPr fontId="27"/>
  </si>
  <si>
    <t>V 建物利用者等の参加性</t>
    <rPh sb="2" eb="4">
      <t>タテモノ</t>
    </rPh>
    <rPh sb="4" eb="7">
      <t>リヨウシャ</t>
    </rPh>
    <rPh sb="7" eb="8">
      <t>トウ</t>
    </rPh>
    <rPh sb="9" eb="12">
      <t>サンカセイ</t>
    </rPh>
    <phoneticPr fontId="27"/>
  </si>
  <si>
    <t>評価する取組み表の評価ポイントの合計値が0ポイント</t>
  </si>
  <si>
    <t>評価する取組み表の評価ポイントの合計値が1～5ポイント</t>
  </si>
  <si>
    <t>評価する取組み表の評価ポイントの合計値が6～11ポイント</t>
  </si>
  <si>
    <t>評価する取組み表の評価ポイントの合計値が12～17ポイント</t>
  </si>
  <si>
    <t>評価建物(③)の電力消費量</t>
    <phoneticPr fontId="27"/>
  </si>
  <si>
    <r>
      <t>kg-CO</t>
    </r>
    <r>
      <rPr>
        <vertAlign val="subscript"/>
        <sz val="10"/>
        <rFont val="ＭＳ Ｐゴシック"/>
        <family val="3"/>
        <charset val="128"/>
      </rPr>
      <t>2</t>
    </r>
    <r>
      <rPr>
        <sz val="10"/>
        <rFont val="ＭＳ Ｐゴシック"/>
        <family val="3"/>
        <charset val="128"/>
      </rPr>
      <t>/kWh</t>
    </r>
    <phoneticPr fontId="27"/>
  </si>
  <si>
    <t>実排出量との差</t>
    <phoneticPr fontId="27"/>
  </si>
  <si>
    <t>病院o</t>
    <phoneticPr fontId="27"/>
  </si>
  <si>
    <r>
      <t xml:space="preserve">3.2.3 </t>
    </r>
    <r>
      <rPr>
        <b/>
        <sz val="10"/>
        <rFont val="ＭＳ Ｐゴシック"/>
        <family val="3"/>
        <charset val="128"/>
      </rPr>
      <t>冷媒</t>
    </r>
    <rPh sb="6" eb="8">
      <t>レイバイ</t>
    </rPh>
    <phoneticPr fontId="27"/>
  </si>
  <si>
    <t>HCFCの冷媒を使用している。</t>
  </si>
  <si>
    <t>ODP=0の冷媒を使用している。</t>
  </si>
  <si>
    <t>自然冷媒・新冷凍システム（ODP=0）を使用し、かつGWP50未満の冷媒を使用している。</t>
  </si>
  <si>
    <t>居室面積の1/10以上の開閉可能な窓を確保している。</t>
    <phoneticPr fontId="27"/>
  </si>
  <si>
    <t>評価点</t>
    <rPh sb="0" eb="3">
      <t>ヒョウカテン</t>
    </rPh>
    <phoneticPr fontId="27"/>
  </si>
  <si>
    <t>重み
係数</t>
    <rPh sb="0" eb="1">
      <t>オモ</t>
    </rPh>
    <phoneticPr fontId="27"/>
  </si>
  <si>
    <t>全体</t>
  </si>
  <si>
    <t>室内環境</t>
  </si>
  <si>
    <t>音環境</t>
    <rPh sb="0" eb="1">
      <t>ｵﾄ</t>
    </rPh>
    <rPh sb="1" eb="3">
      <t>ｶﾝｷｮｳ</t>
    </rPh>
    <phoneticPr fontId="39" type="noConversion"/>
  </si>
  <si>
    <t>室内騒音レベル</t>
    <phoneticPr fontId="27"/>
  </si>
  <si>
    <t>設備騒音対策</t>
    <phoneticPr fontId="27"/>
  </si>
  <si>
    <t>遮音</t>
  </si>
  <si>
    <t>学(小中高)</t>
    <rPh sb="0" eb="1">
      <t>ガク</t>
    </rPh>
    <rPh sb="2" eb="3">
      <t>ショウ</t>
    </rPh>
    <rPh sb="3" eb="4">
      <t>チュウ</t>
    </rPh>
    <rPh sb="4" eb="5">
      <t>コウ</t>
    </rPh>
    <phoneticPr fontId="27"/>
  </si>
  <si>
    <t>■使用評価マニュアル：</t>
    <rPh sb="1" eb="3">
      <t>シヨウ</t>
    </rPh>
    <rPh sb="3" eb="5">
      <t>ヒョウカ</t>
    </rPh>
    <phoneticPr fontId="27"/>
  </si>
  <si>
    <t>ビルマルチエアコン室外機等からの騒音</t>
    <rPh sb="9" eb="12">
      <t>シツガイキ</t>
    </rPh>
    <rPh sb="12" eb="13">
      <t>トウ</t>
    </rPh>
    <rPh sb="16" eb="18">
      <t>ソウオン</t>
    </rPh>
    <phoneticPr fontId="27"/>
  </si>
  <si>
    <t>防音塀、遮蔽体、防振支持、位置など</t>
    <rPh sb="0" eb="2">
      <t>ボウオン</t>
    </rPh>
    <rPh sb="2" eb="3">
      <t>ヘイ</t>
    </rPh>
    <rPh sb="4" eb="6">
      <t>シャヘイ</t>
    </rPh>
    <rPh sb="6" eb="7">
      <t>タイ</t>
    </rPh>
    <rPh sb="8" eb="12">
      <t>ボウシンシジ</t>
    </rPh>
    <rPh sb="13" eb="15">
      <t>イチ</t>
    </rPh>
    <phoneticPr fontId="27"/>
  </si>
  <si>
    <t>項目</t>
    <rPh sb="0" eb="2">
      <t>コウモク</t>
    </rPh>
    <phoneticPr fontId="27"/>
  </si>
  <si>
    <t>B．住宅における設備騒音対策の評価する取組み</t>
    <rPh sb="2" eb="4">
      <t>ジュウタク</t>
    </rPh>
    <rPh sb="8" eb="10">
      <t>セツビ</t>
    </rPh>
    <rPh sb="10" eb="12">
      <t>ソウオン</t>
    </rPh>
    <rPh sb="12" eb="14">
      <t>タイサク</t>
    </rPh>
    <rPh sb="15" eb="17">
      <t>ヒョウカ</t>
    </rPh>
    <rPh sb="19" eb="20">
      <t>ト</t>
    </rPh>
    <rPh sb="20" eb="21">
      <t>ク</t>
    </rPh>
    <phoneticPr fontId="27"/>
  </si>
  <si>
    <t>住宅</t>
    <rPh sb="0" eb="2">
      <t>ジュウタク</t>
    </rPh>
    <phoneticPr fontId="27"/>
  </si>
  <si>
    <t>トイレ、浴室等の給配水音、排水音、使用音</t>
    <rPh sb="11" eb="12">
      <t>オン</t>
    </rPh>
    <rPh sb="13" eb="15">
      <t>ハイスイ</t>
    </rPh>
    <rPh sb="15" eb="16">
      <t>オン</t>
    </rPh>
    <rPh sb="17" eb="19">
      <t>シヨウ</t>
    </rPh>
    <rPh sb="19" eb="20">
      <t>オン</t>
    </rPh>
    <phoneticPr fontId="27"/>
  </si>
  <si>
    <t>重役室・大会議室</t>
    <rPh sb="0" eb="3">
      <t>ジュウヤクシツ</t>
    </rPh>
    <rPh sb="4" eb="8">
      <t>ダイカイギシツ</t>
    </rPh>
    <phoneticPr fontId="27"/>
  </si>
  <si>
    <t>応接室</t>
    <rPh sb="0" eb="3">
      <t>オウセツシツ</t>
    </rPh>
    <phoneticPr fontId="27"/>
  </si>
  <si>
    <t>広さ・収納性</t>
    <rPh sb="0" eb="1">
      <t>ヒロ</t>
    </rPh>
    <rPh sb="3" eb="5">
      <t>シュウノウ</t>
    </rPh>
    <rPh sb="5" eb="6">
      <t>セイ</t>
    </rPh>
    <phoneticPr fontId="27"/>
  </si>
  <si>
    <t>高度情報通信設備対応</t>
    <rPh sb="0" eb="2">
      <t>コウド</t>
    </rPh>
    <rPh sb="2" eb="4">
      <t>ジョウホウ</t>
    </rPh>
    <rPh sb="4" eb="6">
      <t>ツウシン</t>
    </rPh>
    <rPh sb="6" eb="8">
      <t>セツビ</t>
    </rPh>
    <rPh sb="8" eb="10">
      <t>タイオウ</t>
    </rPh>
    <phoneticPr fontId="27"/>
  </si>
  <si>
    <t>バリアフリー計画</t>
    <rPh sb="6" eb="8">
      <t>ケイカク</t>
    </rPh>
    <phoneticPr fontId="27"/>
  </si>
  <si>
    <t>売電分</t>
    <rPh sb="0" eb="2">
      <t>バイデン</t>
    </rPh>
    <rPh sb="2" eb="3">
      <t>ブン</t>
    </rPh>
    <phoneticPr fontId="27"/>
  </si>
  <si>
    <t>修繕・更新・解体</t>
    <rPh sb="3" eb="5">
      <t>コウシン</t>
    </rPh>
    <phoneticPr fontId="27"/>
  </si>
  <si>
    <t>レベル３程度の空調ゾーニングがなされ、さらにゾーン別に冷房・暖房の選択が可能な空調システムが計画されている。</t>
    <phoneticPr fontId="27"/>
  </si>
  <si>
    <t>60＜ [騒音レベル]</t>
    <phoneticPr fontId="27"/>
  </si>
  <si>
    <t>45＜ [騒音レベル]</t>
    <phoneticPr fontId="27"/>
  </si>
  <si>
    <t>　レベル　1</t>
    <phoneticPr fontId="27"/>
  </si>
  <si>
    <t>■レベル　1</t>
    <phoneticPr fontId="27"/>
  </si>
  <si>
    <t>-</t>
    <phoneticPr fontId="27"/>
  </si>
  <si>
    <t>(該当するレベルなし)</t>
  </si>
  <si>
    <t>50＜ [騒音レベル] ≦60</t>
    <phoneticPr fontId="27"/>
  </si>
  <si>
    <t>■自然エネルギーの直接利用量</t>
    <rPh sb="1" eb="3">
      <t>シゼン</t>
    </rPh>
    <rPh sb="9" eb="11">
      <t>チョクセツ</t>
    </rPh>
    <rPh sb="11" eb="13">
      <t>リヨウ</t>
    </rPh>
    <rPh sb="13" eb="14">
      <t>リョウ</t>
    </rPh>
    <phoneticPr fontId="27"/>
  </si>
  <si>
    <t>LCCO2算定における運用段階のエネルギー消費量(標準計算)</t>
    <rPh sb="5" eb="7">
      <t>サンテイ</t>
    </rPh>
    <rPh sb="11" eb="13">
      <t>ウンヨウ</t>
    </rPh>
    <rPh sb="13" eb="15">
      <t>ダンカイ</t>
    </rPh>
    <rPh sb="21" eb="24">
      <t>ショウヒリョウ</t>
    </rPh>
    <rPh sb="25" eb="27">
      <t>ヒョウジュン</t>
    </rPh>
    <rPh sb="27" eb="29">
      <t>ケイサン</t>
    </rPh>
    <phoneticPr fontId="27"/>
  </si>
  <si>
    <t>建物外皮の熱負荷抑制</t>
    <rPh sb="0" eb="2">
      <t>タテモノ</t>
    </rPh>
    <rPh sb="2" eb="4">
      <t>ガイヒ</t>
    </rPh>
    <rPh sb="5" eb="6">
      <t>ネツ</t>
    </rPh>
    <rPh sb="6" eb="8">
      <t>フカ</t>
    </rPh>
    <rPh sb="8" eb="10">
      <t>ヨクセイ</t>
    </rPh>
    <phoneticPr fontId="27"/>
  </si>
  <si>
    <t>空気取り入れ口は敷地周囲の状況を勘案して、汚染源のない方位に設けられている。</t>
    <phoneticPr fontId="27"/>
  </si>
  <si>
    <t>空気取り入れ口は敷地周囲の状況を勘案して、汚染源のない方位に設けられている。かつ、各種排気口と異なる方位か、または3ｍ以上離れて設置されている。</t>
    <phoneticPr fontId="27"/>
  </si>
  <si>
    <t>空気取り入れ口は敷地周囲の状況を勘案して、汚染源のない方位に設けられている。かつ、各種排気口と異なる方位で、かつ6ｍ以上離れて設置されている。</t>
    <phoneticPr fontId="27"/>
  </si>
  <si>
    <t>外気が空調機でレタンと混合され各室に熱負荷から決まる風量で配分される等、各室の負荷条件によっては、必ずしも必要な場所に必要な外気量が保証されないシステムとなっている。</t>
    <phoneticPr fontId="27"/>
  </si>
  <si>
    <t>商業建物</t>
    <rPh sb="0" eb="2">
      <t>ショウギョウ</t>
    </rPh>
    <rPh sb="2" eb="4">
      <t>タテモノ</t>
    </rPh>
    <phoneticPr fontId="27"/>
  </si>
  <si>
    <t>音楽喫茶店</t>
    <rPh sb="0" eb="2">
      <t>オンガク</t>
    </rPh>
    <rPh sb="2" eb="5">
      <t>キッサテン</t>
    </rPh>
    <phoneticPr fontId="27"/>
  </si>
  <si>
    <t>公共建物</t>
    <rPh sb="0" eb="2">
      <t>コウキョウ</t>
    </rPh>
    <rPh sb="2" eb="4">
      <t>タテモノ</t>
    </rPh>
    <phoneticPr fontId="27"/>
  </si>
  <si>
    <t>公会堂</t>
    <rPh sb="0" eb="3">
      <t>コウカイドウ</t>
    </rPh>
    <phoneticPr fontId="27"/>
  </si>
  <si>
    <t>美術館・博物館</t>
    <rPh sb="0" eb="2">
      <t>ビジュツ</t>
    </rPh>
    <rPh sb="2" eb="3">
      <t>カン</t>
    </rPh>
    <rPh sb="4" eb="7">
      <t>ハクブツカン</t>
    </rPh>
    <phoneticPr fontId="27"/>
  </si>
  <si>
    <t>学校・教会</t>
    <rPh sb="0" eb="2">
      <t>ガッコウ</t>
    </rPh>
    <rPh sb="3" eb="5">
      <t>キョウカイ</t>
    </rPh>
    <phoneticPr fontId="27"/>
  </si>
  <si>
    <t>音楽教室</t>
    <rPh sb="0" eb="2">
      <t>オンガク</t>
    </rPh>
    <rPh sb="2" eb="4">
      <t>キョウシツ</t>
    </rPh>
    <phoneticPr fontId="27"/>
  </si>
  <si>
    <t>3.1　空調設備</t>
    <rPh sb="4" eb="6">
      <t>クウチョウ</t>
    </rPh>
    <rPh sb="6" eb="8">
      <t>セツビ</t>
    </rPh>
    <phoneticPr fontId="27"/>
  </si>
  <si>
    <t>建物で消費される各種エネルギー消費量を年間に渡って把握し、消費原単位等を用いてのベンチマーク比較が行なえること。</t>
    <phoneticPr fontId="27"/>
  </si>
  <si>
    <t>悪臭</t>
    <rPh sb="0" eb="2">
      <t>アクシュウ</t>
    </rPh>
    <phoneticPr fontId="27"/>
  </si>
  <si>
    <t>LR3 3.2</t>
  </si>
  <si>
    <t>LR3 3.3</t>
  </si>
  <si>
    <t>光害の抑制</t>
    <rPh sb="0" eb="1">
      <t>ﾋｶﾘ</t>
    </rPh>
    <phoneticPr fontId="39" type="noConversion"/>
  </si>
  <si>
    <t>耐震･免震</t>
    <rPh sb="0" eb="2">
      <t>タイシン</t>
    </rPh>
    <rPh sb="3" eb="4">
      <t>メン</t>
    </rPh>
    <rPh sb="4" eb="5">
      <t>フル</t>
    </rPh>
    <phoneticPr fontId="27"/>
  </si>
  <si>
    <t>部品・部材の耐用年数</t>
    <rPh sb="0" eb="2">
      <t>ブヒン</t>
    </rPh>
    <rPh sb="3" eb="4">
      <t>ブ</t>
    </rPh>
    <rPh sb="4" eb="5">
      <t>ザイ</t>
    </rPh>
    <rPh sb="6" eb="8">
      <t>タイヨウ</t>
    </rPh>
    <rPh sb="8" eb="10">
      <t>ネンスウ</t>
    </rPh>
    <phoneticPr fontId="27"/>
  </si>
  <si>
    <r>
      <t>LR1</t>
    </r>
    <r>
      <rPr>
        <b/>
        <sz val="14"/>
        <rFont val="ＭＳ Ｐゴシック"/>
        <family val="3"/>
        <charset val="128"/>
      </rPr>
      <t>　エネルギー</t>
    </r>
    <phoneticPr fontId="27"/>
  </si>
  <si>
    <t>レベル３に満たない</t>
    <phoneticPr fontId="8"/>
  </si>
  <si>
    <t>(a)　グリーン電力証書によるカーボンオフセット</t>
    <phoneticPr fontId="27"/>
  </si>
  <si>
    <t>空気取り入れ口は敷地周囲の状況を勘案して、汚染源のない方位に設けられている。かつ、各種排気口と異なる方位で、かつ6ｍ以上離れて設置されている。</t>
  </si>
  <si>
    <r>
      <t xml:space="preserve">4.2.4 </t>
    </r>
    <r>
      <rPr>
        <b/>
        <sz val="10"/>
        <rFont val="ＭＳ Ｐゴシック"/>
        <family val="3"/>
        <charset val="128"/>
      </rPr>
      <t>給気計画</t>
    </r>
    <rPh sb="6" eb="7">
      <t>キュウ</t>
    </rPh>
    <rPh sb="7" eb="8">
      <t>キ</t>
    </rPh>
    <rPh sb="8" eb="10">
      <t>ケイカク</t>
    </rPh>
    <phoneticPr fontId="27"/>
  </si>
  <si>
    <t>事・学・物・飲・会・病・ホ・工・住</t>
    <phoneticPr fontId="27"/>
  </si>
  <si>
    <t>レベル３に満たない</t>
    <phoneticPr fontId="27"/>
  </si>
  <si>
    <t>冷暖房平均COPが1.25以上の熱源機器を採用</t>
    <phoneticPr fontId="27"/>
  </si>
  <si>
    <t>レベル３に加え、空調対象面積の50％以上に全熱交換器を採用</t>
    <phoneticPr fontId="27"/>
  </si>
  <si>
    <t>＜７種類の制御方式＞
カード・センサー等による在室検知制御、明るさ感知による自動点滅制御、適正照度制御（初期照度補正）、タイムスケジュール制御、昼光利用照明制御、ゾーニング制御、局所制御</t>
    <phoneticPr fontId="27"/>
  </si>
  <si>
    <t>レベル３に加え、７種類のうち２種類以上採用されている。</t>
    <phoneticPr fontId="8"/>
  </si>
  <si>
    <t>レベル３に加え、７種類のうち４種類以上採用されている。</t>
    <phoneticPr fontId="8"/>
  </si>
  <si>
    <t>1)地域の温熱環境状況に関する事前調査の実施</t>
  </si>
  <si>
    <t>既存なし</t>
    <rPh sb="0" eb="2">
      <t>キソン</t>
    </rPh>
    <phoneticPr fontId="27"/>
  </si>
  <si>
    <t>Lr-40　またはそれより良い</t>
    <phoneticPr fontId="27"/>
  </si>
  <si>
    <t>1.2.4 界床遮音性能（重量衝撃源）</t>
    <phoneticPr fontId="27"/>
  </si>
  <si>
    <t>人のとびはねや走り回る音がうるさい。　</t>
    <phoneticPr fontId="27"/>
  </si>
  <si>
    <t>人のとびはねや走り回る音がかなり気になる。</t>
    <phoneticPr fontId="27"/>
  </si>
  <si>
    <t>人のとびはねや走り回る音がよく聞こえる。</t>
    <phoneticPr fontId="27"/>
  </si>
  <si>
    <t>人のとびはねや走り回る音が聞こえる。</t>
    <phoneticPr fontId="27"/>
  </si>
  <si>
    <t>人のとびはねや走り回る音が小さく聞こえる。</t>
    <phoneticPr fontId="27"/>
  </si>
  <si>
    <t>人のとびはねや走り回る音が聞こえるが意識することはあまりない。</t>
    <phoneticPr fontId="27"/>
  </si>
  <si>
    <t>Lr-60より悪い</t>
    <phoneticPr fontId="27"/>
  </si>
  <si>
    <t>Lr-45　またはそれより良い</t>
    <phoneticPr fontId="27"/>
  </si>
  <si>
    <t>病・ホ</t>
    <phoneticPr fontId="27"/>
  </si>
  <si>
    <t>壁、床、天井のうち二面に吸音材を使用している。</t>
    <phoneticPr fontId="27"/>
  </si>
  <si>
    <t>壁、床、天井に吸音材を使用している。</t>
    <phoneticPr fontId="27"/>
  </si>
  <si>
    <t>建物全体・共用部分</t>
    <phoneticPr fontId="27"/>
  </si>
  <si>
    <t>住</t>
    <phoneticPr fontId="27"/>
  </si>
  <si>
    <t>冬期20℃、夏期28℃と多少我慢を強いる室温設定。</t>
    <phoneticPr fontId="27"/>
  </si>
  <si>
    <t>冬期10℃以上、夏期30℃以下と多少我慢を強いる室温設定。</t>
    <phoneticPr fontId="27"/>
  </si>
  <si>
    <t>冬期18℃、夏期28℃程度と多少我慢を強いる室温設定。</t>
    <phoneticPr fontId="27"/>
  </si>
  <si>
    <t>各室において冬期18℃、夏期28℃程度を強いる設定としている。</t>
    <phoneticPr fontId="27"/>
  </si>
  <si>
    <t>一般的な冬期22℃、夏期26℃の設定。</t>
    <phoneticPr fontId="27"/>
  </si>
  <si>
    <t>←</t>
    <phoneticPr fontId="27"/>
  </si>
  <si>
    <t>■使用評価ソフト：</t>
    <rPh sb="1" eb="3">
      <t>シヨウ</t>
    </rPh>
    <rPh sb="3" eb="5">
      <t>ヒョウカ</t>
    </rPh>
    <phoneticPr fontId="27"/>
  </si>
  <si>
    <r>
      <t>1-1</t>
    </r>
    <r>
      <rPr>
        <b/>
        <sz val="12"/>
        <color indexed="9"/>
        <rFont val="ＭＳ Ｐゴシック"/>
        <family val="3"/>
        <charset val="128"/>
      </rPr>
      <t>　建物概要</t>
    </r>
    <rPh sb="4" eb="5">
      <t>ｹﾝ</t>
    </rPh>
    <rPh sb="5" eb="6">
      <t>ﾓﾉ</t>
    </rPh>
    <rPh sb="6" eb="8">
      <t>ｶﾞｲﾖｳ</t>
    </rPh>
    <phoneticPr fontId="39" type="noConversion"/>
  </si>
  <si>
    <r>
      <t>1-2</t>
    </r>
    <r>
      <rPr>
        <b/>
        <sz val="12"/>
        <color indexed="9"/>
        <rFont val="ＭＳ Ｐゴシック"/>
        <family val="3"/>
        <charset val="128"/>
      </rPr>
      <t>　外観</t>
    </r>
    <rPh sb="4" eb="6">
      <t>ガイカン</t>
    </rPh>
    <phoneticPr fontId="27"/>
  </si>
  <si>
    <t>BEE rank</t>
    <phoneticPr fontId="27"/>
  </si>
  <si>
    <t>radar chart</t>
    <phoneticPr fontId="27"/>
  </si>
  <si>
    <t>建物名称</t>
    <rPh sb="0" eb="2">
      <t>ﾀﾃﾓﾉ</t>
    </rPh>
    <rPh sb="2" eb="4">
      <t>ﾒｲｼｮｳ</t>
    </rPh>
    <phoneticPr fontId="39" type="noConversion"/>
  </si>
  <si>
    <t>階数</t>
    <rPh sb="0" eb="2">
      <t>カイスウ</t>
    </rPh>
    <phoneticPr fontId="27"/>
  </si>
  <si>
    <t>radar chart</t>
  </si>
  <si>
    <t>Score(RoundDown)</t>
    <phoneticPr fontId="27"/>
  </si>
  <si>
    <t>建設地</t>
    <rPh sb="0" eb="3">
      <t>ｹﾝｾﾂﾁ</t>
    </rPh>
    <phoneticPr fontId="39" type="noConversion"/>
  </si>
  <si>
    <t>構造</t>
    <rPh sb="0" eb="2">
      <t>コウゾウ</t>
    </rPh>
    <phoneticPr fontId="27"/>
  </si>
  <si>
    <r>
      <t xml:space="preserve">2.2.5 </t>
    </r>
    <r>
      <rPr>
        <b/>
        <sz val="10"/>
        <rFont val="ＭＳ Ｐゴシック"/>
        <family val="3"/>
        <charset val="128"/>
      </rPr>
      <t>空調・給排水配管の更新必要間隔</t>
    </r>
    <rPh sb="6" eb="8">
      <t>クウチョウ</t>
    </rPh>
    <rPh sb="9" eb="10">
      <t>キュウ</t>
    </rPh>
    <rPh sb="10" eb="12">
      <t>ハイスイ</t>
    </rPh>
    <rPh sb="12" eb="14">
      <t>ハイカン</t>
    </rPh>
    <rPh sb="15" eb="17">
      <t>コウシン</t>
    </rPh>
    <rPh sb="17" eb="19">
      <t>ヒツヨウ</t>
    </rPh>
    <rPh sb="19" eb="21">
      <t>カンカク</t>
    </rPh>
    <phoneticPr fontId="27"/>
  </si>
  <si>
    <t>７年以上～１５年未満</t>
  </si>
  <si>
    <t>主要な用途上位3種のほぼ全てにD以上を使用</t>
    <rPh sb="0" eb="2">
      <t>シュヨウ</t>
    </rPh>
    <rPh sb="3" eb="5">
      <t>ヨウト</t>
    </rPh>
    <rPh sb="5" eb="7">
      <t>ジョウイ</t>
    </rPh>
    <rPh sb="8" eb="9">
      <t>シュ</t>
    </rPh>
    <rPh sb="12" eb="13">
      <t>スベ</t>
    </rPh>
    <rPh sb="16" eb="18">
      <t>イジョウ</t>
    </rPh>
    <rPh sb="19" eb="21">
      <t>シヨウ</t>
    </rPh>
    <phoneticPr fontId="27"/>
  </si>
  <si>
    <t>１５年</t>
  </si>
  <si>
    <t>平均居住人員</t>
    <rPh sb="0" eb="2">
      <t>ﾍｲｷﾝ</t>
    </rPh>
    <rPh sb="2" eb="4">
      <t>ｷｮｼﾞｭｳ</t>
    </rPh>
    <rPh sb="4" eb="6">
      <t>ｼﾞﾝｲﾝ</t>
    </rPh>
    <phoneticPr fontId="39" type="noConversion"/>
  </si>
  <si>
    <t>人</t>
    <rPh sb="0" eb="1">
      <t>ニン</t>
    </rPh>
    <phoneticPr fontId="27"/>
  </si>
  <si>
    <r>
      <t xml:space="preserve">Q3 </t>
    </r>
    <r>
      <rPr>
        <sz val="11"/>
        <rFont val="ＭＳ Ｐゴシック"/>
        <family val="3"/>
        <charset val="128"/>
      </rPr>
      <t xml:space="preserve">室外環境
</t>
    </r>
    <r>
      <rPr>
        <sz val="11"/>
        <rFont val="Arial"/>
        <family val="2"/>
      </rPr>
      <t>(</t>
    </r>
    <r>
      <rPr>
        <sz val="11"/>
        <rFont val="ＭＳ Ｐゴシック"/>
        <family val="3"/>
        <charset val="128"/>
      </rPr>
      <t>敷地内</t>
    </r>
    <r>
      <rPr>
        <sz val="11"/>
        <rFont val="Arial"/>
        <family val="2"/>
      </rPr>
      <t>)</t>
    </r>
    <rPh sb="11" eb="12">
      <t>ナイ</t>
    </rPh>
    <phoneticPr fontId="27"/>
  </si>
  <si>
    <t>L</t>
    <phoneticPr fontId="27"/>
  </si>
  <si>
    <t>LR3 
敷地外環境</t>
    <rPh sb="5" eb="7">
      <t>シキチ</t>
    </rPh>
    <rPh sb="7" eb="8">
      <t>ガイ</t>
    </rPh>
    <rPh sb="8" eb="10">
      <t>カンキョウ</t>
    </rPh>
    <phoneticPr fontId="27"/>
  </si>
  <si>
    <t>建物用途</t>
    <rPh sb="0" eb="2">
      <t>ﾀﾃﾓﾉ</t>
    </rPh>
    <rPh sb="2" eb="4">
      <t>ﾖｳﾄ</t>
    </rPh>
    <phoneticPr fontId="39" type="noConversion"/>
  </si>
  <si>
    <t>評価の段階</t>
    <rPh sb="0" eb="2">
      <t>ヒョウカ</t>
    </rPh>
    <rPh sb="3" eb="5">
      <t>ダンカイ</t>
    </rPh>
    <phoneticPr fontId="27"/>
  </si>
  <si>
    <t>外観パース等</t>
    <rPh sb="0" eb="2">
      <t>ガイカン</t>
    </rPh>
    <rPh sb="5" eb="6">
      <t>トウ</t>
    </rPh>
    <phoneticPr fontId="27"/>
  </si>
  <si>
    <t>BEE</t>
    <phoneticPr fontId="27"/>
  </si>
  <si>
    <t>LR2 資源・
マテリアル</t>
    <rPh sb="4" eb="6">
      <t>シゲン</t>
    </rPh>
    <phoneticPr fontId="27"/>
  </si>
  <si>
    <t>レベル３を満たさない。</t>
    <phoneticPr fontId="27"/>
  </si>
  <si>
    <t>（該当するレベルなし）</t>
    <phoneticPr fontId="27"/>
  </si>
  <si>
    <t>教室の不足がある</t>
    <phoneticPr fontId="27"/>
  </si>
  <si>
    <t>1人当たりの執務スペースが6㎡以上。</t>
    <phoneticPr fontId="27"/>
  </si>
  <si>
    <t>教室の不足がない</t>
    <phoneticPr fontId="27"/>
  </si>
  <si>
    <t>（該当するレベルなし）</t>
    <phoneticPr fontId="27"/>
  </si>
  <si>
    <t>1人当たりの執務スペースが12㎡以上。</t>
    <phoneticPr fontId="27"/>
  </si>
  <si>
    <t>主要構造部が木造躯体の時</t>
    <phoneticPr fontId="27"/>
  </si>
  <si>
    <t>CO2削減量</t>
    <rPh sb="3" eb="5">
      <t>サクゲン</t>
    </rPh>
    <rPh sb="5" eb="6">
      <t>リョウ</t>
    </rPh>
    <phoneticPr fontId="27"/>
  </si>
  <si>
    <t>算定に用いた排出係数</t>
    <rPh sb="0" eb="2">
      <t>サンテイ</t>
    </rPh>
    <rPh sb="3" eb="4">
      <t>モチ</t>
    </rPh>
    <rPh sb="6" eb="8">
      <t>ハイシュツ</t>
    </rPh>
    <rPh sb="8" eb="10">
      <t>ケイスウ</t>
    </rPh>
    <phoneticPr fontId="27"/>
  </si>
  <si>
    <t>2100N/㎡以上～2900N/㎡未満</t>
    <phoneticPr fontId="27"/>
  </si>
  <si>
    <t>各住戸または各客室に電話、放送に対応した通信回線が引き込まれている。</t>
    <phoneticPr fontId="27"/>
  </si>
  <si>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以上となっている。加えて、通信に関しては、レベル２をみたすとともに、2.5坪当たり１台の情報通信機器（電話１台、PC１台）を想定した通信回線が各階に引き込まれている。</t>
    </r>
    <phoneticPr fontId="27"/>
  </si>
  <si>
    <t>レベル２を満たすとともに、レベル４に満たないインターネットサービスが提供されている。</t>
    <phoneticPr fontId="27"/>
  </si>
  <si>
    <r>
      <t>ＯＡフロア等によりレイアウト変更に対応できるようになっており、かつＯＡ機器用コンセント容量が40ＶＡ/ｍ</t>
    </r>
    <r>
      <rPr>
        <vertAlign val="superscript"/>
        <sz val="9"/>
        <rFont val="ＭＳ Ｐゴシック"/>
        <family val="3"/>
        <charset val="128"/>
      </rPr>
      <t>2</t>
    </r>
    <r>
      <rPr>
        <sz val="9"/>
        <rFont val="ＭＳ Ｐゴシック"/>
        <family val="3"/>
        <charset val="128"/>
      </rPr>
      <t>以上となっている。加えて、通信に関しては、レベル３を満たすとともに、複数の通信事業者の回線がビル内へ引き込まれており、各階への通信事業者用配線スペースが別途、確保されている。</t>
    </r>
    <phoneticPr fontId="27"/>
  </si>
  <si>
    <r>
      <t>ＯＡフロア等によりレイアウト変更に対応できるようになっており、かつＯＡ機器用コンセント容量が50ＶＡ/ｍ</t>
    </r>
    <r>
      <rPr>
        <vertAlign val="superscript"/>
        <sz val="9"/>
        <rFont val="ＭＳ Ｐゴシック"/>
        <family val="3"/>
        <charset val="128"/>
      </rPr>
      <t>2</t>
    </r>
    <r>
      <rPr>
        <sz val="9"/>
        <rFont val="ＭＳ Ｐゴシック"/>
        <family val="3"/>
        <charset val="128"/>
      </rPr>
      <t>以上となっている。加えて、通信に関しては、レベル４を満たすとともに、各階へはGigabit通信回線が引き込まれており、別途、フロア間通信のためのテナントEPSが確保されている。</t>
    </r>
    <phoneticPr fontId="27"/>
  </si>
  <si>
    <t>各住戸または各客室にGbitクラスのブロードバンドが利用可能な環境が整備されていること。</t>
    <phoneticPr fontId="27"/>
  </si>
  <si>
    <t>-</t>
    <phoneticPr fontId="27"/>
  </si>
  <si>
    <t>バリアフリー新法の建築物移動等円滑化基準（最低限のレベル）を満たしている。</t>
    <phoneticPr fontId="27"/>
  </si>
  <si>
    <t>バリアフリー新法の建築物移動等円滑化誘導基準（望ましいレベル）を満たしている。</t>
    <phoneticPr fontId="27"/>
  </si>
  <si>
    <t>バリアフリー新法の建築物移動等円滑化誘導基準（望ましいレベル）を超えてさらに十分な配慮を行っており、ユニバーサルなデザインとなっている。</t>
    <phoneticPr fontId="27"/>
  </si>
  <si>
    <t>レベル3</t>
  </si>
  <si>
    <t>レベル4</t>
  </si>
  <si>
    <t>レベル5</t>
  </si>
  <si>
    <t>MJ/kWhで換算した値（H25]省エネ法告示全日平均）</t>
    <rPh sb="7" eb="9">
      <t>カンサン</t>
    </rPh>
    <rPh sb="11" eb="12">
      <t>アタイ</t>
    </rPh>
    <rPh sb="17" eb="18">
      <t>ショウ</t>
    </rPh>
    <rPh sb="20" eb="21">
      <t>ホウ</t>
    </rPh>
    <rPh sb="21" eb="23">
      <t>コクジ</t>
    </rPh>
    <rPh sb="23" eb="24">
      <t>ゼン</t>
    </rPh>
    <rPh sb="24" eb="25">
      <t>ヒ</t>
    </rPh>
    <rPh sb="25" eb="27">
      <t>ヘイキン</t>
    </rPh>
    <phoneticPr fontId="33"/>
  </si>
  <si>
    <t>建物用途</t>
  </si>
  <si>
    <t>官公庁</t>
  </si>
  <si>
    <t>物販店舗等</t>
    <rPh sb="0" eb="2">
      <t>ブッパン</t>
    </rPh>
    <rPh sb="2" eb="4">
      <t>テンポ</t>
    </rPh>
    <rPh sb="4" eb="5">
      <t>トウ</t>
    </rPh>
    <phoneticPr fontId="27"/>
  </si>
  <si>
    <t>その他物販</t>
  </si>
  <si>
    <t>ホテル・旅館</t>
  </si>
  <si>
    <t>学校等</t>
    <rPh sb="0" eb="2">
      <t>ガッコウ</t>
    </rPh>
    <rPh sb="2" eb="3">
      <t>トウ</t>
    </rPh>
    <phoneticPr fontId="27"/>
  </si>
  <si>
    <t>幼稚園・保育園</t>
  </si>
  <si>
    <t>小・中学校</t>
  </si>
  <si>
    <t>北海道</t>
    <rPh sb="0" eb="3">
      <t>ホッカイドウ</t>
    </rPh>
    <phoneticPr fontId="27"/>
  </si>
  <si>
    <t>高校</t>
  </si>
  <si>
    <t>大学・専門学校</t>
  </si>
  <si>
    <t>集会所等</t>
    <rPh sb="0" eb="3">
      <t>シュウカイジョ</t>
    </rPh>
    <rPh sb="3" eb="4">
      <t>トウ</t>
    </rPh>
    <phoneticPr fontId="27"/>
  </si>
  <si>
    <t>劇場・ホール</t>
  </si>
  <si>
    <t>展示施設</t>
  </si>
  <si>
    <t>スポーツ施設</t>
  </si>
  <si>
    <t>エネルギー種別一次エネルギー構成比率</t>
    <rPh sb="5" eb="7">
      <t>シュベツ</t>
    </rPh>
    <rPh sb="7" eb="9">
      <t>イチジ</t>
    </rPh>
    <rPh sb="14" eb="16">
      <t>コウセイ</t>
    </rPh>
    <rPh sb="16" eb="18">
      <t>ヒリツ</t>
    </rPh>
    <phoneticPr fontId="10"/>
  </si>
  <si>
    <t>300㎡未満</t>
    <rPh sb="4" eb="6">
      <t>ミマン</t>
    </rPh>
    <phoneticPr fontId="10"/>
  </si>
  <si>
    <t>300㎡以上
2,000㎡未満</t>
    <rPh sb="4" eb="6">
      <t>イジョウ</t>
    </rPh>
    <rPh sb="13" eb="15">
      <t>ミマン</t>
    </rPh>
    <phoneticPr fontId="10"/>
  </si>
  <si>
    <t>2,000㎡以上
1万㎡未満</t>
    <rPh sb="6" eb="8">
      <t>イジョウ</t>
    </rPh>
    <rPh sb="10" eb="11">
      <t>マン</t>
    </rPh>
    <rPh sb="12" eb="14">
      <t>ミマン</t>
    </rPh>
    <phoneticPr fontId="10"/>
  </si>
  <si>
    <t>1万㎡以上
3万㎡未満</t>
    <rPh sb="1" eb="2">
      <t>マン</t>
    </rPh>
    <rPh sb="3" eb="5">
      <t>イジョウ</t>
    </rPh>
    <rPh sb="7" eb="8">
      <t>マン</t>
    </rPh>
    <rPh sb="9" eb="11">
      <t>ミマン</t>
    </rPh>
    <phoneticPr fontId="10"/>
  </si>
  <si>
    <t>3万㎡以上</t>
    <rPh sb="1" eb="2">
      <t>マン</t>
    </rPh>
    <rPh sb="3" eb="5">
      <t>イジョウ</t>
    </rPh>
    <phoneticPr fontId="10"/>
  </si>
  <si>
    <t>電気</t>
    <rPh sb="0" eb="2">
      <t>デンキ</t>
    </rPh>
    <phoneticPr fontId="10"/>
  </si>
  <si>
    <t>その他※</t>
    <rPh sb="2" eb="3">
      <t>ホカ</t>
    </rPh>
    <phoneticPr fontId="10"/>
  </si>
  <si>
    <t>-</t>
  </si>
  <si>
    <t>※集合住宅は灯油</t>
    <rPh sb="1" eb="3">
      <t>シュウゴウ</t>
    </rPh>
    <rPh sb="3" eb="5">
      <t>ジュウタク</t>
    </rPh>
    <rPh sb="6" eb="8">
      <t>トウユ</t>
    </rPh>
    <phoneticPr fontId="27"/>
  </si>
  <si>
    <t>設備の方式</t>
  </si>
  <si>
    <t>地域区分</t>
  </si>
  <si>
    <t>暖房</t>
  </si>
  <si>
    <t>冷房</t>
  </si>
  <si>
    <t>ａ</t>
  </si>
  <si>
    <t>レベル１</t>
  </si>
  <si>
    <t>Ａ</t>
  </si>
  <si>
    <t>ｂ</t>
  </si>
  <si>
    <t>Ｂ</t>
  </si>
  <si>
    <t>Ｃ</t>
  </si>
  <si>
    <t>専有部</t>
    <rPh sb="0" eb="2">
      <t>センユウ</t>
    </rPh>
    <rPh sb="2" eb="3">
      <t>ブ</t>
    </rPh>
    <phoneticPr fontId="27"/>
  </si>
  <si>
    <t>評価建物</t>
    <rPh sb="0" eb="2">
      <t>ヒョウカ</t>
    </rPh>
    <rPh sb="2" eb="4">
      <t>タテモノ</t>
    </rPh>
    <phoneticPr fontId="27"/>
  </si>
  <si>
    <t>暖房方式</t>
    <rPh sb="0" eb="2">
      <t>ダンボウ</t>
    </rPh>
    <rPh sb="2" eb="4">
      <t>ホウシキ</t>
    </rPh>
    <phoneticPr fontId="27"/>
  </si>
  <si>
    <t>冷房方式</t>
    <rPh sb="0" eb="2">
      <t>レイボウ</t>
    </rPh>
    <rPh sb="2" eb="4">
      <t>ホウシキ</t>
    </rPh>
    <phoneticPr fontId="27"/>
  </si>
  <si>
    <t>CO2換算係数</t>
    <rPh sb="3" eb="5">
      <t>カンサン</t>
    </rPh>
    <rPh sb="5" eb="7">
      <t>ケイスウ</t>
    </rPh>
    <phoneticPr fontId="27"/>
  </si>
  <si>
    <t>㎡</t>
    <phoneticPr fontId="27"/>
  </si>
  <si>
    <t>自然換気性能</t>
    <rPh sb="0" eb="2">
      <t>シゼン</t>
    </rPh>
    <rPh sb="2" eb="4">
      <t>カンキ</t>
    </rPh>
    <rPh sb="4" eb="6">
      <t>セイノウ</t>
    </rPh>
    <phoneticPr fontId="27"/>
  </si>
  <si>
    <t>取り入れ外気への配慮</t>
    <rPh sb="0" eb="1">
      <t>ト</t>
    </rPh>
    <rPh sb="2" eb="3">
      <t>イ</t>
    </rPh>
    <rPh sb="4" eb="6">
      <t>ガイキ</t>
    </rPh>
    <rPh sb="8" eb="10">
      <t>ハイリョ</t>
    </rPh>
    <phoneticPr fontId="27"/>
  </si>
  <si>
    <t>給気計画</t>
    <rPh sb="0" eb="1">
      <t>キュウ</t>
    </rPh>
    <rPh sb="1" eb="2">
      <t>キ</t>
    </rPh>
    <rPh sb="2" eb="4">
      <t>ケイカク</t>
    </rPh>
    <phoneticPr fontId="27"/>
  </si>
  <si>
    <t>運用管理</t>
    <rPh sb="0" eb="2">
      <t>ウンヨウ</t>
    </rPh>
    <rPh sb="2" eb="4">
      <t>カンリ</t>
    </rPh>
    <phoneticPr fontId="27"/>
  </si>
  <si>
    <r>
      <t>CO</t>
    </r>
    <r>
      <rPr>
        <vertAlign val="subscript"/>
        <sz val="10"/>
        <rFont val="ＭＳ Ｐゴシック"/>
        <family val="3"/>
        <charset val="128"/>
      </rPr>
      <t>2</t>
    </r>
    <r>
      <rPr>
        <sz val="10"/>
        <rFont val="ＭＳ Ｐゴシック"/>
        <family val="3"/>
        <charset val="128"/>
      </rPr>
      <t>の監視</t>
    </r>
    <rPh sb="4" eb="6">
      <t>カンシ</t>
    </rPh>
    <phoneticPr fontId="27"/>
  </si>
  <si>
    <t>喫煙の制御</t>
    <rPh sb="0" eb="2">
      <t>キツエン</t>
    </rPh>
    <rPh sb="3" eb="5">
      <t>セイギョ</t>
    </rPh>
    <phoneticPr fontId="27"/>
  </si>
  <si>
    <t>機能性</t>
    <rPh sb="0" eb="3">
      <t>ｷﾉｳｾｲ</t>
    </rPh>
    <phoneticPr fontId="39" type="noConversion"/>
  </si>
  <si>
    <t>機能性・使いやすさ</t>
    <rPh sb="0" eb="3">
      <t>キノウセイ</t>
    </rPh>
    <rPh sb="4" eb="5">
      <t>ツカ</t>
    </rPh>
    <phoneticPr fontId="27"/>
  </si>
  <si>
    <t>レベル４に加え、地中熱や井水、太陽熱、顕熱潜熱分離等の更なる効率化が図られている。</t>
    <rPh sb="8" eb="10">
      <t>チチュウ</t>
    </rPh>
    <rPh sb="10" eb="11">
      <t>ネツ</t>
    </rPh>
    <rPh sb="12" eb="13">
      <t>イ</t>
    </rPh>
    <rPh sb="13" eb="14">
      <t>スイ</t>
    </rPh>
    <rPh sb="15" eb="18">
      <t>タイヨウネツ</t>
    </rPh>
    <rPh sb="19" eb="20">
      <t>ケン</t>
    </rPh>
    <rPh sb="20" eb="21">
      <t>ネツ</t>
    </rPh>
    <rPh sb="21" eb="22">
      <t>セン</t>
    </rPh>
    <rPh sb="22" eb="23">
      <t>ネツ</t>
    </rPh>
    <rPh sb="23" eb="25">
      <t>ブンリ</t>
    </rPh>
    <rPh sb="25" eb="26">
      <t>トウ</t>
    </rPh>
    <rPh sb="27" eb="28">
      <t>サラ</t>
    </rPh>
    <rPh sb="30" eb="33">
      <t>コウリツカ</t>
    </rPh>
    <rPh sb="34" eb="35">
      <t>ハカ</t>
    </rPh>
    <phoneticPr fontId="27"/>
  </si>
  <si>
    <t>3.2　換気設備</t>
    <rPh sb="4" eb="6">
      <t>カンキ</t>
    </rPh>
    <rPh sb="6" eb="8">
      <t>セツビ</t>
    </rPh>
    <phoneticPr fontId="27"/>
  </si>
  <si>
    <t>3.3　照明設備</t>
    <rPh sb="4" eb="6">
      <t>ショウメイ</t>
    </rPh>
    <rPh sb="6" eb="8">
      <t>セツビ</t>
    </rPh>
    <phoneticPr fontId="27"/>
  </si>
  <si>
    <t>Hf(高周波点灯専用型）が採用されている。</t>
    <rPh sb="13" eb="15">
      <t>サイヨウ</t>
    </rPh>
    <phoneticPr fontId="8"/>
  </si>
  <si>
    <t>3.4　給湯設備</t>
    <rPh sb="4" eb="6">
      <t>キュウトウ</t>
    </rPh>
    <rPh sb="6" eb="8">
      <t>セツビ</t>
    </rPh>
    <phoneticPr fontId="27"/>
  </si>
  <si>
    <t>3.5　昇降機設備</t>
    <rPh sb="4" eb="7">
      <t>ショウコウキ</t>
    </rPh>
    <rPh sb="7" eb="9">
      <t>セツビ</t>
    </rPh>
    <phoneticPr fontId="27"/>
  </si>
  <si>
    <t>塗膜防水の塗料</t>
    <rPh sb="0" eb="1">
      <t>ヌ</t>
    </rPh>
    <rPh sb="1" eb="2">
      <t>マク</t>
    </rPh>
    <rPh sb="2" eb="4">
      <t>ボウスイ</t>
    </rPh>
    <rPh sb="5" eb="7">
      <t>トリョウ</t>
    </rPh>
    <phoneticPr fontId="27"/>
  </si>
  <si>
    <t>塗料</t>
    <rPh sb="0" eb="2">
      <t>トリョウ</t>
    </rPh>
    <phoneticPr fontId="27"/>
  </si>
  <si>
    <t>建具塗装（木製・金属製）</t>
    <rPh sb="0" eb="2">
      <t>タテグ</t>
    </rPh>
    <rPh sb="2" eb="4">
      <t>トソウ</t>
    </rPh>
    <rPh sb="5" eb="7">
      <t>モクセイ</t>
    </rPh>
    <rPh sb="8" eb="11">
      <t>キンゾクセイ</t>
    </rPh>
    <phoneticPr fontId="27"/>
  </si>
  <si>
    <t>木部塗装（巾木・廻り縁など）</t>
    <rPh sb="0" eb="2">
      <t>モクブ</t>
    </rPh>
    <rPh sb="2" eb="4">
      <t>トソウ</t>
    </rPh>
    <rPh sb="5" eb="6">
      <t>ハバ</t>
    </rPh>
    <rPh sb="6" eb="7">
      <t>キ</t>
    </rPh>
    <rPh sb="8" eb="9">
      <t>マワ</t>
    </rPh>
    <rPh sb="10" eb="11">
      <t>ブチ</t>
    </rPh>
    <phoneticPr fontId="27"/>
  </si>
  <si>
    <t>構造体の塗装</t>
    <rPh sb="0" eb="3">
      <t>コウゾウタイ</t>
    </rPh>
    <rPh sb="4" eb="6">
      <t>トソウ</t>
    </rPh>
    <phoneticPr fontId="27"/>
  </si>
  <si>
    <t>壁塗装</t>
    <rPh sb="0" eb="1">
      <t>カベ</t>
    </rPh>
    <rPh sb="1" eb="3">
      <t>トソウ</t>
    </rPh>
    <phoneticPr fontId="27"/>
  </si>
  <si>
    <t>II 分別回収を推進するための空間整備や設備の設置</t>
    <phoneticPr fontId="27"/>
  </si>
  <si>
    <t>III ゴミの減容化・減量化、あるいは堆肥化するための設備の設置</t>
    <phoneticPr fontId="27"/>
  </si>
  <si>
    <t>周辺のまちなみや景観に対して、取組みが十分とはいえない。(評価ポイント1～2）</t>
    <phoneticPr fontId="27"/>
  </si>
  <si>
    <t>植栽により、良好な景観を形成している。</t>
    <phoneticPr fontId="27"/>
  </si>
  <si>
    <t>3）景観の歴史の継承</t>
    <phoneticPr fontId="27"/>
  </si>
  <si>
    <t>LR-3 敷地外環境</t>
    <rPh sb="5" eb="7">
      <t>シキチ</t>
    </rPh>
    <rPh sb="7" eb="8">
      <t>ガイ</t>
    </rPh>
    <rPh sb="8" eb="10">
      <t>カンキョウ</t>
    </rPh>
    <phoneticPr fontId="27"/>
  </si>
  <si>
    <t>熱負荷抑制</t>
    <rPh sb="0" eb="1">
      <t>ネツ</t>
    </rPh>
    <rPh sb="1" eb="3">
      <t>フカ</t>
    </rPh>
    <rPh sb="3" eb="5">
      <t>ヨクセイ</t>
    </rPh>
    <phoneticPr fontId="27"/>
  </si>
  <si>
    <t>水資源</t>
    <rPh sb="0" eb="1">
      <t>ミズ</t>
    </rPh>
    <rPh sb="1" eb="3">
      <t>シゲン</t>
    </rPh>
    <phoneticPr fontId="27"/>
  </si>
  <si>
    <t>LR2</t>
    <phoneticPr fontId="27"/>
  </si>
  <si>
    <t>昼光の建物外壁による反射光（グレア）への対策</t>
    <rPh sb="0" eb="1">
      <t>ﾋﾙ</t>
    </rPh>
    <rPh sb="1" eb="2">
      <t>ﾋｶﾘ</t>
    </rPh>
    <rPh sb="3" eb="5">
      <t>ﾀﾃﾓﾉ</t>
    </rPh>
    <rPh sb="5" eb="7">
      <t>ｶﾞｲﾍｷ</t>
    </rPh>
    <rPh sb="10" eb="13">
      <t>ﾊﾝｼｬｺｳ</t>
    </rPh>
    <rPh sb="20" eb="22">
      <t>ﾀｲｻｸ</t>
    </rPh>
    <phoneticPr fontId="39" type="noConversion"/>
  </si>
  <si>
    <r>
      <t>ライフサイクルCO</t>
    </r>
    <r>
      <rPr>
        <b/>
        <vertAlign val="subscript"/>
        <sz val="12"/>
        <color indexed="9"/>
        <rFont val="ＭＳ Ｐゴシック"/>
        <family val="3"/>
        <charset val="128"/>
      </rPr>
      <t>2</t>
    </r>
    <r>
      <rPr>
        <b/>
        <sz val="12"/>
        <color indexed="9"/>
        <rFont val="ＭＳ Ｐゴシック"/>
        <family val="3"/>
        <charset val="128"/>
      </rPr>
      <t>計算シート（標準計算用）</t>
    </r>
    <rPh sb="10" eb="12">
      <t>ケイサン</t>
    </rPh>
    <rPh sb="16" eb="18">
      <t>ヒョウジュン</t>
    </rPh>
    <rPh sb="18" eb="20">
      <t>ケイサン</t>
    </rPh>
    <rPh sb="20" eb="21">
      <t>ヨウ</t>
    </rPh>
    <phoneticPr fontId="27"/>
  </si>
  <si>
    <t>評価対象</t>
    <rPh sb="0" eb="2">
      <t>ヒョウカ</t>
    </rPh>
    <rPh sb="2" eb="4">
      <t>タイショウ</t>
    </rPh>
    <phoneticPr fontId="27"/>
  </si>
  <si>
    <t>参照値</t>
    <rPh sb="0" eb="2">
      <t>サンショウ</t>
    </rPh>
    <rPh sb="2" eb="3">
      <t>チ</t>
    </rPh>
    <phoneticPr fontId="27"/>
  </si>
  <si>
    <t>LR2/2.3 躯体材料におけるﾘｻｲｸﾙ材（高炉セメント）</t>
    <rPh sb="8" eb="10">
      <t>クタイ</t>
    </rPh>
    <rPh sb="10" eb="12">
      <t>ザイリョウ</t>
    </rPh>
    <rPh sb="21" eb="22">
      <t>ザイ</t>
    </rPh>
    <rPh sb="23" eb="25">
      <t>コウロ</t>
    </rPh>
    <phoneticPr fontId="27"/>
  </si>
  <si>
    <t>1-2.　合計の計算</t>
    <rPh sb="5" eb="7">
      <t>ゴウケイ</t>
    </rPh>
    <rPh sb="8" eb="10">
      <t>ケイサン</t>
    </rPh>
    <phoneticPr fontId="27"/>
  </si>
  <si>
    <t>建物寿命</t>
    <rPh sb="0" eb="2">
      <t>タテモノ</t>
    </rPh>
    <rPh sb="2" eb="4">
      <t>ジュミョウ</t>
    </rPh>
    <phoneticPr fontId="27"/>
  </si>
  <si>
    <t>代表的な資材量</t>
    <rPh sb="0" eb="3">
      <t>ダイヒョウテキ</t>
    </rPh>
    <rPh sb="4" eb="6">
      <t>シザイ</t>
    </rPh>
    <rPh sb="6" eb="7">
      <t>リョウ</t>
    </rPh>
    <phoneticPr fontId="27"/>
  </si>
  <si>
    <t>LR2/2.2 既存建築躯体</t>
    <rPh sb="8" eb="10">
      <t>キソン</t>
    </rPh>
    <rPh sb="10" eb="12">
      <t>ケンチク</t>
    </rPh>
    <rPh sb="12" eb="14">
      <t>クタイ</t>
    </rPh>
    <phoneticPr fontId="27"/>
  </si>
  <si>
    <t>LR2/2.3 ﾘｻｲｸﾙ材（高炉セメント）</t>
    <rPh sb="13" eb="14">
      <t>ザイ</t>
    </rPh>
    <rPh sb="15" eb="17">
      <t>コウロ</t>
    </rPh>
    <phoneticPr fontId="27"/>
  </si>
  <si>
    <t>普通コンクリート</t>
    <rPh sb="0" eb="2">
      <t>フツウ</t>
    </rPh>
    <phoneticPr fontId="27"/>
  </si>
  <si>
    <t>ｍ3/㎡</t>
  </si>
  <si>
    <t>高炉セメントコンクリート</t>
    <rPh sb="0" eb="2">
      <t>コウロ</t>
    </rPh>
    <phoneticPr fontId="27"/>
  </si>
  <si>
    <t>鉄　骨</t>
    <rPh sb="0" eb="1">
      <t>テツ</t>
    </rPh>
    <rPh sb="2" eb="3">
      <t>ホネ</t>
    </rPh>
    <phoneticPr fontId="27"/>
  </si>
  <si>
    <t>ｔ/㎡</t>
  </si>
  <si>
    <t>鉄骨 (電炉）</t>
    <rPh sb="0" eb="1">
      <t>テツ</t>
    </rPh>
    <rPh sb="1" eb="2">
      <t>ホネ</t>
    </rPh>
    <rPh sb="4" eb="6">
      <t>デンロ</t>
    </rPh>
    <phoneticPr fontId="27"/>
  </si>
  <si>
    <t>鉄　筋</t>
    <rPh sb="0" eb="1">
      <t>テツ</t>
    </rPh>
    <rPh sb="2" eb="3">
      <t>スジ</t>
    </rPh>
    <phoneticPr fontId="27"/>
  </si>
  <si>
    <t xml:space="preserve"> [1]実排出係数 </t>
    <phoneticPr fontId="27"/>
  </si>
  <si>
    <t>　（１）評価条件として、与えられた排出係数を用いる場合</t>
    <phoneticPr fontId="27"/>
  </si>
  <si>
    <t>排出係数</t>
    <phoneticPr fontId="27"/>
  </si>
  <si>
    <t>N.A.</t>
    <phoneticPr fontId="27"/>
  </si>
  <si>
    <t>　　①</t>
    <phoneticPr fontId="27"/>
  </si>
  <si>
    <t>排出係数</t>
    <phoneticPr fontId="27"/>
  </si>
  <si>
    <t>　　②</t>
    <phoneticPr fontId="27"/>
  </si>
  <si>
    <t>　　③</t>
    <phoneticPr fontId="27"/>
  </si>
  <si>
    <t>代替値</t>
    <phoneticPr fontId="27"/>
  </si>
  <si>
    <t>　（３）上記以外の場合</t>
    <phoneticPr fontId="27"/>
  </si>
  <si>
    <t>SQ</t>
    <phoneticPr fontId="27"/>
  </si>
  <si>
    <t>background</t>
    <phoneticPr fontId="27"/>
  </si>
  <si>
    <t>Score(RoundDown)</t>
    <phoneticPr fontId="27"/>
  </si>
  <si>
    <t>std</t>
    <phoneticPr fontId="27"/>
  </si>
  <si>
    <t>SLR</t>
    <phoneticPr fontId="27"/>
  </si>
  <si>
    <t>Q2</t>
    <phoneticPr fontId="27"/>
  </si>
  <si>
    <t>全般照明方式の場合で室内にやや不快に感じる程度の暗い部分がある。</t>
    <phoneticPr fontId="27"/>
  </si>
  <si>
    <t>全般照明方式の場合で室内にほとんど暗い部分がない。</t>
    <phoneticPr fontId="27"/>
  </si>
  <si>
    <t>病</t>
    <phoneticPr fontId="27"/>
  </si>
  <si>
    <t>照明制御ができない。</t>
    <phoneticPr fontId="27"/>
  </si>
  <si>
    <t>執務者・売り場等について複数単位の大まかな照明制御ができる。</t>
    <phoneticPr fontId="27"/>
  </si>
  <si>
    <t>明るさや学習形態に応じた制御区画であり、在室者自らが点灯・消灯によって制御できる</t>
    <phoneticPr fontId="27"/>
  </si>
  <si>
    <t>各執務者・売り場等の部分について、細かな照明制御ができる、または、自動照明制御ができる。</t>
    <phoneticPr fontId="27"/>
  </si>
  <si>
    <t>制御区画が分かれていない、かつ、照明制御盤・器具等で調整できない。</t>
    <phoneticPr fontId="27"/>
  </si>
  <si>
    <t>明るさや学習形態に応じた制御区画ではない。</t>
    <phoneticPr fontId="27"/>
  </si>
  <si>
    <t>照明制御ができない。</t>
    <phoneticPr fontId="27"/>
  </si>
  <si>
    <t>風害、砂塵、日照阻害の抑制</t>
    <rPh sb="0" eb="2">
      <t>ﾌｳｶﾞｲ</t>
    </rPh>
    <rPh sb="3" eb="5">
      <t>ｻｼﾞﾝ</t>
    </rPh>
    <rPh sb="6" eb="8">
      <t>ﾆｯｼｮｳ</t>
    </rPh>
    <rPh sb="8" eb="10">
      <t>ｿｶﾞｲ</t>
    </rPh>
    <rPh sb="11" eb="13">
      <t>ﾖｸｾｲ</t>
    </rPh>
    <phoneticPr fontId="39" type="noConversion"/>
  </si>
  <si>
    <t>病(診)</t>
    <rPh sb="0" eb="1">
      <t>ビョウ</t>
    </rPh>
    <rPh sb="2" eb="3">
      <t>ミ</t>
    </rPh>
    <phoneticPr fontId="27"/>
  </si>
  <si>
    <t>空調居住域の上下温度差、気流速度や非空調部屋との室間温度差などについて特に配慮していない空調方式が計画されている。</t>
  </si>
  <si>
    <t>空調居住域の上下温度差、気流速度や非空調部屋との室間温度差などに配慮した空調方式が計画されている。</t>
  </si>
  <si>
    <t>居住域の上下温度差や気流速度が少なくなり、また診療室内の間仕切りに配慮された空調方式＊が採用されている。あるいは、その他の空調方式で、上下温度差および気流速度の目標値をおおよそ2℃以内、0.15m/s程度に設定している。</t>
    <rPh sb="59" eb="60">
      <t>タ</t>
    </rPh>
    <rPh sb="61" eb="63">
      <t>クウチョウ</t>
    </rPh>
    <rPh sb="63" eb="65">
      <t>ホウシキ</t>
    </rPh>
    <phoneticPr fontId="27"/>
  </si>
  <si>
    <r>
      <t xml:space="preserve">2.3.1 </t>
    </r>
    <r>
      <rPr>
        <b/>
        <sz val="10"/>
        <rFont val="ＭＳ Ｐゴシック"/>
        <family val="3"/>
        <charset val="128"/>
      </rPr>
      <t>上下温度差</t>
    </r>
    <rPh sb="6" eb="8">
      <t>ジョウゲ</t>
    </rPh>
    <rPh sb="8" eb="11">
      <t>オンドサ</t>
    </rPh>
    <phoneticPr fontId="27"/>
  </si>
  <si>
    <r>
      <t xml:space="preserve">2.3.2 </t>
    </r>
    <r>
      <rPr>
        <b/>
        <sz val="10"/>
        <rFont val="ＭＳ Ｐゴシック"/>
        <family val="3"/>
        <charset val="128"/>
      </rPr>
      <t>平均気流速度</t>
    </r>
    <rPh sb="6" eb="8">
      <t>ヘイキン</t>
    </rPh>
    <rPh sb="8" eb="10">
      <t>キリュウ</t>
    </rPh>
    <rPh sb="10" eb="12">
      <t>ソクド</t>
    </rPh>
    <phoneticPr fontId="27"/>
  </si>
  <si>
    <t>事・学・物・飲・会・病（待・診）・ホ・工・住</t>
    <rPh sb="0" eb="1">
      <t>コト</t>
    </rPh>
    <rPh sb="2" eb="3">
      <t>ガク</t>
    </rPh>
    <rPh sb="4" eb="5">
      <t>モノ</t>
    </rPh>
    <rPh sb="6" eb="7">
      <t>イン</t>
    </rPh>
    <rPh sb="8" eb="9">
      <t>カイ</t>
    </rPh>
    <rPh sb="10" eb="11">
      <t>ヤマイ</t>
    </rPh>
    <rPh sb="21" eb="22">
      <t>ジュウ</t>
    </rPh>
    <phoneticPr fontId="27"/>
  </si>
  <si>
    <t>0.45ｍ/ｓ＜ [平均気流速度]</t>
  </si>
  <si>
    <t>0.35ｍ/ｓ＜ [平均気流速度] ≦0.45ｍ/ｓ</t>
  </si>
  <si>
    <t>0.25ｍ/ｓ＜ [平均気流速度] ≦0.35ｍ/ｓ</t>
  </si>
  <si>
    <t>0.15ｍ/ｓ＜ [平均気流速度] ≦0.25ｍ/ｓ</t>
  </si>
  <si>
    <t>[上下温度差] ≦2℃</t>
  </si>
  <si>
    <t>[平均気流速度] ≦0.15ｍ/ｓ</t>
  </si>
  <si>
    <t>事前調査や予防計画や低減・回避対策等は行っている。そして机上予測に基づいて風力階級による評価を行い、結果として悪化していない。又は風環境評価指標によるランク評価を行い、結果として立地に対応する風環境のランクを確保している。</t>
  </si>
  <si>
    <t>事前調査や予防計画や低減・回避対策を行っており、風環境評価指標によるランク評価を行っている。その結果、一部に立地に対応する風環境のランクより上のランクがある。</t>
  </si>
  <si>
    <t>事前調査や予防計画や低減・回避対策を行っており、風環境評価指標によるランク評価を行っている。その結果、立地に対応する風環境のランクより上のランクにある。</t>
  </si>
  <si>
    <r>
      <t>3.2.2</t>
    </r>
    <r>
      <rPr>
        <b/>
        <sz val="10"/>
        <rFont val="ＭＳ Ｐゴシック"/>
        <family val="3"/>
        <charset val="128"/>
      </rPr>
      <t>　砂塵の抑制</t>
    </r>
    <rPh sb="6" eb="8">
      <t>サジン</t>
    </rPh>
    <rPh sb="9" eb="11">
      <t>ヨクセイ</t>
    </rPh>
    <phoneticPr fontId="27"/>
  </si>
  <si>
    <t>学(小中高)</t>
    <rPh sb="2" eb="5">
      <t>ショウチュウコウ</t>
    </rPh>
    <phoneticPr fontId="27"/>
  </si>
  <si>
    <t>（評価ポイント　0）</t>
  </si>
  <si>
    <t>校庭からの砂塵に対して、標準以上の取組みが行われている。（評価ポイント3）</t>
  </si>
  <si>
    <t>校庭からの砂塵に対して、充実した取組みが行われている。（評価ポイント4以上）</t>
    <rPh sb="35" eb="37">
      <t>イジョウ</t>
    </rPh>
    <phoneticPr fontId="27"/>
  </si>
  <si>
    <t>3）校庭を砂塵が発生しない舗装または芝生としている。</t>
  </si>
  <si>
    <r>
      <t xml:space="preserve">3.2.3 </t>
    </r>
    <r>
      <rPr>
        <b/>
        <sz val="10"/>
        <rFont val="ＭＳ Ｐゴシック"/>
        <family val="3"/>
        <charset val="128"/>
      </rPr>
      <t>日照阻害の抑制</t>
    </r>
    <rPh sb="6" eb="8">
      <t>ニッショウ</t>
    </rPh>
    <phoneticPr fontId="27"/>
  </si>
  <si>
    <t>光害の抑制</t>
    <rPh sb="0" eb="1">
      <t>ヒカリ</t>
    </rPh>
    <rPh sb="1" eb="2">
      <t>ガイ</t>
    </rPh>
    <rPh sb="3" eb="5">
      <t>ヨクセイ</t>
    </rPh>
    <phoneticPr fontId="27"/>
  </si>
  <si>
    <t>評価する取組み</t>
    <rPh sb="0" eb="2">
      <t>ヒョウカ</t>
    </rPh>
    <rPh sb="4" eb="5">
      <t>ト</t>
    </rPh>
    <rPh sb="5" eb="6">
      <t>ク</t>
    </rPh>
    <phoneticPr fontId="27"/>
  </si>
  <si>
    <t>1)　屋外照明および屋内照明のうち外に漏れる光</t>
  </si>
  <si>
    <t>配管からの騒音（透過騒音）</t>
    <rPh sb="0" eb="2">
      <t>ハイカン</t>
    </rPh>
    <rPh sb="5" eb="7">
      <t>ソウオン</t>
    </rPh>
    <rPh sb="8" eb="10">
      <t>トウカ</t>
    </rPh>
    <rPh sb="10" eb="12">
      <t>ソウオン</t>
    </rPh>
    <phoneticPr fontId="27"/>
  </si>
  <si>
    <t>冬期20℃、夏期28℃と多少我慢を強いる室温を実現するための最低限の設備容量が確保されている。</t>
  </si>
  <si>
    <t>冬期10℃以上、夏期30℃以下と多少我慢を強いる室温を実現するための最低限の設備容量が確保されている。</t>
  </si>
  <si>
    <t>冬期18℃、夏期28℃と多少我慢を強いる室温を実現するための最低限の設備容量が確保されている。</t>
  </si>
  <si>
    <t>一般的な設定値である冬期22℃、夏期26℃の室温を実現するための設備容量が確保されている。</t>
  </si>
  <si>
    <t>一般的な設定値である冬期20℃、夏期26℃の室温を実現するための設備容量が確保されている。</t>
  </si>
  <si>
    <r>
      <t xml:space="preserve">2.1.2 </t>
    </r>
    <r>
      <rPr>
        <b/>
        <sz val="10"/>
        <rFont val="ＭＳ Ｐゴシック"/>
        <family val="3"/>
        <charset val="128"/>
      </rPr>
      <t>負荷変動・追従制御性</t>
    </r>
    <rPh sb="6" eb="8">
      <t>フカ</t>
    </rPh>
    <rPh sb="8" eb="10">
      <t>ヘンドウ</t>
    </rPh>
    <rPh sb="11" eb="13">
      <t>ツイジュウ</t>
    </rPh>
    <rPh sb="13" eb="16">
      <t>セイギョセイ</t>
    </rPh>
    <phoneticPr fontId="27"/>
  </si>
  <si>
    <t>学・物・飲・会</t>
    <rPh sb="0" eb="1">
      <t>ガク</t>
    </rPh>
    <rPh sb="2" eb="3">
      <t>ブツ</t>
    </rPh>
    <rPh sb="4" eb="5">
      <t>イン</t>
    </rPh>
    <rPh sb="6" eb="7">
      <t>カイ</t>
    </rPh>
    <phoneticPr fontId="27"/>
  </si>
  <si>
    <t>急激な負荷変動に対する考慮は特にしていない。</t>
  </si>
  <si>
    <t>一般的な負荷変動を考慮し、ある程度制御可能なシステムになっている。</t>
  </si>
  <si>
    <r>
      <t xml:space="preserve">1.1.2 </t>
    </r>
    <r>
      <rPr>
        <b/>
        <sz val="10"/>
        <rFont val="ＭＳ Ｐゴシック"/>
        <family val="3"/>
        <charset val="128"/>
      </rPr>
      <t>設備騒音対策</t>
    </r>
    <rPh sb="6" eb="8">
      <t>セツビ</t>
    </rPh>
    <rPh sb="8" eb="10">
      <t>ソウオン</t>
    </rPh>
    <rPh sb="10" eb="11">
      <t>タイ</t>
    </rPh>
    <rPh sb="11" eb="12">
      <t>サク</t>
    </rPh>
    <phoneticPr fontId="27"/>
  </si>
  <si>
    <t>建物全体・共用部分</t>
    <phoneticPr fontId="27"/>
  </si>
  <si>
    <t>住</t>
  </si>
  <si>
    <t>騒音対策を行っていない（評価する取組みにおいてなんら取組みがない）</t>
  </si>
  <si>
    <t>防音管巻き、位置など</t>
    <rPh sb="0" eb="2">
      <t>ボウオン</t>
    </rPh>
    <rPh sb="2" eb="3">
      <t>カン</t>
    </rPh>
    <rPh sb="3" eb="4">
      <t>マ</t>
    </rPh>
    <rPh sb="6" eb="8">
      <t>イチ</t>
    </rPh>
    <phoneticPr fontId="27"/>
  </si>
  <si>
    <t>防振吊り、防振支持、フレキシブルジョイント、貫通部の防振施工など</t>
  </si>
  <si>
    <t>同上（固体伝播音）</t>
    <rPh sb="0" eb="2">
      <t>ドウジョウ</t>
    </rPh>
    <rPh sb="3" eb="5">
      <t>コタイ</t>
    </rPh>
    <rPh sb="5" eb="7">
      <t>デンパン</t>
    </rPh>
    <rPh sb="7" eb="8">
      <t>オン</t>
    </rPh>
    <phoneticPr fontId="27"/>
  </si>
  <si>
    <t>防振吊り、防振支持、フレキシブルジョイント、貫通部の防振施工など</t>
    <rPh sb="0" eb="2">
      <t>ボウシン</t>
    </rPh>
    <rPh sb="2" eb="3">
      <t>ツ</t>
    </rPh>
    <rPh sb="5" eb="7">
      <t>ボウシン</t>
    </rPh>
    <rPh sb="7" eb="9">
      <t>シジ</t>
    </rPh>
    <rPh sb="22" eb="24">
      <t>カンツウ</t>
    </rPh>
    <rPh sb="24" eb="25">
      <t>ブ</t>
    </rPh>
    <rPh sb="26" eb="28">
      <t>ボウシン</t>
    </rPh>
    <rPh sb="28" eb="30">
      <t>セコウ</t>
    </rPh>
    <phoneticPr fontId="27"/>
  </si>
  <si>
    <t>防音塀、遮蔽体、防振支持、位置など</t>
    <rPh sb="0" eb="2">
      <t>ボウオン</t>
    </rPh>
    <rPh sb="2" eb="3">
      <t>ヘイ</t>
    </rPh>
    <phoneticPr fontId="27"/>
  </si>
  <si>
    <t>ビルマルチエアコン室内機等からの騒音</t>
    <rPh sb="9" eb="12">
      <t>シツナイキ</t>
    </rPh>
    <rPh sb="12" eb="13">
      <t>トウ</t>
    </rPh>
    <rPh sb="16" eb="18">
      <t>ソウオン</t>
    </rPh>
    <phoneticPr fontId="27"/>
  </si>
  <si>
    <t>低騒音タイプの機器の採用など</t>
    <rPh sb="0" eb="3">
      <t>テイソウオン</t>
    </rPh>
    <rPh sb="7" eb="9">
      <t>キキ</t>
    </rPh>
    <rPh sb="10" eb="12">
      <t>サイヨウ</t>
    </rPh>
    <phoneticPr fontId="27"/>
  </si>
  <si>
    <t>位置、風量・風速の適正化など</t>
  </si>
  <si>
    <t>１～７地域</t>
    <rPh sb="3" eb="5">
      <t>チイキ</t>
    </rPh>
    <phoneticPr fontId="27"/>
  </si>
  <si>
    <t>1～7地域</t>
    <rPh sb="3" eb="5">
      <t>チイキ</t>
    </rPh>
    <phoneticPr fontId="27"/>
  </si>
  <si>
    <t>自然エネルギーの利用</t>
    <rPh sb="0" eb="2">
      <t>シゼン</t>
    </rPh>
    <rPh sb="8" eb="10">
      <t>リヨウ</t>
    </rPh>
    <rPh sb="9" eb="10">
      <t>チョクリ</t>
    </rPh>
    <phoneticPr fontId="27"/>
  </si>
  <si>
    <t>加湿機能・除湿機能を有し、かつ45％～55％の範囲の湿度を実現することが可能な設備容量が確保されている。</t>
  </si>
  <si>
    <t>事・学・物・飲・会・病(待)・ホ・工・住</t>
    <rPh sb="12" eb="13">
      <t>マ</t>
    </rPh>
    <rPh sb="19" eb="20">
      <t>ジュウ</t>
    </rPh>
    <phoneticPr fontId="27"/>
  </si>
  <si>
    <t>事・学・物・飲・会・病・ホ・工</t>
    <rPh sb="0" eb="1">
      <t>コト</t>
    </rPh>
    <rPh sb="2" eb="3">
      <t>ガク</t>
    </rPh>
    <rPh sb="4" eb="5">
      <t>モノ</t>
    </rPh>
    <rPh sb="6" eb="7">
      <t>イン</t>
    </rPh>
    <rPh sb="8" eb="9">
      <t>カイ</t>
    </rPh>
    <rPh sb="10" eb="11">
      <t>ヤマイ</t>
    </rPh>
    <rPh sb="14" eb="15">
      <t>コウ</t>
    </rPh>
    <phoneticPr fontId="27"/>
  </si>
  <si>
    <t>外気が空調機でレタンと混合され各室に熱負荷から決まる風量で配分される等、各室の負荷条件によっては、必ずしも必要な場所に必要な外気量が保証されないシステムとなっている。</t>
  </si>
  <si>
    <t>外気がレタンと混合されず、各室の必要外気量が直接各室に供給されている等、各室の負荷条件によらず、必要な場所に必要な外気量が保証されるシステムとなっている。</t>
  </si>
  <si>
    <t xml:space="preserve">評価する取組み表の評価ポイントの合計値が6～12ポイント </t>
    <phoneticPr fontId="27"/>
  </si>
  <si>
    <t>評価する取組み表の評価ポイントの合計値が13～19ポイント</t>
    <phoneticPr fontId="27"/>
  </si>
  <si>
    <t>評価する取組み表の評価ポイントの合計値が20ポイント以上</t>
    <phoneticPr fontId="27"/>
  </si>
  <si>
    <t>評価項目</t>
    <phoneticPr fontId="27"/>
  </si>
  <si>
    <t>評価ポイント</t>
    <phoneticPr fontId="27"/>
  </si>
  <si>
    <t>1～2</t>
    <phoneticPr fontId="27"/>
  </si>
  <si>
    <t>LR2 3.2</t>
  </si>
  <si>
    <t>発泡剤（断熱材等）</t>
  </si>
  <si>
    <t>冷媒</t>
  </si>
  <si>
    <t>LR3 2</t>
  </si>
  <si>
    <t>LR3 2.3</t>
  </si>
  <si>
    <t>LR3 3</t>
  </si>
  <si>
    <t>LR3 3.1</t>
  </si>
  <si>
    <t>振動</t>
    <rPh sb="0" eb="2">
      <t>ｼﾝﾄﾞｳ</t>
    </rPh>
    <phoneticPr fontId="39" type="noConversion"/>
  </si>
  <si>
    <t>換算係数</t>
    <rPh sb="0" eb="2">
      <t>カンサン</t>
    </rPh>
    <rPh sb="2" eb="4">
      <t>ケイスウ</t>
    </rPh>
    <phoneticPr fontId="29"/>
  </si>
  <si>
    <t>2.1.4</t>
  </si>
  <si>
    <t>ゾーン別制御性</t>
  </si>
  <si>
    <t>2.1.5</t>
  </si>
  <si>
    <t>温度・湿度制御</t>
  </si>
  <si>
    <t>2.1.6</t>
  </si>
  <si>
    <t>個別制御</t>
  </si>
  <si>
    <t>2.1.7</t>
  </si>
  <si>
    <t>時間外空調に対する配慮</t>
  </si>
  <si>
    <t>2.1.8</t>
  </si>
  <si>
    <t>監視システム</t>
  </si>
  <si>
    <t xml:space="preserve"> Q1 2.3</t>
  </si>
  <si>
    <t xml:space="preserve"> Q1 3</t>
  </si>
  <si>
    <t xml:space="preserve"> Q1 3.1</t>
  </si>
  <si>
    <t>昼光率</t>
  </si>
  <si>
    <t>方位別開口</t>
  </si>
  <si>
    <t>昼光利用設備</t>
  </si>
  <si>
    <t xml:space="preserve"> Q1 3.2</t>
  </si>
  <si>
    <t>照明器具のグレア</t>
  </si>
  <si>
    <t>昼光制御</t>
  </si>
  <si>
    <t>3.2.3</t>
  </si>
  <si>
    <t xml:space="preserve"> Q1 3.3</t>
  </si>
  <si>
    <t xml:space="preserve"> Q1 4</t>
  </si>
  <si>
    <t xml:space="preserve"> Q1 4.1</t>
  </si>
  <si>
    <t xml:space="preserve"> 化学汚染物質</t>
  </si>
  <si>
    <t xml:space="preserve"> ダニ・カビ等</t>
  </si>
  <si>
    <t xml:space="preserve"> レジオネラ対策</t>
  </si>
  <si>
    <t xml:space="preserve"> Q1 4.2</t>
  </si>
  <si>
    <t>換気量</t>
  </si>
  <si>
    <t>自然換気性能</t>
  </si>
  <si>
    <t>取り入れ外気への配慮</t>
  </si>
  <si>
    <t xml:space="preserve"> Q1 4.3</t>
  </si>
  <si>
    <t xml:space="preserve"> Q2</t>
  </si>
  <si>
    <t>機能性</t>
  </si>
  <si>
    <t xml:space="preserve"> Q2 1</t>
  </si>
  <si>
    <t>機能性・使いやすさ</t>
    <rPh sb="0" eb="3">
      <t>キノウセイ</t>
    </rPh>
    <rPh sb="4" eb="5">
      <t>ヅカ</t>
    </rPh>
    <phoneticPr fontId="27"/>
  </si>
  <si>
    <t xml:space="preserve"> Q2 1.1</t>
  </si>
  <si>
    <t>広さ・収納性</t>
  </si>
  <si>
    <t>バリアフリー計画</t>
  </si>
  <si>
    <t xml:space="preserve"> Q2 1.2</t>
  </si>
  <si>
    <t>広さ感・景観</t>
  </si>
  <si>
    <t>リフレッシュスペース</t>
  </si>
  <si>
    <t>内装計画</t>
  </si>
  <si>
    <t>1.3.1</t>
  </si>
  <si>
    <t>効率的運用</t>
    <rPh sb="0" eb="3">
      <t>コウリツテキ</t>
    </rPh>
    <rPh sb="3" eb="5">
      <t>ウンヨウ</t>
    </rPh>
    <phoneticPr fontId="27"/>
  </si>
  <si>
    <t>事・学・物・飲・会・病・ホ・工</t>
    <rPh sb="14" eb="15">
      <t>コウ</t>
    </rPh>
    <phoneticPr fontId="27"/>
  </si>
  <si>
    <t>敷地内温熱環境の向上</t>
    <phoneticPr fontId="27"/>
  </si>
  <si>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7"/>
  </si>
  <si>
    <t>注2：</t>
    <rPh sb="0" eb="1">
      <t>チュウ</t>
    </rPh>
    <phoneticPr fontId="27"/>
  </si>
  <si>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7"/>
  </si>
  <si>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7"/>
  </si>
  <si>
    <t>注3：</t>
    <rPh sb="0" eb="1">
      <t>チュウ</t>
    </rPh>
    <phoneticPr fontId="27"/>
  </si>
  <si>
    <t>■評価ソフト：</t>
    <rPh sb="1" eb="3">
      <t>ヒョウカ</t>
    </rPh>
    <phoneticPr fontId="27"/>
  </si>
  <si>
    <t>スコアシート</t>
    <phoneticPr fontId="39" type="noConversion"/>
  </si>
  <si>
    <t>建物全体・共用部分</t>
    <rPh sb="0" eb="2">
      <t>タテモノ</t>
    </rPh>
    <rPh sb="2" eb="4">
      <t>ゼンタイ</t>
    </rPh>
    <rPh sb="5" eb="7">
      <t>キョウヨウ</t>
    </rPh>
    <rPh sb="7" eb="9">
      <t>ブブン</t>
    </rPh>
    <phoneticPr fontId="27"/>
  </si>
  <si>
    <t>住居・宿泊部分</t>
    <rPh sb="0" eb="2">
      <t>ジュウキョ</t>
    </rPh>
    <rPh sb="3" eb="5">
      <t>シュクハク</t>
    </rPh>
    <rPh sb="5" eb="7">
      <t>ブブン</t>
    </rPh>
    <phoneticPr fontId="27"/>
  </si>
  <si>
    <t>建物全体</t>
    <rPh sb="0" eb="2">
      <t>タテモノ</t>
    </rPh>
    <rPh sb="2" eb="4">
      <t>ゼンタイ</t>
    </rPh>
    <phoneticPr fontId="27"/>
  </si>
  <si>
    <t>住居宿泊</t>
    <rPh sb="0" eb="2">
      <t>ジュウキョ</t>
    </rPh>
    <rPh sb="2" eb="4">
      <t>シュクハク</t>
    </rPh>
    <phoneticPr fontId="27"/>
  </si>
  <si>
    <r>
      <t>Q3</t>
    </r>
    <r>
      <rPr>
        <b/>
        <sz val="14"/>
        <rFont val="ＭＳ Ｐゴシック"/>
        <family val="3"/>
        <charset val="128"/>
      </rPr>
      <t>　室外環境（敷地内）</t>
    </r>
    <phoneticPr fontId="27"/>
  </si>
  <si>
    <t>○</t>
    <phoneticPr fontId="27"/>
  </si>
  <si>
    <t>はい</t>
    <phoneticPr fontId="27"/>
  </si>
  <si>
    <t>いいえ</t>
    <phoneticPr fontId="27"/>
  </si>
  <si>
    <t>生物環境の保全と創出に関して配慮されているが、取り組みが十分とはいえない。(評価ポイント4～6)</t>
    <phoneticPr fontId="27"/>
  </si>
  <si>
    <t>生物環境の保全と創出に関して配慮されており、標準的な取り組みが行われている。(評価ポイント7～9)</t>
    <phoneticPr fontId="27"/>
  </si>
  <si>
    <t>　レベル　1</t>
    <phoneticPr fontId="27"/>
  </si>
  <si>
    <t>■レベル　1</t>
    <phoneticPr fontId="27"/>
  </si>
  <si>
    <t>生物環境の保全と創出に関して配慮されており、比較的多くの取り組みが行われている。(評価ポイント10～12)</t>
    <phoneticPr fontId="27"/>
  </si>
  <si>
    <t>生物環境の保全と創出に関して十分配慮されており、充実した取り組みが行われている。(評価ポイント13以上）</t>
    <phoneticPr fontId="27"/>
  </si>
  <si>
    <t>I 立地特性の把握と計画方針の設定</t>
    <phoneticPr fontId="27"/>
  </si>
  <si>
    <t>レベル</t>
    <phoneticPr fontId="27"/>
  </si>
  <si>
    <t>II 生物資源の保存と復元</t>
    <phoneticPr fontId="27"/>
  </si>
  <si>
    <t>―</t>
    <phoneticPr fontId="27"/>
  </si>
  <si>
    <t>③　水を使用し清掃する箇所（トイレ、ゴミ庫、厨房）には２／１００程度の適度な勾配を計画している。</t>
    <phoneticPr fontId="27"/>
  </si>
  <si>
    <t>同左</t>
  </si>
  <si>
    <t>国内消費支出分</t>
    <rPh sb="0" eb="2">
      <t>コクナイ</t>
    </rPh>
    <rPh sb="2" eb="4">
      <t>ショウヒ</t>
    </rPh>
    <rPh sb="4" eb="6">
      <t>シシュツ</t>
    </rPh>
    <rPh sb="6" eb="7">
      <t>ブン</t>
    </rPh>
    <phoneticPr fontId="27"/>
  </si>
  <si>
    <t>躯体・基礎の寿命（年）</t>
    <rPh sb="0" eb="2">
      <t>クタイ</t>
    </rPh>
    <rPh sb="3" eb="5">
      <t>キソ</t>
    </rPh>
    <rPh sb="6" eb="8">
      <t>ジュミョウ</t>
    </rPh>
    <rPh sb="9" eb="10">
      <t>ネン</t>
    </rPh>
    <phoneticPr fontId="27"/>
  </si>
  <si>
    <t>Q2/2.2.1 躯体材料</t>
    <rPh sb="9" eb="11">
      <t>クタイ</t>
    </rPh>
    <rPh sb="11" eb="13">
      <t>ザイリョウ</t>
    </rPh>
    <phoneticPr fontId="27"/>
  </si>
  <si>
    <t>再利用なし</t>
    <rPh sb="0" eb="3">
      <t>サイリヨウ</t>
    </rPh>
    <phoneticPr fontId="27"/>
  </si>
  <si>
    <t>高炉ｾﾒﾝﾄ100%</t>
    <rPh sb="0" eb="2">
      <t>コウロ</t>
    </rPh>
    <phoneticPr fontId="27"/>
  </si>
  <si>
    <t>更新周期(年）</t>
    <rPh sb="0" eb="2">
      <t>コウシン</t>
    </rPh>
    <rPh sb="2" eb="4">
      <t>シュウキ</t>
    </rPh>
    <rPh sb="5" eb="6">
      <t>ネン</t>
    </rPh>
    <phoneticPr fontId="27"/>
  </si>
  <si>
    <t>外装</t>
    <rPh sb="0" eb="2">
      <t>ガイソウ</t>
    </rPh>
    <phoneticPr fontId="27"/>
  </si>
  <si>
    <t>年</t>
    <rPh sb="0" eb="1">
      <t>ネン</t>
    </rPh>
    <phoneticPr fontId="27"/>
  </si>
  <si>
    <t>屋根</t>
    <rPh sb="0" eb="2">
      <t>ヤネ</t>
    </rPh>
    <phoneticPr fontId="27"/>
  </si>
  <si>
    <t>内装</t>
    <rPh sb="0" eb="2">
      <t>ナイソウ</t>
    </rPh>
    <phoneticPr fontId="27"/>
  </si>
  <si>
    <t>設備</t>
    <rPh sb="0" eb="2">
      <t>セツビ</t>
    </rPh>
    <phoneticPr fontId="27"/>
  </si>
  <si>
    <t>平均修繕率</t>
    <rPh sb="0" eb="2">
      <t>ヘイキン</t>
    </rPh>
    <rPh sb="2" eb="4">
      <t>シュウゼン</t>
    </rPh>
    <rPh sb="4" eb="5">
      <t>リツ</t>
    </rPh>
    <phoneticPr fontId="27"/>
  </si>
  <si>
    <t>/年</t>
    <rPh sb="1" eb="2">
      <t>ネン</t>
    </rPh>
    <phoneticPr fontId="27"/>
  </si>
  <si>
    <t>参照値（参照建物）</t>
    <rPh sb="0" eb="2">
      <t>サンショウ</t>
    </rPh>
    <rPh sb="2" eb="3">
      <t>チ</t>
    </rPh>
    <rPh sb="4" eb="6">
      <t>サンショウ</t>
    </rPh>
    <rPh sb="6" eb="8">
      <t>タテモノ</t>
    </rPh>
    <phoneticPr fontId="27"/>
  </si>
  <si>
    <t>建物
概要</t>
    <rPh sb="0" eb="2">
      <t>タテモノ</t>
    </rPh>
    <rPh sb="3" eb="5">
      <t>ガイヨウ</t>
    </rPh>
    <phoneticPr fontId="27"/>
  </si>
  <si>
    <t>建物規模</t>
    <rPh sb="0" eb="2">
      <t>タテモノ</t>
    </rPh>
    <rPh sb="2" eb="4">
      <t>キボ</t>
    </rPh>
    <phoneticPr fontId="27"/>
  </si>
  <si>
    <t>構造種別</t>
    <rPh sb="0" eb="2">
      <t>コウゾウ</t>
    </rPh>
    <rPh sb="2" eb="4">
      <t>シュベツ</t>
    </rPh>
    <phoneticPr fontId="27"/>
  </si>
  <si>
    <t>ライフサイクル設定</t>
    <rPh sb="7" eb="9">
      <t>セッテイ</t>
    </rPh>
    <phoneticPr fontId="27"/>
  </si>
  <si>
    <t>想定耐用年数</t>
    <rPh sb="0" eb="2">
      <t>ソウテイ</t>
    </rPh>
    <rPh sb="2" eb="4">
      <t>タイヨウ</t>
    </rPh>
    <rPh sb="4" eb="6">
      <t>ネンスウ</t>
    </rPh>
    <phoneticPr fontId="27"/>
  </si>
  <si>
    <r>
      <t>kg-CO</t>
    </r>
    <r>
      <rPr>
        <vertAlign val="subscript"/>
        <sz val="10"/>
        <rFont val="ＭＳ Ｐゴシック"/>
        <family val="3"/>
        <charset val="128"/>
      </rPr>
      <t>2</t>
    </r>
    <r>
      <rPr>
        <sz val="10"/>
        <rFont val="ＭＳ Ｐゴシック"/>
        <family val="3"/>
        <charset val="128"/>
      </rPr>
      <t>/年㎡</t>
    </r>
    <rPh sb="7" eb="8">
      <t>ネン</t>
    </rPh>
    <phoneticPr fontId="27"/>
  </si>
  <si>
    <t>地球温暖化への配慮</t>
    <rPh sb="0" eb="2">
      <t>チキュウ</t>
    </rPh>
    <rPh sb="2" eb="5">
      <t>オンダンカ</t>
    </rPh>
    <rPh sb="7" eb="9">
      <t>ハイリョ</t>
    </rPh>
    <phoneticPr fontId="27"/>
  </si>
  <si>
    <t>自然ｴﾈﾙｷﾞｰ</t>
    <rPh sb="0" eb="2">
      <t>シゼン</t>
    </rPh>
    <phoneticPr fontId="27"/>
  </si>
  <si>
    <t>非再生性材料の削減</t>
    <rPh sb="0" eb="1">
      <t>ヒ</t>
    </rPh>
    <rPh sb="1" eb="3">
      <t>サイセイ</t>
    </rPh>
    <rPh sb="3" eb="4">
      <t>セイ</t>
    </rPh>
    <rPh sb="4" eb="6">
      <t>ザイリョウ</t>
    </rPh>
    <rPh sb="7" eb="9">
      <t>サクゲン</t>
    </rPh>
    <phoneticPr fontId="27"/>
  </si>
  <si>
    <t>地域環境への配慮</t>
    <rPh sb="0" eb="2">
      <t>チイキ</t>
    </rPh>
    <rPh sb="2" eb="4">
      <t>カンキョウ</t>
    </rPh>
    <rPh sb="6" eb="8">
      <t>ハイリョ</t>
    </rPh>
    <phoneticPr fontId="27"/>
  </si>
  <si>
    <t>設備の効率的利用</t>
    <rPh sb="0" eb="2">
      <t>セツビ</t>
    </rPh>
    <rPh sb="3" eb="5">
      <t>コウリツ</t>
    </rPh>
    <rPh sb="5" eb="6">
      <t>テキ</t>
    </rPh>
    <rPh sb="6" eb="8">
      <t>リヨウ</t>
    </rPh>
    <phoneticPr fontId="27"/>
  </si>
  <si>
    <t>汚染物質回避</t>
    <rPh sb="0" eb="2">
      <t>オセン</t>
    </rPh>
    <rPh sb="2" eb="4">
      <t>ブッシツ</t>
    </rPh>
    <rPh sb="4" eb="6">
      <t>カイヒ</t>
    </rPh>
    <phoneticPr fontId="27"/>
  </si>
  <si>
    <t>周辺環境への配慮</t>
    <rPh sb="0" eb="2">
      <t>シュウヘン</t>
    </rPh>
    <rPh sb="2" eb="4">
      <t>カンキョウ</t>
    </rPh>
    <rPh sb="6" eb="8">
      <t>ハイリョ</t>
    </rPh>
    <phoneticPr fontId="27"/>
  </si>
  <si>
    <t>運用ﾏﾈｼﾞﾒﾝﾄ</t>
    <rPh sb="0" eb="2">
      <t>ウンヨウ</t>
    </rPh>
    <phoneticPr fontId="27"/>
  </si>
  <si>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9" type="noConversion"/>
  </si>
  <si>
    <t>注3</t>
    <rPh sb="0" eb="1">
      <t>チュウ</t>
    </rPh>
    <phoneticPr fontId="27"/>
  </si>
  <si>
    <t>心理性・快適性</t>
    <rPh sb="0" eb="1">
      <t>ｺｺﾛ</t>
    </rPh>
    <rPh sb="1" eb="3">
      <t>ﾘｾｲ</t>
    </rPh>
    <rPh sb="4" eb="7">
      <t>ｶｲﾃｷｾｲ</t>
    </rPh>
    <phoneticPr fontId="39" type="noConversion"/>
  </si>
  <si>
    <t>■レベル　1</t>
    <phoneticPr fontId="27"/>
  </si>
  <si>
    <t>個室8㎡/床で、かつ多床室6㎡/床以上。</t>
    <phoneticPr fontId="27"/>
  </si>
  <si>
    <t>シングル15㎡以上、かつツイン22㎡以上。</t>
    <phoneticPr fontId="27"/>
  </si>
  <si>
    <t>シングル22㎡以上、かつツイン32㎡以上。</t>
    <phoneticPr fontId="27"/>
  </si>
  <si>
    <t>個室10㎡/床で、かつ多床室8㎡/床以上。</t>
    <phoneticPr fontId="27"/>
  </si>
  <si>
    <t>シングル30㎡以上、かつツイン40㎡以上。</t>
    <phoneticPr fontId="27"/>
  </si>
  <si>
    <t>レベル</t>
    <phoneticPr fontId="27"/>
  </si>
  <si>
    <t>建物全体・共用部分</t>
    <phoneticPr fontId="27"/>
  </si>
  <si>
    <t>ホ・住</t>
    <phoneticPr fontId="27"/>
  </si>
  <si>
    <t>病・ホ</t>
    <rPh sb="0" eb="1">
      <t>ビョウ</t>
    </rPh>
    <phoneticPr fontId="27"/>
  </si>
  <si>
    <t>会話等の話の内容がわかる。</t>
    <rPh sb="0" eb="2">
      <t>カイワ</t>
    </rPh>
    <rPh sb="2" eb="3">
      <t>トウ</t>
    </rPh>
    <rPh sb="4" eb="5">
      <t>ハナシ</t>
    </rPh>
    <rPh sb="6" eb="8">
      <t>ナイヨウ</t>
    </rPh>
    <phoneticPr fontId="27"/>
  </si>
  <si>
    <t>　　　　　　　　　　　　　　　　　</t>
  </si>
  <si>
    <t>人の話し声がほとんど聞こえない。</t>
  </si>
  <si>
    <t>テレビ、ラジオ、会話等の一般の発生音が通常では聞こえない。</t>
  </si>
  <si>
    <t>隣戸の気配を感じない。</t>
  </si>
  <si>
    <t>Dr-30未満</t>
  </si>
  <si>
    <t>Dr-35未満</t>
  </si>
  <si>
    <t xml:space="preserve">Dr-30 </t>
  </si>
  <si>
    <t>Dr-35</t>
  </si>
  <si>
    <t>Dr-40</t>
  </si>
  <si>
    <t>事・学・物・飲・会・病・ホ・工・住</t>
    <rPh sb="14" eb="15">
      <t>コウ</t>
    </rPh>
    <rPh sb="16" eb="17">
      <t>ジュウ</t>
    </rPh>
    <phoneticPr fontId="27"/>
  </si>
  <si>
    <t>病・ホ</t>
    <rPh sb="0" eb="1">
      <t>ヤマイ</t>
    </rPh>
    <phoneticPr fontId="27"/>
  </si>
  <si>
    <t>窓,外壁,屋根や床（特にピロティ）において室内への熱の侵入に対しての配慮が十分でなく、日射遮蔽性能や断熱性能が低い。</t>
  </si>
  <si>
    <t>窓,外壁,屋根や床（特にピロティ）において、室内への熱の侵入に対しての配慮がなされており、実用上、日射遮蔽性能および断熱性能に問題がない。</t>
  </si>
  <si>
    <t>窓,外壁,屋根や床（特にピロティ）において、室内への熱の侵入に対して、十分な配慮がなされており、最良の日射遮蔽性能および断熱性能を有する。</t>
  </si>
  <si>
    <t>←　直接入力</t>
    <rPh sb="2" eb="4">
      <t>チョクセツ</t>
    </rPh>
    <rPh sb="4" eb="6">
      <t>ニュウリョク</t>
    </rPh>
    <phoneticPr fontId="27"/>
  </si>
  <si>
    <t>延床面積</t>
    <rPh sb="0" eb="4">
      <t>ノベユカメンセキ</t>
    </rPh>
    <phoneticPr fontId="27"/>
  </si>
  <si>
    <t>　</t>
  </si>
  <si>
    <t>吹出し口、吸込み口からの騒音</t>
    <rPh sb="12" eb="14">
      <t>ソウオン</t>
    </rPh>
    <phoneticPr fontId="27"/>
  </si>
  <si>
    <t>低騒音型吹出し口、低騒音型吸込み口、位置、風量・風速の適正化など</t>
  </si>
  <si>
    <t>○</t>
  </si>
  <si>
    <t>教室の天井高2.7m以上。</t>
    <rPh sb="0" eb="2">
      <t>キョウシツ</t>
    </rPh>
    <rPh sb="3" eb="5">
      <t>テンジョウ</t>
    </rPh>
    <rPh sb="5" eb="6">
      <t>ダカ</t>
    </rPh>
    <rPh sb="10" eb="12">
      <t>イジョウ</t>
    </rPh>
    <phoneticPr fontId="27"/>
  </si>
  <si>
    <t>教室の天井高3.0m以上。</t>
  </si>
  <si>
    <t>教室の天井高3.1m以上。</t>
  </si>
  <si>
    <t>教室の天井高3.2m以上。</t>
  </si>
  <si>
    <t>物</t>
    <rPh sb="0" eb="1">
      <t>モノ</t>
    </rPh>
    <phoneticPr fontId="27"/>
  </si>
  <si>
    <r>
      <t xml:space="preserve">1.2.3 </t>
    </r>
    <r>
      <rPr>
        <b/>
        <sz val="10"/>
        <rFont val="ＭＳ Ｐゴシック"/>
        <family val="3"/>
        <charset val="128"/>
      </rPr>
      <t>内装計画</t>
    </r>
    <rPh sb="6" eb="8">
      <t>ナイソウ</t>
    </rPh>
    <rPh sb="8" eb="10">
      <t>ケイカク</t>
    </rPh>
    <phoneticPr fontId="27"/>
  </si>
  <si>
    <t>評価する取組み</t>
    <rPh sb="0" eb="2">
      <t>ヒョウカ</t>
    </rPh>
    <rPh sb="4" eb="6">
      <t>トリク</t>
    </rPh>
    <phoneticPr fontId="27"/>
  </si>
  <si>
    <t>建物全体のコンセプトが明確にあり、内装計画の段階で、コンセプトを反映するための取り組みが具体的にされている。（例えばエコロジーをテーマとする場合に天然素材やエコマテリアルを多用する等）</t>
    <rPh sb="87" eb="88">
      <t>ヨウ</t>
    </rPh>
    <phoneticPr fontId="27"/>
  </si>
  <si>
    <t>建物全体のコンセプトが明確にあり、内装計画の段階で、コンセプトを反映するための取り組みが具体的にされている。（例えば、エコロジーをテーマとする場合に天然素材やエコマテリアルを多用する等）</t>
    <rPh sb="55" eb="56">
      <t>タト</t>
    </rPh>
    <rPh sb="88" eb="89">
      <t>ヨウ</t>
    </rPh>
    <phoneticPr fontId="27"/>
  </si>
  <si>
    <t>その他の燃料
（　　　）</t>
    <rPh sb="2" eb="3">
      <t>タ</t>
    </rPh>
    <rPh sb="4" eb="6">
      <t>ネンリョウ</t>
    </rPh>
    <phoneticPr fontId="27"/>
  </si>
  <si>
    <t>上水使用</t>
    <rPh sb="0" eb="1">
      <t>ウエ</t>
    </rPh>
    <rPh sb="1" eb="2">
      <t>ミズ</t>
    </rPh>
    <rPh sb="2" eb="4">
      <t>シヨウ</t>
    </rPh>
    <phoneticPr fontId="27"/>
  </si>
  <si>
    <t>kg/㎡</t>
  </si>
  <si>
    <t>統計値より、一次エネルギー消費量の平均値を引用</t>
    <rPh sb="0" eb="2">
      <t>トウケイ</t>
    </rPh>
    <rPh sb="2" eb="3">
      <t>アタイ</t>
    </rPh>
    <rPh sb="6" eb="8">
      <t>イチジ</t>
    </rPh>
    <rPh sb="13" eb="16">
      <t>ショウヒリョウ</t>
    </rPh>
    <rPh sb="17" eb="20">
      <t>ヘイキンチ</t>
    </rPh>
    <rPh sb="21" eb="23">
      <t>インヨウ</t>
    </rPh>
    <phoneticPr fontId="27"/>
  </si>
  <si>
    <t>LR1の取り組みによる省エネルギー量を推定</t>
    <rPh sb="4" eb="5">
      <t>ト</t>
    </rPh>
    <rPh sb="6" eb="7">
      <t>ク</t>
    </rPh>
    <rPh sb="11" eb="12">
      <t>ショウ</t>
    </rPh>
    <rPh sb="17" eb="18">
      <t>リョウ</t>
    </rPh>
    <rPh sb="19" eb="21">
      <t>スイテイ</t>
    </rPh>
    <phoneticPr fontId="27"/>
  </si>
  <si>
    <t>電力</t>
    <rPh sb="0" eb="2">
      <t>デンリョク</t>
    </rPh>
    <phoneticPr fontId="27"/>
  </si>
  <si>
    <t>搬送熱量/ポンプ消費エネルギー（2次エネルギー基準）</t>
  </si>
  <si>
    <t>空調機搬送ATF</t>
  </si>
  <si>
    <t>搬送熱量/ファン消費エネルギー（2次エネルギー基準）</t>
  </si>
  <si>
    <t>全熱交換器効果</t>
  </si>
  <si>
    <t>削減熱量、エネルギー量</t>
  </si>
  <si>
    <t>■建物名称</t>
    <rPh sb="1" eb="3">
      <t>タテモノ</t>
    </rPh>
    <rPh sb="3" eb="5">
      <t>メイショウ</t>
    </rPh>
    <phoneticPr fontId="27"/>
  </si>
  <si>
    <t>その他</t>
    <rPh sb="2" eb="3">
      <t>ホカ</t>
    </rPh>
    <phoneticPr fontId="27"/>
  </si>
  <si>
    <t>照度均斉度</t>
    <phoneticPr fontId="27"/>
  </si>
  <si>
    <t>4.1.1</t>
    <phoneticPr fontId="27"/>
  </si>
  <si>
    <t>4.1.2</t>
    <phoneticPr fontId="27"/>
  </si>
  <si>
    <t xml:space="preserve"> アスベスト対策</t>
    <phoneticPr fontId="27"/>
  </si>
  <si>
    <t>4.1.3</t>
    <phoneticPr fontId="27"/>
  </si>
  <si>
    <t>4.1.4</t>
    <phoneticPr fontId="27"/>
  </si>
  <si>
    <t>4.2.1</t>
    <phoneticPr fontId="27"/>
  </si>
  <si>
    <t>4.2.2</t>
    <phoneticPr fontId="27"/>
  </si>
  <si>
    <t>4.2.3</t>
    <phoneticPr fontId="27"/>
  </si>
  <si>
    <t>4.2.4</t>
    <phoneticPr fontId="27"/>
  </si>
  <si>
    <t>給気計画</t>
    <phoneticPr fontId="27"/>
  </si>
  <si>
    <t>4.3.1</t>
    <phoneticPr fontId="27"/>
  </si>
  <si>
    <t>CO2の監視</t>
    <phoneticPr fontId="27"/>
  </si>
  <si>
    <t>4.3.2</t>
    <phoneticPr fontId="27"/>
  </si>
  <si>
    <t>喫煙の制御</t>
    <phoneticPr fontId="27"/>
  </si>
  <si>
    <t>Q2</t>
    <phoneticPr fontId="27"/>
  </si>
  <si>
    <t>サービス性能</t>
    <phoneticPr fontId="27"/>
  </si>
  <si>
    <t>1.1.1</t>
    <phoneticPr fontId="27"/>
  </si>
  <si>
    <t>1.1.2</t>
    <phoneticPr fontId="27"/>
  </si>
  <si>
    <t>高度情報通信設備対応</t>
    <phoneticPr fontId="27"/>
  </si>
  <si>
    <t>1.1.3</t>
    <phoneticPr fontId="27"/>
  </si>
  <si>
    <t>1.2.1</t>
    <phoneticPr fontId="27"/>
  </si>
  <si>
    <t>1.2.2</t>
    <phoneticPr fontId="27"/>
  </si>
  <si>
    <t>1.2.3</t>
    <phoneticPr fontId="27"/>
  </si>
  <si>
    <t xml:space="preserve"> Q2 1.3</t>
    <phoneticPr fontId="27"/>
  </si>
  <si>
    <t>0</t>
    <phoneticPr fontId="27"/>
  </si>
  <si>
    <t>2.1.1</t>
    <phoneticPr fontId="27"/>
  </si>
  <si>
    <t>2.1.2</t>
    <phoneticPr fontId="27"/>
  </si>
  <si>
    <t>2.1.2</t>
    <phoneticPr fontId="27"/>
  </si>
  <si>
    <t>2.2.1</t>
    <phoneticPr fontId="27"/>
  </si>
  <si>
    <t>2.2.1</t>
    <phoneticPr fontId="27"/>
  </si>
  <si>
    <t>2.2.2</t>
    <phoneticPr fontId="27"/>
  </si>
  <si>
    <t>2.2.3</t>
    <phoneticPr fontId="27"/>
  </si>
  <si>
    <t>2.2.4</t>
    <phoneticPr fontId="27"/>
  </si>
  <si>
    <t>2.2.4</t>
    <phoneticPr fontId="27"/>
  </si>
  <si>
    <t>2.2.5</t>
    <phoneticPr fontId="27"/>
  </si>
  <si>
    <t>2.2.5</t>
    <phoneticPr fontId="27"/>
  </si>
  <si>
    <t>2.2.6</t>
    <phoneticPr fontId="27"/>
  </si>
  <si>
    <t xml:space="preserve"> Q2 2</t>
    <phoneticPr fontId="27"/>
  </si>
  <si>
    <t>2.3.1</t>
    <phoneticPr fontId="27"/>
  </si>
  <si>
    <t xml:space="preserve"> Q2 2.3</t>
    <phoneticPr fontId="27"/>
  </si>
  <si>
    <t>2.3.1</t>
    <phoneticPr fontId="27"/>
  </si>
  <si>
    <t>2.3.2</t>
    <phoneticPr fontId="27"/>
  </si>
  <si>
    <t xml:space="preserve"> Q2 2.3</t>
    <phoneticPr fontId="27"/>
  </si>
  <si>
    <t>一次ｴﾈﾙｷﾞｰあたり　非住宅</t>
    <rPh sb="0" eb="2">
      <t>イチジ</t>
    </rPh>
    <rPh sb="12" eb="13">
      <t>ヒ</t>
    </rPh>
    <rPh sb="13" eb="15">
      <t>ジュウタク</t>
    </rPh>
    <phoneticPr fontId="27"/>
  </si>
  <si>
    <t>同上　　住宅（専有部）</t>
    <rPh sb="0" eb="2">
      <t>ドウジョウ</t>
    </rPh>
    <rPh sb="4" eb="6">
      <t>ジュウタク</t>
    </rPh>
    <rPh sb="7" eb="9">
      <t>センユウ</t>
    </rPh>
    <rPh sb="9" eb="10">
      <t>ブ</t>
    </rPh>
    <phoneticPr fontId="27"/>
  </si>
  <si>
    <t>木部の防腐剤</t>
    <rPh sb="0" eb="2">
      <t>モクブ</t>
    </rPh>
    <rPh sb="3" eb="6">
      <t>ボウフザイ</t>
    </rPh>
    <phoneticPr fontId="27"/>
  </si>
  <si>
    <r>
      <t xml:space="preserve">3.2.1 </t>
    </r>
    <r>
      <rPr>
        <b/>
        <sz val="10"/>
        <rFont val="ＭＳ Ｐゴシック"/>
        <family val="3"/>
        <charset val="128"/>
      </rPr>
      <t>消火剤</t>
    </r>
    <rPh sb="6" eb="8">
      <t>ショウカ</t>
    </rPh>
    <rPh sb="8" eb="9">
      <t>ザイ</t>
    </rPh>
    <phoneticPr fontId="27"/>
  </si>
  <si>
    <r>
      <t xml:space="preserve">3.2.2 </t>
    </r>
    <r>
      <rPr>
        <b/>
        <sz val="10"/>
        <rFont val="ＭＳ Ｐゴシック"/>
        <family val="3"/>
        <charset val="128"/>
      </rPr>
      <t>発泡剤（断熱材等）</t>
    </r>
    <rPh sb="6" eb="8">
      <t>ハッポウ</t>
    </rPh>
    <rPh sb="8" eb="9">
      <t>ザイ</t>
    </rPh>
    <rPh sb="10" eb="13">
      <t>ダンネツザイ</t>
    </rPh>
    <rPh sb="13" eb="14">
      <t>トウ</t>
    </rPh>
    <phoneticPr fontId="27"/>
  </si>
  <si>
    <t>ODP及びGWPが高いハロン消火剤を使用している（クリティカルユース含む）。</t>
    <rPh sb="3" eb="4">
      <t>オヨ</t>
    </rPh>
    <rPh sb="9" eb="10">
      <t>タカ</t>
    </rPh>
    <rPh sb="14" eb="17">
      <t>ショウカザイ</t>
    </rPh>
    <rPh sb="18" eb="20">
      <t>シヨウ</t>
    </rPh>
    <rPh sb="34" eb="35">
      <t>フク</t>
    </rPh>
    <phoneticPr fontId="27"/>
  </si>
  <si>
    <t>ハロゲン化物消火剤を使用している。</t>
    <rPh sb="4" eb="5">
      <t>カ</t>
    </rPh>
    <rPh sb="5" eb="6">
      <t>ブツ</t>
    </rPh>
    <rPh sb="6" eb="9">
      <t>ショウカザイ</t>
    </rPh>
    <rPh sb="10" eb="12">
      <t>シヨウ</t>
    </rPh>
    <phoneticPr fontId="27"/>
  </si>
  <si>
    <t>錆止め</t>
    <rPh sb="0" eb="1">
      <t>サビ</t>
    </rPh>
    <rPh sb="1" eb="2">
      <t>ド</t>
    </rPh>
    <phoneticPr fontId="27"/>
  </si>
  <si>
    <t>躯体</t>
    <rPh sb="0" eb="1">
      <t>ムクロ</t>
    </rPh>
    <rPh sb="1" eb="2">
      <t>タイ</t>
    </rPh>
    <phoneticPr fontId="27"/>
  </si>
  <si>
    <t>躯体以外</t>
    <rPh sb="2" eb="4">
      <t>イガイ</t>
    </rPh>
    <phoneticPr fontId="27"/>
  </si>
  <si>
    <t>塗り床</t>
    <rPh sb="0" eb="1">
      <t>ヌ</t>
    </rPh>
    <rPh sb="2" eb="3">
      <t>ユカ</t>
    </rPh>
    <phoneticPr fontId="27"/>
  </si>
  <si>
    <t>備考　　　　注1：</t>
    <rPh sb="6" eb="7">
      <t>チュウ</t>
    </rPh>
    <phoneticPr fontId="27"/>
  </si>
  <si>
    <t>建材種別</t>
    <rPh sb="0" eb="2">
      <t>ケンザイ</t>
    </rPh>
    <rPh sb="2" eb="4">
      <t>シュベツ</t>
    </rPh>
    <phoneticPr fontId="27"/>
  </si>
  <si>
    <t>接着剤</t>
    <rPh sb="0" eb="3">
      <t>セッチャクザイ</t>
    </rPh>
    <phoneticPr fontId="27"/>
  </si>
  <si>
    <t>ビニル床タイル・シート用接着剤</t>
    <rPh sb="3" eb="4">
      <t>ユカ</t>
    </rPh>
    <rPh sb="11" eb="12">
      <t>ヨウ</t>
    </rPh>
    <rPh sb="12" eb="15">
      <t>セッチャクザイ</t>
    </rPh>
    <phoneticPr fontId="27"/>
  </si>
  <si>
    <t>タイル用接着剤</t>
    <rPh sb="3" eb="4">
      <t>ヨウ</t>
    </rPh>
    <rPh sb="4" eb="7">
      <t>セッチャクザイ</t>
    </rPh>
    <phoneticPr fontId="27"/>
  </si>
  <si>
    <t>壁紙用接着剤</t>
    <rPh sb="0" eb="2">
      <t>カベガミ</t>
    </rPh>
    <rPh sb="2" eb="3">
      <t>ヨウ</t>
    </rPh>
    <rPh sb="3" eb="6">
      <t>セッチャクザイ</t>
    </rPh>
    <phoneticPr fontId="27"/>
  </si>
  <si>
    <t>フローリングボード用接着剤</t>
    <rPh sb="9" eb="10">
      <t>ヨウ</t>
    </rPh>
    <rPh sb="10" eb="13">
      <t>セッチャクザイ</t>
    </rPh>
    <phoneticPr fontId="27"/>
  </si>
  <si>
    <t>シーリング材</t>
    <rPh sb="5" eb="6">
      <t>ザイ</t>
    </rPh>
    <phoneticPr fontId="27"/>
  </si>
  <si>
    <t>サッシ用シーリング</t>
    <rPh sb="3" eb="4">
      <t>ヨウ</t>
    </rPh>
    <phoneticPr fontId="27"/>
  </si>
  <si>
    <t>ガラス用シーリング</t>
    <rPh sb="3" eb="4">
      <t>ヨウ</t>
    </rPh>
    <phoneticPr fontId="27"/>
  </si>
  <si>
    <t>タイル目地シーリング</t>
    <rPh sb="3" eb="5">
      <t>メジ</t>
    </rPh>
    <phoneticPr fontId="27"/>
  </si>
  <si>
    <t>打ち継ぎ目地</t>
    <rPh sb="0" eb="1">
      <t>ウ</t>
    </rPh>
    <rPh sb="2" eb="3">
      <t>ツ</t>
    </rPh>
    <rPh sb="4" eb="5">
      <t>メ</t>
    </rPh>
    <rPh sb="5" eb="6">
      <t>ジ</t>
    </rPh>
    <phoneticPr fontId="27"/>
  </si>
  <si>
    <t>防水工事材料</t>
    <rPh sb="0" eb="2">
      <t>ボウスイ</t>
    </rPh>
    <rPh sb="2" eb="4">
      <t>コウジ</t>
    </rPh>
    <rPh sb="4" eb="6">
      <t>ザイリョウ</t>
    </rPh>
    <phoneticPr fontId="27"/>
  </si>
  <si>
    <t>防水工事のプライマー</t>
    <rPh sb="0" eb="2">
      <t>ボウスイ</t>
    </rPh>
    <rPh sb="2" eb="4">
      <t>コウジ</t>
    </rPh>
    <phoneticPr fontId="27"/>
  </si>
  <si>
    <t>a（傾き）</t>
    <rPh sb="2" eb="3">
      <t>カタム</t>
    </rPh>
    <phoneticPr fontId="27"/>
  </si>
  <si>
    <t>ｂ（切片）</t>
    <rPh sb="2" eb="4">
      <t>セッペン</t>
    </rPh>
    <phoneticPr fontId="27"/>
  </si>
  <si>
    <t>等級3</t>
    <rPh sb="0" eb="2">
      <t>トウキュウ</t>
    </rPh>
    <phoneticPr fontId="27"/>
  </si>
  <si>
    <t>VI その他</t>
    <phoneticPr fontId="27"/>
  </si>
  <si>
    <t>1.2.1</t>
    <phoneticPr fontId="27"/>
  </si>
  <si>
    <t>雨水利用システム導入の有無</t>
    <phoneticPr fontId="27"/>
  </si>
  <si>
    <t>1.2.2</t>
    <phoneticPr fontId="27"/>
  </si>
  <si>
    <t>2.1</t>
    <phoneticPr fontId="27"/>
  </si>
  <si>
    <t>2.1</t>
    <phoneticPr fontId="27"/>
  </si>
  <si>
    <t>2.2</t>
    <phoneticPr fontId="27"/>
  </si>
  <si>
    <t>2.2</t>
    <phoneticPr fontId="27"/>
  </si>
  <si>
    <t>2.3</t>
    <phoneticPr fontId="27"/>
  </si>
  <si>
    <t>2.3</t>
    <phoneticPr fontId="27"/>
  </si>
  <si>
    <t>2.4</t>
    <phoneticPr fontId="27"/>
  </si>
  <si>
    <t>2.4</t>
    <phoneticPr fontId="27"/>
  </si>
  <si>
    <t>2.5</t>
    <phoneticPr fontId="27"/>
  </si>
  <si>
    <t>持続可能な森林から産出された木材</t>
    <phoneticPr fontId="27"/>
  </si>
  <si>
    <t>2.6</t>
    <phoneticPr fontId="27"/>
  </si>
  <si>
    <t>事・学・物・飲・会・病・ホ・工</t>
    <rPh sb="2" eb="3">
      <t>ガク</t>
    </rPh>
    <rPh sb="4" eb="5">
      <t>ブツ</t>
    </rPh>
    <rPh sb="6" eb="7">
      <t>イン</t>
    </rPh>
    <rPh sb="8" eb="9">
      <t>カイ</t>
    </rPh>
    <rPh sb="14" eb="15">
      <t>コウ</t>
    </rPh>
    <phoneticPr fontId="27"/>
  </si>
  <si>
    <t>空気取り入れ口は敷地周囲の状況を勘案して、汚染源のない方位に設けられている。かつ、各種排気口と異なる方位か、または3ｍ以上離れて設置されている。</t>
  </si>
  <si>
    <t>2)　広告物照明における光害対策</t>
    <rPh sb="5" eb="6">
      <t>ブツ</t>
    </rPh>
    <rPh sb="6" eb="8">
      <t>ショウメイ</t>
    </rPh>
    <phoneticPr fontId="27"/>
  </si>
  <si>
    <t>S造、</t>
    <rPh sb="1" eb="2">
      <t>ゾウ</t>
    </rPh>
    <phoneticPr fontId="27"/>
  </si>
  <si>
    <t>LR2/2.2 削減分</t>
    <rPh sb="8" eb="10">
      <t>サクゲン</t>
    </rPh>
    <rPh sb="10" eb="11">
      <t>ブン</t>
    </rPh>
    <phoneticPr fontId="27"/>
  </si>
  <si>
    <t>LR2/2.3 削減分</t>
    <rPh sb="8" eb="10">
      <t>サクゲン</t>
    </rPh>
    <rPh sb="10" eb="11">
      <t>ブン</t>
    </rPh>
    <phoneticPr fontId="27"/>
  </si>
  <si>
    <t>削減後</t>
    <rPh sb="0" eb="2">
      <t>サクゲン</t>
    </rPh>
    <rPh sb="2" eb="3">
      <t>ゴ</t>
    </rPh>
    <phoneticPr fontId="27"/>
  </si>
  <si>
    <t>電力　（実排出係数）</t>
    <rPh sb="0" eb="2">
      <t>デンリョク</t>
    </rPh>
    <rPh sb="4" eb="5">
      <t>ジツ</t>
    </rPh>
    <rPh sb="5" eb="7">
      <t>ハイシュツ</t>
    </rPh>
    <rPh sb="7" eb="9">
      <t>ケイスウ</t>
    </rPh>
    <phoneticPr fontId="33"/>
  </si>
  <si>
    <t>事務室の天井高2.5m以上となっており、かつ、すべての執務者が十分な屋外の情報を得られるように窓が設置されている。</t>
    <phoneticPr fontId="27"/>
  </si>
  <si>
    <t>売場の天井高3.0m以上。</t>
    <phoneticPr fontId="27"/>
  </si>
  <si>
    <t>住居・宿泊部の天井高2.3m以上。</t>
    <phoneticPr fontId="27"/>
  </si>
  <si>
    <t>事務室の天井高2.7m以上となっており、かつ、すべての執務者が十分な屋外の情報を得られるように窓が設置されている。</t>
    <phoneticPr fontId="27"/>
  </si>
  <si>
    <t>売場の天井高3.3m以上。</t>
    <phoneticPr fontId="27"/>
  </si>
  <si>
    <t>住居・宿泊部の天井高2.5m以上。</t>
    <phoneticPr fontId="27"/>
  </si>
  <si>
    <t>2300N/㎡以上～2900N/㎡未満</t>
    <phoneticPr fontId="27"/>
  </si>
  <si>
    <t>1800N/㎡以上～2100N/㎡未満</t>
    <phoneticPr fontId="27"/>
  </si>
  <si>
    <t>3500N/㎡以上～4500N/㎡未満</t>
    <phoneticPr fontId="27"/>
  </si>
  <si>
    <t>4200N/㎡以上～5200N/㎡未満</t>
    <phoneticPr fontId="27"/>
  </si>
  <si>
    <t>適正な水圧、防音管巻き、管の防振支持金具、便器の防振支持、浴室の防振支持、位置など</t>
    <rPh sb="0" eb="2">
      <t>テキセイ</t>
    </rPh>
    <rPh sb="3" eb="5">
      <t>スイアツ</t>
    </rPh>
    <rPh sb="6" eb="8">
      <t>ボウオン</t>
    </rPh>
    <rPh sb="8" eb="9">
      <t>カン</t>
    </rPh>
    <rPh sb="9" eb="10">
      <t>マ</t>
    </rPh>
    <rPh sb="12" eb="13">
      <t>カン</t>
    </rPh>
    <rPh sb="14" eb="16">
      <t>ボウシン</t>
    </rPh>
    <rPh sb="16" eb="18">
      <t>シジ</t>
    </rPh>
    <rPh sb="18" eb="20">
      <t>カナグ</t>
    </rPh>
    <rPh sb="21" eb="23">
      <t>ベンキ</t>
    </rPh>
    <rPh sb="24" eb="28">
      <t>ボウシンシジ</t>
    </rPh>
    <rPh sb="29" eb="31">
      <t>ヨクシツ</t>
    </rPh>
    <rPh sb="32" eb="36">
      <t>ボウシンシジ</t>
    </rPh>
    <rPh sb="37" eb="39">
      <t>イチ</t>
    </rPh>
    <phoneticPr fontId="27"/>
  </si>
  <si>
    <t>ウォーターハンマー</t>
  </si>
  <si>
    <t>適正な水圧、ウォーターハンマー防止器の採用など</t>
  </si>
  <si>
    <t>エアコン室内機等からの騒音</t>
  </si>
  <si>
    <t>低騒音タイプの機器の採用など</t>
  </si>
  <si>
    <t>エアコン室外機からの騒音</t>
  </si>
  <si>
    <t>防振ゴム、防振マット、低騒音タイプの機器</t>
  </si>
  <si>
    <t>換気扇からの騒音</t>
    <rPh sb="6" eb="8">
      <t>ソウオン</t>
    </rPh>
    <phoneticPr fontId="27"/>
  </si>
  <si>
    <t>遮音</t>
    <rPh sb="0" eb="2">
      <t>シャオン</t>
    </rPh>
    <phoneticPr fontId="27"/>
  </si>
  <si>
    <r>
      <t xml:space="preserve">1.2.1 </t>
    </r>
    <r>
      <rPr>
        <b/>
        <sz val="10"/>
        <rFont val="ＭＳ Ｐゴシック"/>
        <family val="3"/>
        <charset val="128"/>
      </rPr>
      <t>開口部遮音性能</t>
    </r>
    <rPh sb="6" eb="9">
      <t>カイコウブ</t>
    </rPh>
    <rPh sb="9" eb="11">
      <t>シャオン</t>
    </rPh>
    <phoneticPr fontId="27"/>
  </si>
  <si>
    <t>建物全体・共用部分</t>
    <phoneticPr fontId="27"/>
  </si>
  <si>
    <t>事・学・物・飲・会・病・ホ・工・住</t>
    <rPh sb="4" eb="5">
      <t>ブツ</t>
    </rPh>
    <rPh sb="8" eb="9">
      <t>カイ</t>
    </rPh>
    <phoneticPr fontId="27"/>
  </si>
  <si>
    <t>騒音が気になる。</t>
    <rPh sb="0" eb="2">
      <t>ソウオン</t>
    </rPh>
    <rPh sb="3" eb="4">
      <t>キ</t>
    </rPh>
    <phoneticPr fontId="27"/>
  </si>
  <si>
    <t>騒音がほとんど気にならない。</t>
    <rPh sb="0" eb="2">
      <t>ソウオン</t>
    </rPh>
    <rPh sb="7" eb="8">
      <t>キ</t>
    </rPh>
    <phoneticPr fontId="27"/>
  </si>
  <si>
    <t>騒音が気にならない</t>
    <rPh sb="0" eb="2">
      <t>ソウオン</t>
    </rPh>
    <rPh sb="3" eb="4">
      <t>キ</t>
    </rPh>
    <phoneticPr fontId="27"/>
  </si>
  <si>
    <t>騒音が気にならない。</t>
    <rPh sb="0" eb="2">
      <t>ソウオン</t>
    </rPh>
    <rPh sb="3" eb="4">
      <t>キ</t>
    </rPh>
    <phoneticPr fontId="27"/>
  </si>
  <si>
    <t>窓システム、外壁、屋根や床（特にピロティ）において、室内への熱の侵入に対して、十分な配慮がなされており、最良の日射遮蔽性能および断熱性能を有する。
（窓システムSC：0.2程度、U=3.0(W/m2K) 程度、外壁その他：U=1.0(W/m2K) 程度）</t>
  </si>
  <si>
    <t xml:space="preserve">  レベル 2</t>
  </si>
  <si>
    <t xml:space="preserve">  レベル 3</t>
  </si>
  <si>
    <t xml:space="preserve">  レベル 4</t>
  </si>
  <si>
    <t xml:space="preserve">  レベル 5</t>
  </si>
  <si>
    <t>1.0％≦ [昼光率] ＜1.25％</t>
    <phoneticPr fontId="27"/>
  </si>
  <si>
    <t>1.25％≦ [昼光率]</t>
    <phoneticPr fontId="27"/>
  </si>
  <si>
    <t xml:space="preserve">2.0％≦ [昼光率] </t>
    <phoneticPr fontId="27"/>
  </si>
  <si>
    <t>住居・宿泊部分</t>
    <phoneticPr fontId="27"/>
  </si>
  <si>
    <t>-</t>
    <phoneticPr fontId="27"/>
  </si>
  <si>
    <t>建物全体・共用部分</t>
    <phoneticPr fontId="27"/>
  </si>
  <si>
    <t>-</t>
    <phoneticPr fontId="27"/>
  </si>
  <si>
    <t>昼光利用設備がない。</t>
    <phoneticPr fontId="27"/>
  </si>
  <si>
    <t>効率評価の事例</t>
    <rPh sb="0" eb="2">
      <t>コウリツ</t>
    </rPh>
    <rPh sb="2" eb="4">
      <t>ヒョウカ</t>
    </rPh>
    <rPh sb="5" eb="7">
      <t>ジレイ</t>
    </rPh>
    <phoneticPr fontId="27"/>
  </si>
  <si>
    <t>設備項目</t>
  </si>
  <si>
    <t>評価項目</t>
  </si>
  <si>
    <t>評価概要</t>
  </si>
  <si>
    <t>備考</t>
  </si>
  <si>
    <t>熱源設備</t>
  </si>
  <si>
    <t>熱源機COP評価</t>
  </si>
  <si>
    <t>製造熱量/熱源機消費エネルギー（1次エネルギー基準）</t>
  </si>
  <si>
    <t>熱源システムCOP評価</t>
  </si>
  <si>
    <t>製造熱量/熱源機+補機消費エネルギー（1次エネルギー基準）</t>
  </si>
  <si>
    <t>地域冷暖房導入を含む</t>
  </si>
  <si>
    <t>熱媒搬送WTF</t>
  </si>
  <si>
    <t>等級4</t>
    <rPh sb="0" eb="2">
      <t>トウキュウ</t>
    </rPh>
    <phoneticPr fontId="27"/>
  </si>
  <si>
    <t>等級未入力</t>
    <rPh sb="0" eb="2">
      <t>トウキュウ</t>
    </rPh>
    <rPh sb="2" eb="5">
      <t>ミニュウリョク</t>
    </rPh>
    <phoneticPr fontId="27"/>
  </si>
  <si>
    <t>MJ/年㎡</t>
    <rPh sb="3" eb="4">
      <t>ネン</t>
    </rPh>
    <phoneticPr fontId="27"/>
  </si>
  <si>
    <t>レベル３を満たし、かつ複数の機器の使い分けが可能</t>
    <rPh sb="11" eb="13">
      <t>フクスウ</t>
    </rPh>
    <rPh sb="14" eb="16">
      <t>キキ</t>
    </rPh>
    <rPh sb="17" eb="18">
      <t>ツカ</t>
    </rPh>
    <rPh sb="19" eb="20">
      <t>ワ</t>
    </rPh>
    <rPh sb="22" eb="24">
      <t>カノウ</t>
    </rPh>
    <phoneticPr fontId="27"/>
  </si>
  <si>
    <r>
      <t xml:space="preserve">3.3.2 </t>
    </r>
    <r>
      <rPr>
        <b/>
        <sz val="10"/>
        <rFont val="ＭＳ Ｐゴシック"/>
        <family val="3"/>
        <charset val="128"/>
      </rPr>
      <t>照度均斉度</t>
    </r>
    <rPh sb="6" eb="8">
      <t>ショウド</t>
    </rPh>
    <rPh sb="8" eb="10">
      <t>キンセイ</t>
    </rPh>
    <rPh sb="10" eb="11">
      <t>ド</t>
    </rPh>
    <phoneticPr fontId="27"/>
  </si>
  <si>
    <t>事・学・病(診)・ホ・工・住</t>
    <rPh sb="2" eb="3">
      <t>ガク</t>
    </rPh>
    <rPh sb="6" eb="7">
      <t>ミ</t>
    </rPh>
    <phoneticPr fontId="27"/>
  </si>
  <si>
    <t>全般照明方式の場合で室内に許容できる程度の暗い部分がある。タスク・アンビエント照明方式の場合で作業面の明るさと周りの明るさのバランスが不十分。</t>
    <rPh sb="41" eb="43">
      <t>ホウシキ</t>
    </rPh>
    <phoneticPr fontId="27"/>
  </si>
  <si>
    <t>全般照明方式の場合で室内に暗い部分がない。タスク・アンビエント照明方式の場合で作業面の明るさと周りの明るさのバランスが良い。</t>
    <rPh sb="33" eb="35">
      <t>ホウシキ</t>
    </rPh>
    <phoneticPr fontId="27"/>
  </si>
  <si>
    <t>明るさや学習形態に応じた制御区画ではない。</t>
  </si>
  <si>
    <t>照明制御ができない。</t>
  </si>
  <si>
    <t>複数ベッド単位の大まかな照明制御ができる。</t>
  </si>
  <si>
    <t>室内で大まかな照明制御ができる。</t>
  </si>
  <si>
    <t>ベッド単位の細かな照明制御ができる。</t>
  </si>
  <si>
    <t>室内の複数部分に対して細かい照明制御ができる、または、自動照明制御ができる。</t>
    <rPh sb="27" eb="29">
      <t>ジドウ</t>
    </rPh>
    <rPh sb="29" eb="31">
      <t>ショウメイ</t>
    </rPh>
    <rPh sb="31" eb="33">
      <t>セイギョ</t>
    </rPh>
    <phoneticPr fontId="27"/>
  </si>
  <si>
    <t>４作業単位で照明制御できる、または、照明制御盤・器具等で調整できる。</t>
    <rPh sb="6" eb="8">
      <t>ショウメイ</t>
    </rPh>
    <phoneticPr fontId="27"/>
  </si>
  <si>
    <t>21年以上～30年未満</t>
  </si>
  <si>
    <t>30年以上</t>
  </si>
  <si>
    <r>
      <t xml:space="preserve">2.2.4 </t>
    </r>
    <r>
      <rPr>
        <b/>
        <sz val="10"/>
        <rFont val="ＭＳ Ｐゴシック"/>
        <family val="3"/>
        <charset val="128"/>
      </rPr>
      <t>空調換気ダクトの更新必要間隔</t>
    </r>
    <rPh sb="6" eb="8">
      <t>クウチョウ</t>
    </rPh>
    <rPh sb="8" eb="10">
      <t>カンキ</t>
    </rPh>
    <phoneticPr fontId="27"/>
  </si>
  <si>
    <t>5年以上～10年未満</t>
  </si>
  <si>
    <t>10年以上～15年未満</t>
  </si>
  <si>
    <t>10年</t>
  </si>
  <si>
    <t>15年</t>
  </si>
  <si>
    <t>ほぼ全てに亜鉛鉄板を使用</t>
    <rPh sb="2" eb="3">
      <t>スベ</t>
    </rPh>
    <rPh sb="5" eb="7">
      <t>アエン</t>
    </rPh>
    <rPh sb="7" eb="9">
      <t>テッパン</t>
    </rPh>
    <rPh sb="10" eb="12">
      <t>シヨウ</t>
    </rPh>
    <phoneticPr fontId="27"/>
  </si>
  <si>
    <t>日影規制を満たしている、または当該敷地に日影規制が無い場合。</t>
    <phoneticPr fontId="27"/>
  </si>
  <si>
    <r>
      <t>日影規制に対して１ランク上</t>
    </r>
    <r>
      <rPr>
        <vertAlign val="superscript"/>
        <sz val="9"/>
        <rFont val="ＭＳ Ｐゴシック"/>
        <family val="3"/>
        <charset val="128"/>
      </rPr>
      <t>*</t>
    </r>
    <r>
      <rPr>
        <sz val="9"/>
        <rFont val="ＭＳ Ｐゴシック"/>
        <family val="3"/>
        <charset val="128"/>
      </rPr>
      <t>の基準を満たしている</t>
    </r>
    <phoneticPr fontId="27"/>
  </si>
  <si>
    <t>*日照阻害の抑制において、1ランク上とは、例えば近隣商業地域で日影規制が5時間/3時間（5m、10m）の場合、それより1つ厳しい基準が準住居地域で、4時間/2.5時間とすると、準住居地域の日影規制を満たしている場合である。</t>
    <phoneticPr fontId="27"/>
  </si>
  <si>
    <r>
      <t>3.3.1</t>
    </r>
    <r>
      <rPr>
        <b/>
        <sz val="10"/>
        <rFont val="ＭＳ Ｐゴシック"/>
        <family val="3"/>
        <charset val="128"/>
      </rPr>
      <t>　屋外照明及び屋内照明のうち外に漏れる光への対策</t>
    </r>
    <phoneticPr fontId="27"/>
  </si>
  <si>
    <t>3.3.2</t>
    <phoneticPr fontId="27"/>
  </si>
  <si>
    <t>昼光の建物外壁による反射光（グレア）への対策</t>
    <phoneticPr fontId="39" type="noConversion"/>
  </si>
  <si>
    <t>d. LCCO2算定条件</t>
    <rPh sb="8" eb="10">
      <t>サンテイ</t>
    </rPh>
    <rPh sb="10" eb="12">
      <t>ジョウケン</t>
    </rPh>
    <phoneticPr fontId="27"/>
  </si>
  <si>
    <t>各建築物に適用されている法律、規則、基準などに則り、ねずみ等の点検・防除を定期的に実施している。
※法律、規則、基準などがない建築物の場合は年1回のねずみ等の点検・防除を実施している。</t>
    <phoneticPr fontId="27"/>
  </si>
  <si>
    <t>建築物環境衛生管理基準レベルのねずみ等の点検・防除を実施し、記録を保管している。</t>
    <phoneticPr fontId="27"/>
  </si>
  <si>
    <t>給水・給湯管理（飲用・炊事用・浴用等）は何も実施していない。</t>
    <phoneticPr fontId="27"/>
  </si>
  <si>
    <t>「水道法」に基づき、受水槽の清掃や水質の外部検査を年1回実施し、改善している。
※直結式給水で受水槽がない場合は取組み「0点」として評価する。</t>
    <phoneticPr fontId="27"/>
  </si>
  <si>
    <t>建築物環境衛生管理基準レベルの給水・給湯管理（飲用・炊事用・浴用等）を実施し、記録を保管している。</t>
    <phoneticPr fontId="27"/>
  </si>
  <si>
    <t>ON</t>
  </si>
  <si>
    <t>-</t>
    <phoneticPr fontId="27"/>
  </si>
  <si>
    <r>
      <t xml:space="preserve">2.1.2 </t>
    </r>
    <r>
      <rPr>
        <b/>
        <sz val="10"/>
        <rFont val="ＭＳ Ｐゴシック"/>
        <family val="3"/>
        <charset val="128"/>
      </rPr>
      <t>外皮性能</t>
    </r>
    <rPh sb="6" eb="8">
      <t>ガイヒ</t>
    </rPh>
    <rPh sb="8" eb="10">
      <t>セイノウ</t>
    </rPh>
    <phoneticPr fontId="27"/>
  </si>
  <si>
    <t>負荷変動・追従制御性</t>
    <phoneticPr fontId="27"/>
  </si>
  <si>
    <t>窓システム、外壁、屋根や床（特にピロティ）において、室内への熱の侵入に対しての配慮がなされており、実用上、日射遮蔽性能および断熱性能に問題がない。
（窓システムSC：0.5程度、U=4.0(W/m2K) 程度、外壁・その他：U=2.0(W/m2K) 程度）</t>
    <phoneticPr fontId="27"/>
  </si>
  <si>
    <t>窓システム、外壁、屋根や床（特にピロティ）において、室内への熱の侵入に対しての配慮がなされており、実用上、日射遮蔽性能および断熱性能に問題がない。（窓システムSC：0.5程度、U=4.0(W/m2K)程度、外壁その他：U=2.0(W/m2K)程度）</t>
    <phoneticPr fontId="27"/>
  </si>
  <si>
    <t>窓システム、外壁、屋根や床（特にピロティ）において、室内への熱の侵入に対して、十分な配慮がなされており、最良の日射遮蔽性能および断熱性能を有する。（窓システムSC：0.2程度、U=3.0(W/m2K)程度、外壁その他：U=1.0(W/m2K)程度）</t>
    <phoneticPr fontId="27"/>
  </si>
  <si>
    <r>
      <t xml:space="preserve">2.1.3 </t>
    </r>
    <r>
      <rPr>
        <b/>
        <sz val="10"/>
        <rFont val="ＭＳ Ｐゴシック"/>
        <family val="3"/>
        <charset val="128"/>
      </rPr>
      <t>ゾーン別制御性</t>
    </r>
    <rPh sb="9" eb="10">
      <t>ベツ</t>
    </rPh>
    <rPh sb="10" eb="13">
      <t>セイギョセイ</t>
    </rPh>
    <phoneticPr fontId="27"/>
  </si>
  <si>
    <r>
      <t xml:space="preserve">3.2.1 </t>
    </r>
    <r>
      <rPr>
        <b/>
        <sz val="10"/>
        <rFont val="ＭＳ Ｐゴシック"/>
        <family val="3"/>
        <charset val="128"/>
      </rPr>
      <t>昼光制御</t>
    </r>
    <rPh sb="6" eb="7">
      <t>ヒル</t>
    </rPh>
    <rPh sb="7" eb="8">
      <t>ヒカリ</t>
    </rPh>
    <rPh sb="8" eb="10">
      <t>セイギョ</t>
    </rPh>
    <phoneticPr fontId="27"/>
  </si>
  <si>
    <r>
      <t>3.2.2</t>
    </r>
    <r>
      <rPr>
        <b/>
        <sz val="10"/>
        <rFont val="ＭＳ Ｐゴシック"/>
        <family val="3"/>
        <charset val="128"/>
      </rPr>
      <t>　映り込み対策</t>
    </r>
    <rPh sb="6" eb="7">
      <t>ウツ</t>
    </rPh>
    <rPh sb="8" eb="9">
      <t>コ</t>
    </rPh>
    <rPh sb="10" eb="12">
      <t>タイサク</t>
    </rPh>
    <phoneticPr fontId="27"/>
  </si>
  <si>
    <t>レベル３に加えて年間エネルギー消費量の計算に基づく、建物全体のエネルギー消費量の目標値が計画され、建築主に提出されている。</t>
    <phoneticPr fontId="27"/>
  </si>
  <si>
    <t>レベル４に加えて、運用時の定期的な設備性能検証、不具合是正等の具体的な実施方策が計画されている。（コミッショニング）</t>
    <phoneticPr fontId="27"/>
  </si>
  <si>
    <t>採点シートの
採点結果</t>
    <rPh sb="0" eb="2">
      <t>サイテン</t>
    </rPh>
    <rPh sb="7" eb="9">
      <t>サイテン</t>
    </rPh>
    <rPh sb="9" eb="11">
      <t>ケッカ</t>
    </rPh>
    <phoneticPr fontId="27"/>
  </si>
  <si>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27"/>
  </si>
  <si>
    <t>Ａａ0</t>
    <phoneticPr fontId="27"/>
  </si>
  <si>
    <t>Ａｂ0</t>
    <phoneticPr fontId="27"/>
  </si>
  <si>
    <t>Ｂａ0</t>
    <phoneticPr fontId="27"/>
  </si>
  <si>
    <t>Ｂｂ0</t>
    <phoneticPr fontId="27"/>
  </si>
  <si>
    <t>Ｃａ0</t>
    <phoneticPr fontId="27"/>
  </si>
  <si>
    <t>Ｃｂ0</t>
    <phoneticPr fontId="27"/>
  </si>
  <si>
    <t>Ｃｂ1</t>
    <phoneticPr fontId="27"/>
  </si>
  <si>
    <t>算定プログラムによる評価</t>
    <rPh sb="0" eb="2">
      <t>サンテイ</t>
    </rPh>
    <rPh sb="10" eb="12">
      <t>ヒョウカ</t>
    </rPh>
    <phoneticPr fontId="27"/>
  </si>
  <si>
    <t>Ａ：単位住戸全体を暖房する方式</t>
  </si>
  <si>
    <t>Ｂ：居室のみを暖房する方式（連続運転）</t>
  </si>
  <si>
    <t>Ｃ：居室のみを暖房する方式（間歇運転）</t>
  </si>
  <si>
    <t>－：上記以外（不明な場合を含む）</t>
    <rPh sb="2" eb="4">
      <t>ジョウキ</t>
    </rPh>
    <rPh sb="4" eb="6">
      <t>イガイ</t>
    </rPh>
    <rPh sb="7" eb="9">
      <t>フメイ</t>
    </rPh>
    <rPh sb="10" eb="12">
      <t>バアイ</t>
    </rPh>
    <rPh sb="13" eb="14">
      <t>フク</t>
    </rPh>
    <phoneticPr fontId="9"/>
  </si>
  <si>
    <t>ａ ：単位住戸全体を冷房する方式</t>
  </si>
  <si>
    <t>ｂ ：居室のみを冷房する方式（間歇運転）</t>
  </si>
  <si>
    <t>「－」の場合</t>
    <phoneticPr fontId="27"/>
  </si>
  <si>
    <t>3a.3b</t>
    <phoneticPr fontId="27"/>
  </si>
  <si>
    <t>3b.c</t>
    <phoneticPr fontId="27"/>
  </si>
  <si>
    <t>㎡</t>
    <phoneticPr fontId="27"/>
  </si>
  <si>
    <t>LR1/2. 自然ｴﾈﾙｷﾞｰ利用</t>
    <rPh sb="7" eb="9">
      <t>シゼン</t>
    </rPh>
    <rPh sb="15" eb="17">
      <t>リヨウ</t>
    </rPh>
    <phoneticPr fontId="27"/>
  </si>
  <si>
    <t>図を貼り付けるときは</t>
    <rPh sb="0" eb="1">
      <t>ズ</t>
    </rPh>
    <rPh sb="2" eb="3">
      <t>ハ</t>
    </rPh>
    <rPh sb="4" eb="5">
      <t>ツ</t>
    </rPh>
    <phoneticPr fontId="27"/>
  </si>
  <si>
    <t>シートの保護を解除してください</t>
    <phoneticPr fontId="27"/>
  </si>
  <si>
    <t xml:space="preserve">評価する取組みのうち、何れの手法も採用していない。または、何れかの手法が採用されているが、有効性は検討されていない。
 </t>
    <rPh sb="11" eb="12">
      <t>イズ</t>
    </rPh>
    <rPh sb="14" eb="16">
      <t>シュホウ</t>
    </rPh>
    <rPh sb="17" eb="19">
      <t>サイヨウ</t>
    </rPh>
    <phoneticPr fontId="27"/>
  </si>
  <si>
    <t>評価する取組みのうち、何れかの手法が有効性を検討した上で採用されている。（但し、モニュメントの計画を除く。）</t>
    <phoneticPr fontId="27"/>
  </si>
  <si>
    <t>対象外</t>
    <rPh sb="0" eb="3">
      <t>タイショウガイ</t>
    </rPh>
    <phoneticPr fontId="27"/>
  </si>
  <si>
    <t>設計仕様に基づく評価</t>
    <phoneticPr fontId="27"/>
  </si>
  <si>
    <t>（１）　設計仕様に基づく評価の補正</t>
    <phoneticPr fontId="27"/>
  </si>
  <si>
    <t>（２）　実測結果に基づく評価</t>
    <phoneticPr fontId="27"/>
  </si>
  <si>
    <t>Ⅰ 建築物衛生法における特定建築物の場合に評価する取組み</t>
    <rPh sb="2" eb="5">
      <t>ケンチクブツ</t>
    </rPh>
    <rPh sb="5" eb="8">
      <t>エイセイホウ</t>
    </rPh>
    <rPh sb="12" eb="14">
      <t>トクテイ</t>
    </rPh>
    <rPh sb="14" eb="17">
      <t>ケンチクブツ</t>
    </rPh>
    <rPh sb="18" eb="20">
      <t>バアイ</t>
    </rPh>
    <rPh sb="21" eb="23">
      <t>ヒョウカ</t>
    </rPh>
    <rPh sb="25" eb="27">
      <t>トリク</t>
    </rPh>
    <phoneticPr fontId="27"/>
  </si>
  <si>
    <t>評価内容</t>
    <phoneticPr fontId="27"/>
  </si>
  <si>
    <t>1) 業務仕様</t>
    <phoneticPr fontId="27"/>
  </si>
  <si>
    <t>清掃管理および設備管理仕様書の基本方針において環境配慮を明示している。</t>
  </si>
  <si>
    <t>安定した品質を維持するために業務契約期間を2年以上としている。</t>
  </si>
  <si>
    <t>清掃管理と設備管理における業務標準手順書を用意している。</t>
  </si>
  <si>
    <t>4) インスペクション</t>
    <phoneticPr fontId="27"/>
  </si>
  <si>
    <t>清掃および設備の維持管理状態のインスペクション記録がある。</t>
  </si>
  <si>
    <t>外気に接するガラス･照明の清掃を含めた計画書がある。</t>
  </si>
  <si>
    <t>年1回以上の環境等をテーマにしたトレーニングの計画と記録がある。</t>
  </si>
  <si>
    <t>7) EMS</t>
    <phoneticPr fontId="27"/>
  </si>
  <si>
    <t>管理者が外部評価による環境マネジメントシステム(EMS)の認証を得ている。</t>
  </si>
  <si>
    <t>Ⅱ 建築物衛生法における特定建築物に該当しない建築物の場合に評価する取組み</t>
    <phoneticPr fontId="27"/>
  </si>
  <si>
    <t>施設清掃や設備点検･清掃の箇所別頻度の設定がなされている。</t>
  </si>
  <si>
    <t>施設清掃と設備点検･清掃における各責任者･委託先が決められている。</t>
  </si>
  <si>
    <t>施設清掃と設備点検･清掃における作業手順書やマニュアルを用意している。</t>
  </si>
  <si>
    <t>施設清掃と設備点検･清掃の点検記録がある。</t>
  </si>
  <si>
    <t>施設清掃や設備点検･清掃の実施記録がある。</t>
  </si>
  <si>
    <t>施設清掃と設備点検･清掃の点検結果を共有する機会を設けている。</t>
  </si>
  <si>
    <t>Ⅱ 建築物衛生法における特定建築物に該当しない建築物の場合に評価する取組み</t>
  </si>
  <si>
    <t>評価内容</t>
    <phoneticPr fontId="27"/>
  </si>
  <si>
    <t>充分な長さのエントランスマットを設置している。(外部、内部含む5ｍ以上)</t>
    <phoneticPr fontId="27"/>
  </si>
  <si>
    <t>ある程度の長さのエントランスマットを設置している。</t>
    <phoneticPr fontId="27"/>
  </si>
  <si>
    <t>① 清掃業務において効果的な方法を採用している。</t>
    <phoneticPr fontId="27"/>
  </si>
  <si>
    <t>-</t>
    <phoneticPr fontId="27"/>
  </si>
  <si>
    <t>② 清掃業務において環境影響の少ない方法を採用している。</t>
    <phoneticPr fontId="27"/>
  </si>
  <si>
    <t>① トイレ、共用部、厨房、玄関マットは毎日、清掃を実施する事としている。</t>
    <phoneticPr fontId="27"/>
  </si>
  <si>
    <t>② 希釈をする洗浄剤の希釈方法を明記している。</t>
    <phoneticPr fontId="27"/>
  </si>
  <si>
    <r>
      <t>①</t>
    </r>
    <r>
      <rPr>
        <sz val="9"/>
        <rFont val="ＭＳ Ｐゴシック"/>
        <family val="3"/>
        <charset val="128"/>
      </rPr>
      <t xml:space="preserve"> 環境ラベル取得製品の採用。(エコマーク、グリーンマークなど)</t>
    </r>
    <phoneticPr fontId="27"/>
  </si>
  <si>
    <t>① 環境ラベル取得製品を採用している。（エコマーク、グリーンマークなど）</t>
    <phoneticPr fontId="27"/>
  </si>
  <si>
    <t>② 清掃用ケミカルのⅰ 床用保護剤、ⅱ 床用洗浄剤(カーペット含む)、ⅲ トイレ用洗浄剤、ⅳ ガラス用洗浄剤の4製品に関して、環境負荷と安全に配慮した製品を採用している。(判定表を参照)</t>
    <phoneticPr fontId="27"/>
  </si>
  <si>
    <t>② 清掃資材専用の保管スペースがある。</t>
    <phoneticPr fontId="27"/>
  </si>
  <si>
    <t>③ トイレ、共用部、厨房などの清掃に使用するケミカルの2種類以上についてMSDS（化学物質安全データシート）を保管している。</t>
    <phoneticPr fontId="27"/>
  </si>
  <si>
    <t>① トイレ清掃では除菌剤配合洗剤を使用している。</t>
    <phoneticPr fontId="27"/>
  </si>
  <si>
    <t>② 感染防止を考慮した嘔吐物の処理方法がある。</t>
    <phoneticPr fontId="27"/>
  </si>
  <si>
    <t>手袋、メガネ、マスクなどの保護具の着用を促している。</t>
    <phoneticPr fontId="27"/>
  </si>
  <si>
    <t>水素イオン濃度（pH）</t>
  </si>
  <si>
    <t>原液＝pH5～pH9である事。</t>
  </si>
  <si>
    <t>ⅰ 床用保護剤</t>
  </si>
  <si>
    <t>ⅱ 床用洗浄剤
ⅲ トイレ用洗浄剤
ⅳ ガラス用洗浄剤</t>
    <phoneticPr fontId="27"/>
  </si>
  <si>
    <t>LD50：＞2,000mg/kgである事。</t>
  </si>
  <si>
    <t>製品が定める最も高濃度希釈時のVOC含有率が洗浄剤＜1%　床用保護剤＜7%である事。（沸点260℃未満のVOC対象）</t>
  </si>
  <si>
    <t>特定化学物質の環境への排出量の把握等及び管理の改善の促進に関する法律（ＰＲＴＲ法）の「第一種指定化学物質」と「第二種指定化学物質」が指定割合以下である事。</t>
  </si>
  <si>
    <t>(該当するレベルなし)</t>
    <phoneticPr fontId="27"/>
  </si>
  <si>
    <t>延床面積500㎡以下の建築物は
レベル3とする。
注）500㎡以下の建物は直接入力により、レベル3を選択してください。</t>
    <phoneticPr fontId="27"/>
  </si>
  <si>
    <r>
      <t>建築物環境衛生管理基準を満たし、</t>
    </r>
    <r>
      <rPr>
        <sz val="9"/>
        <rFont val="ＭＳ Ｐゴシック"/>
        <family val="3"/>
        <charset val="128"/>
      </rPr>
      <t>6ヶ月に1回の点検および防除を行っている。</t>
    </r>
    <rPh sb="18" eb="19">
      <t>ゲツ</t>
    </rPh>
    <rPh sb="21" eb="22">
      <t>カイ</t>
    </rPh>
    <rPh sb="23" eb="25">
      <t>テンケン</t>
    </rPh>
    <rPh sb="28" eb="30">
      <t>ボウジョ</t>
    </rPh>
    <rPh sb="31" eb="32">
      <t>オコナ</t>
    </rPh>
    <phoneticPr fontId="27"/>
  </si>
  <si>
    <t>主要機器は耐用年数以内である。</t>
    <phoneticPr fontId="27"/>
  </si>
  <si>
    <t>主要機器は耐用年数以内である。</t>
    <phoneticPr fontId="27"/>
  </si>
  <si>
    <t>全て耐用年数以内である。</t>
    <phoneticPr fontId="27"/>
  </si>
  <si>
    <r>
      <t>3.2</t>
    </r>
    <r>
      <rPr>
        <b/>
        <sz val="12"/>
        <rFont val="ＭＳ Ｐゴシック"/>
        <family val="3"/>
        <charset val="128"/>
      </rPr>
      <t>　実績値を用いた総合評価</t>
    </r>
    <phoneticPr fontId="27"/>
  </si>
  <si>
    <t>[3.1a、3.1bによる設備システムの高効率化のスコア]が2.0点未満</t>
  </si>
  <si>
    <t>[3,1a、3.1bによる設備システムの高効率化のスコア]が2.0点以上</t>
  </si>
  <si>
    <t>スコア-1.0</t>
  </si>
  <si>
    <t>（１）によるスコア</t>
    <phoneticPr fontId="27"/>
  </si>
  <si>
    <t>加点あり</t>
    <rPh sb="0" eb="2">
      <t>カテン</t>
    </rPh>
    <phoneticPr fontId="27"/>
  </si>
  <si>
    <t>上下なし</t>
    <rPh sb="0" eb="2">
      <t>ジョウゲ</t>
    </rPh>
    <phoneticPr fontId="27"/>
  </si>
  <si>
    <t>減点あり</t>
    <rPh sb="0" eb="2">
      <t>ゲンテン</t>
    </rPh>
    <phoneticPr fontId="27"/>
  </si>
  <si>
    <t>1.0以上1.5未満</t>
  </si>
  <si>
    <t>1.5以上2.0未満</t>
  </si>
  <si>
    <t>2.0以上2.5未満</t>
  </si>
  <si>
    <t>2.5以上3.0未満</t>
  </si>
  <si>
    <t>3.0以上3.5未満</t>
  </si>
  <si>
    <t>3.5以上4.0未満</t>
  </si>
  <si>
    <t>レベル４を満たさない</t>
    <phoneticPr fontId="27"/>
  </si>
  <si>
    <r>
      <t>kg-CO</t>
    </r>
    <r>
      <rPr>
        <vertAlign val="subscript"/>
        <sz val="10"/>
        <rFont val="ＭＳ Ｐゴシック"/>
        <family val="3"/>
        <charset val="128"/>
      </rPr>
      <t>2</t>
    </r>
    <r>
      <rPr>
        <sz val="10"/>
        <rFont val="ＭＳ Ｐゴシック"/>
        <family val="3"/>
        <charset val="128"/>
      </rPr>
      <t>/kg</t>
    </r>
    <phoneticPr fontId="27"/>
  </si>
  <si>
    <r>
      <t>kg-CO</t>
    </r>
    <r>
      <rPr>
        <vertAlign val="subscript"/>
        <sz val="10"/>
        <rFont val="ＭＳ Ｐゴシック"/>
        <family val="3"/>
        <charset val="128"/>
      </rPr>
      <t>2</t>
    </r>
    <r>
      <rPr>
        <sz val="10"/>
        <rFont val="ＭＳ Ｐゴシック"/>
        <family val="3"/>
        <charset val="128"/>
      </rPr>
      <t>/ｔ</t>
    </r>
    <phoneticPr fontId="27"/>
  </si>
  <si>
    <r>
      <t>kg-CO</t>
    </r>
    <r>
      <rPr>
        <vertAlign val="subscript"/>
        <sz val="10"/>
        <rFont val="ＭＳ Ｐゴシック"/>
        <family val="3"/>
        <charset val="128"/>
      </rPr>
      <t>2</t>
    </r>
    <r>
      <rPr>
        <sz val="10"/>
        <rFont val="ＭＳ Ｐゴシック"/>
        <family val="3"/>
        <charset val="128"/>
      </rPr>
      <t>/㎡</t>
    </r>
    <phoneticPr fontId="27"/>
  </si>
  <si>
    <t>〃</t>
    <phoneticPr fontId="27"/>
  </si>
  <si>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7"/>
  </si>
  <si>
    <r>
      <t>kg-CO</t>
    </r>
    <r>
      <rPr>
        <vertAlign val="subscript"/>
        <sz val="10"/>
        <rFont val="ＭＳ Ｐゴシック"/>
        <family val="3"/>
        <charset val="128"/>
      </rPr>
      <t>2</t>
    </r>
    <r>
      <rPr>
        <sz val="10"/>
        <rFont val="ＭＳ Ｐゴシック"/>
        <family val="3"/>
        <charset val="128"/>
      </rPr>
      <t>/kg</t>
    </r>
    <phoneticPr fontId="27"/>
  </si>
  <si>
    <t>（評価する取組み欄で「対象外」を選択）</t>
    <rPh sb="1" eb="3">
      <t>ヒョウカ</t>
    </rPh>
    <rPh sb="5" eb="7">
      <t>トリクミ</t>
    </rPh>
    <rPh sb="8" eb="9">
      <t>ラン</t>
    </rPh>
    <rPh sb="11" eb="14">
      <t>タイショウガイ</t>
    </rPh>
    <rPh sb="16" eb="18">
      <t>センタク</t>
    </rPh>
    <phoneticPr fontId="27"/>
  </si>
  <si>
    <t>生産エリアのみの工場は対象外とする。</t>
    <rPh sb="0" eb="2">
      <t>セイサン</t>
    </rPh>
    <rPh sb="8" eb="10">
      <t>コウジョウ</t>
    </rPh>
    <rPh sb="11" eb="14">
      <t>タイショウガイ</t>
    </rPh>
    <phoneticPr fontId="27"/>
  </si>
  <si>
    <t>LCCO2用床面積</t>
    <rPh sb="5" eb="6">
      <t>ヨウ</t>
    </rPh>
    <rPh sb="6" eb="9">
      <t>ユカメンセキ</t>
    </rPh>
    <phoneticPr fontId="27"/>
  </si>
  <si>
    <t>合計</t>
    <rPh sb="0" eb="2">
      <t>ゴウケイ</t>
    </rPh>
    <phoneticPr fontId="27"/>
  </si>
  <si>
    <t>dB(A)</t>
    <phoneticPr fontId="27"/>
  </si>
  <si>
    <t>地域区分</t>
    <rPh sb="0" eb="2">
      <t>チイキ</t>
    </rPh>
    <phoneticPr fontId="27"/>
  </si>
  <si>
    <t>学(大学等)・
会(図)・病(診)</t>
    <rPh sb="8" eb="9">
      <t>カイ</t>
    </rPh>
    <rPh sb="10" eb="11">
      <t>ズ</t>
    </rPh>
    <rPh sb="13" eb="14">
      <t>ビョウ</t>
    </rPh>
    <rPh sb="15" eb="16">
      <t>ミ</t>
    </rPh>
    <phoneticPr fontId="27"/>
  </si>
  <si>
    <t>物・飲</t>
  </si>
  <si>
    <t>学(大学等)</t>
  </si>
  <si>
    <t>物・飲・会(その他)</t>
    <rPh sb="8" eb="9">
      <t>ホカ</t>
    </rPh>
    <phoneticPr fontId="27"/>
  </si>
  <si>
    <t>物・飲・会(その他)</t>
    <rPh sb="0" eb="1">
      <t>ブツ</t>
    </rPh>
    <rPh sb="2" eb="3">
      <t>イン</t>
    </rPh>
    <rPh sb="4" eb="5">
      <t>カイ</t>
    </rPh>
    <rPh sb="8" eb="9">
      <t>ホカ</t>
    </rPh>
    <phoneticPr fontId="27"/>
  </si>
  <si>
    <t>事・学・会(図)・病・ホ・工・住</t>
    <rPh sb="4" eb="5">
      <t>カイ</t>
    </rPh>
    <rPh sb="6" eb="7">
      <t>ズ</t>
    </rPh>
    <rPh sb="15" eb="16">
      <t>ジュウ</t>
    </rPh>
    <phoneticPr fontId="27"/>
  </si>
  <si>
    <t>物・飲・会(図)・病・ホ・住</t>
    <rPh sb="2" eb="3">
      <t>イン</t>
    </rPh>
    <rPh sb="4" eb="5">
      <t>カイ</t>
    </rPh>
    <rPh sb="6" eb="7">
      <t>ズ</t>
    </rPh>
    <rPh sb="9" eb="10">
      <t>ビョウ</t>
    </rPh>
    <rPh sb="13" eb="14">
      <t>ジュウ</t>
    </rPh>
    <phoneticPr fontId="27"/>
  </si>
  <si>
    <t>事・病(診)・会(図)・工</t>
    <rPh sb="4" eb="5">
      <t>ミ</t>
    </rPh>
    <rPh sb="7" eb="8">
      <t>カイ</t>
    </rPh>
    <rPh sb="9" eb="10">
      <t>ズ</t>
    </rPh>
    <rPh sb="12" eb="13">
      <t>コウ</t>
    </rPh>
    <phoneticPr fontId="27"/>
  </si>
  <si>
    <t>事・学(大学等)・会(その他)・
物・病・ホ・工・住</t>
    <rPh sb="2" eb="3">
      <t>ガク</t>
    </rPh>
    <rPh sb="9" eb="10">
      <t>カイ</t>
    </rPh>
    <rPh sb="13" eb="14">
      <t>ホカ</t>
    </rPh>
    <rPh sb="17" eb="18">
      <t>ブツ</t>
    </rPh>
    <rPh sb="25" eb="26">
      <t>ジュウ</t>
    </rPh>
    <phoneticPr fontId="27"/>
  </si>
  <si>
    <t>事・学(大学)・会(図)・工</t>
    <rPh sb="0" eb="1">
      <t>コト</t>
    </rPh>
    <rPh sb="2" eb="3">
      <t>ガク</t>
    </rPh>
    <rPh sb="4" eb="6">
      <t>ダイガク</t>
    </rPh>
    <rPh sb="8" eb="9">
      <t>カイ</t>
    </rPh>
    <rPh sb="10" eb="11">
      <t>ズ</t>
    </rPh>
    <rPh sb="13" eb="14">
      <t>コウ</t>
    </rPh>
    <phoneticPr fontId="27"/>
  </si>
  <si>
    <t>会（その他）において、博物館・展示施設は評価対象外</t>
    <phoneticPr fontId="27"/>
  </si>
  <si>
    <t>会(その他)では博物館・展示施設のみを評価対象とする。博物館・展示施設は展示室のみを評価する。</t>
    <phoneticPr fontId="27"/>
  </si>
  <si>
    <t>北海道電力(株)</t>
  </si>
  <si>
    <t>東北電力(株)</t>
  </si>
  <si>
    <t>北陸電力(株)</t>
  </si>
  <si>
    <t>関西電力(株)</t>
  </si>
  <si>
    <t>中国電力(株)</t>
  </si>
  <si>
    <t>四国電力(株)</t>
  </si>
  <si>
    <t>九州電力(株)</t>
  </si>
  <si>
    <t>沖縄電力(株)</t>
  </si>
  <si>
    <t>電気事業者から供給された電気</t>
    <phoneticPr fontId="27"/>
  </si>
  <si>
    <t>■LR1　「建築物エネルギー消費性能確保計画」等からの必要事項の転記</t>
    <rPh sb="6" eb="9">
      <t>ケンチクブツ</t>
    </rPh>
    <rPh sb="14" eb="16">
      <t>ショウヒ</t>
    </rPh>
    <rPh sb="16" eb="18">
      <t>セイノウ</t>
    </rPh>
    <rPh sb="18" eb="20">
      <t>カクホ</t>
    </rPh>
    <rPh sb="20" eb="22">
      <t>ケイカク</t>
    </rPh>
    <rPh sb="23" eb="24">
      <t>トウ</t>
    </rPh>
    <phoneticPr fontId="27"/>
  </si>
  <si>
    <t>2</t>
    <phoneticPr fontId="27"/>
  </si>
  <si>
    <t>1</t>
    <phoneticPr fontId="27"/>
  </si>
  <si>
    <t>住宅部分</t>
    <rPh sb="0" eb="2">
      <t>ジュウタク</t>
    </rPh>
    <rPh sb="2" eb="4">
      <t>ブブン</t>
    </rPh>
    <phoneticPr fontId="27"/>
  </si>
  <si>
    <t xml:space="preserve">[BPI][BPIm] = </t>
    <phoneticPr fontId="27"/>
  </si>
  <si>
    <t>ｵﾝｻｲﾄの取組</t>
    <rPh sb="6" eb="8">
      <t>トリクミ</t>
    </rPh>
    <phoneticPr fontId="27"/>
  </si>
  <si>
    <t>一次ｴﾈﾙｷﾞｰ消費量</t>
    <rPh sb="0" eb="2">
      <t>イチジ</t>
    </rPh>
    <rPh sb="8" eb="11">
      <t>ショウヒリョウ</t>
    </rPh>
    <phoneticPr fontId="29"/>
  </si>
  <si>
    <t>自然ｴﾈﾙｷﾞｰ削減量</t>
    <rPh sb="0" eb="2">
      <t>シゼン</t>
    </rPh>
    <rPh sb="8" eb="10">
      <t>サクゲン</t>
    </rPh>
    <rPh sb="10" eb="11">
      <t>リョウ</t>
    </rPh>
    <phoneticPr fontId="27"/>
  </si>
  <si>
    <t>電気分</t>
    <rPh sb="0" eb="2">
      <t>デンキ</t>
    </rPh>
    <rPh sb="2" eb="3">
      <t>ブン</t>
    </rPh>
    <phoneticPr fontId="27"/>
  </si>
  <si>
    <t>Ａａ3</t>
    <phoneticPr fontId="27"/>
  </si>
  <si>
    <t>Ａｂ3</t>
    <phoneticPr fontId="27"/>
  </si>
  <si>
    <t>Ｂａ3</t>
    <phoneticPr fontId="27"/>
  </si>
  <si>
    <t>Ｂｂ3</t>
    <phoneticPr fontId="27"/>
  </si>
  <si>
    <t>Ｃａ3</t>
    <phoneticPr fontId="27"/>
  </si>
  <si>
    <t>Ｃｂ3</t>
    <phoneticPr fontId="27"/>
  </si>
  <si>
    <t>ﾚﾍﾞﾙ２</t>
    <phoneticPr fontId="27"/>
  </si>
  <si>
    <t>ﾚﾍﾞﾙ１</t>
    <phoneticPr fontId="27"/>
  </si>
  <si>
    <t>床面積(㎡)</t>
    <rPh sb="0" eb="3">
      <t>ユカメンセキ</t>
    </rPh>
    <rPh sb="1" eb="3">
      <t>メンセキ</t>
    </rPh>
    <phoneticPr fontId="27"/>
  </si>
  <si>
    <t>相当　※1、2</t>
    <rPh sb="0" eb="2">
      <t>ソウトウ</t>
    </rPh>
    <phoneticPr fontId="27"/>
  </si>
  <si>
    <t>※1</t>
    <phoneticPr fontId="27"/>
  </si>
  <si>
    <t>＜８地域＞</t>
    <phoneticPr fontId="27"/>
  </si>
  <si>
    <t>＜１～７地域＞</t>
    <rPh sb="4" eb="6">
      <t>チイキ</t>
    </rPh>
    <phoneticPr fontId="27"/>
  </si>
  <si>
    <t xml:space="preserve">レベル1: [BPI][BPIm] ≧ 1.03
レベル2: [BPI][BPIm] ＝ 1.00
レベル3: [BPI][BPIm] ＝ 0.97
レベル4: [BPI][BPIm] ＝ 0.90
レベル5: [BPI][BPIm] ≦ 0.80
各レベル間はBPIまたはBPImにより、小数点一桁までの直線補間で評価する。
</t>
    <phoneticPr fontId="27"/>
  </si>
  <si>
    <t xml:space="preserve">レベル1: [BPI][BPIm] ≧ 1.03
レベル2: [BPI][BPIm] ＝ 1.00
レベル3: [BPI][BPIm] ＝ 0.97
レベル4: [BPI][BPIm] ＝ 0.93
レベル5: [BPI][BPIm] ≦ 0.85
各レベル間はBPIまたはBPImにより、小数点一桁までの直線補間で評価する。
</t>
    <phoneticPr fontId="27"/>
  </si>
  <si>
    <t>工場の生産エリアへの利用量は、評価しない。</t>
    <rPh sb="0" eb="2">
      <t>コウジョウ</t>
    </rPh>
    <rPh sb="15" eb="17">
      <t>ヒョウカ</t>
    </rPh>
    <phoneticPr fontId="27"/>
  </si>
  <si>
    <t>[BEI][BEIm] ≧</t>
    <phoneticPr fontId="27"/>
  </si>
  <si>
    <t>[BEI][BEIm] ＝</t>
    <phoneticPr fontId="27"/>
  </si>
  <si>
    <t>床面積比率</t>
    <rPh sb="0" eb="3">
      <t>ユカメンセキ</t>
    </rPh>
    <rPh sb="1" eb="3">
      <t>メンセキ</t>
    </rPh>
    <rPh sb="3" eb="4">
      <t>ヒ</t>
    </rPh>
    <rPh sb="4" eb="5">
      <t>リツ</t>
    </rPh>
    <phoneticPr fontId="27"/>
  </si>
  <si>
    <t>BEI未入力</t>
    <rPh sb="3" eb="6">
      <t>ミニュウリョク</t>
    </rPh>
    <phoneticPr fontId="27"/>
  </si>
  <si>
    <t>BPI未入力</t>
    <rPh sb="3" eb="6">
      <t>ミニュウリョク</t>
    </rPh>
    <phoneticPr fontId="27"/>
  </si>
  <si>
    <t xml:space="preserve">BEI = </t>
    <phoneticPr fontId="27"/>
  </si>
  <si>
    <t>建築物の取組み（②）</t>
  </si>
  <si>
    <t>うちBEI評価に含まれる量（ex.自家消費分相当）</t>
    <rPh sb="5" eb="7">
      <t>ヒョウカ</t>
    </rPh>
    <rPh sb="8" eb="9">
      <t>フク</t>
    </rPh>
    <rPh sb="12" eb="13">
      <t>リョウ</t>
    </rPh>
    <rPh sb="17" eb="19">
      <t>ジカ</t>
    </rPh>
    <rPh sb="19" eb="21">
      <t>ショウヒ</t>
    </rPh>
    <rPh sb="21" eb="22">
      <t>ブン</t>
    </rPh>
    <rPh sb="22" eb="24">
      <t>ソウトウ</t>
    </rPh>
    <phoneticPr fontId="27"/>
  </si>
  <si>
    <t>総量※</t>
    <rPh sb="0" eb="2">
      <t>ソウリョウ</t>
    </rPh>
    <phoneticPr fontId="27"/>
  </si>
  <si>
    <t>※全量買取制度は評価対象外</t>
    <rPh sb="1" eb="3">
      <t>ゼンリョウ</t>
    </rPh>
    <rPh sb="3" eb="5">
      <t>カイトリ</t>
    </rPh>
    <rPh sb="5" eb="7">
      <t>セイド</t>
    </rPh>
    <rPh sb="8" eb="10">
      <t>ヒョウカ</t>
    </rPh>
    <rPh sb="10" eb="12">
      <t>タイショウ</t>
    </rPh>
    <rPh sb="12" eb="13">
      <t>ガイ</t>
    </rPh>
    <phoneticPr fontId="27"/>
  </si>
  <si>
    <t>■設計一次エネルギー消費量 (その他一次ｴﾈﾙｷﾞｰを含む)</t>
    <rPh sb="1" eb="3">
      <t>ｾｯｹｲ</t>
    </rPh>
    <rPh sb="3" eb="5">
      <t>ｲﾁｼﾞ</t>
    </rPh>
    <rPh sb="10" eb="13">
      <t>ｼｮｳﾋﾘｮｳ</t>
    </rPh>
    <phoneticPr fontId="39" type="noConversion"/>
  </si>
  <si>
    <t>共用部ゲストルーム等
住戸扱い</t>
  </si>
  <si>
    <t>RN使用欄</t>
    <rPh sb="2" eb="4">
      <t>シヨウ</t>
    </rPh>
    <rPh sb="4" eb="5">
      <t>ラン</t>
    </rPh>
    <phoneticPr fontId="27"/>
  </si>
  <si>
    <t>耐震･免震・制震・制振</t>
  </si>
  <si>
    <r>
      <t xml:space="preserve">2.1.1 </t>
    </r>
    <r>
      <rPr>
        <b/>
        <sz val="10"/>
        <rFont val="ＭＳ Ｐゴシック"/>
        <family val="3"/>
        <charset val="128"/>
      </rPr>
      <t>耐震性（建物のこわれにくさ）</t>
    </r>
    <phoneticPr fontId="27"/>
  </si>
  <si>
    <t>揺れを抑える装置を導入していない。</t>
  </si>
  <si>
    <t>躯体材料が着脱しやすいように設計されているなど、躯体材料のリサイクル・リユースについて取組無し</t>
    <rPh sb="0" eb="2">
      <t>クタイ</t>
    </rPh>
    <rPh sb="2" eb="4">
      <t>ザイリョウ</t>
    </rPh>
    <rPh sb="5" eb="7">
      <t>チャクダツ</t>
    </rPh>
    <rPh sb="14" eb="16">
      <t>セッケイ</t>
    </rPh>
    <rPh sb="24" eb="26">
      <t>クタイ</t>
    </rPh>
    <rPh sb="26" eb="28">
      <t>ザイリョウ</t>
    </rPh>
    <rPh sb="43" eb="45">
      <t>トリクミ</t>
    </rPh>
    <rPh sb="45" eb="46">
      <t>ナ</t>
    </rPh>
    <phoneticPr fontId="8"/>
  </si>
  <si>
    <t>躯体材料の一部が着脱でき、それらをリサイクルもしくはリユースできる</t>
    <rPh sb="0" eb="2">
      <t>クタイ</t>
    </rPh>
    <rPh sb="2" eb="4">
      <t>ザイリョウ</t>
    </rPh>
    <rPh sb="5" eb="7">
      <t>イチブ</t>
    </rPh>
    <phoneticPr fontId="8"/>
  </si>
  <si>
    <t>躯体材料の大半が着脱できるか、もしくは、単種類の材料で構成されていて、それらを少なくともリサイクルはできる</t>
    <rPh sb="0" eb="2">
      <t>クタイ</t>
    </rPh>
    <rPh sb="2" eb="4">
      <t>ザイリョウ</t>
    </rPh>
    <rPh sb="5" eb="7">
      <t>タイハン</t>
    </rPh>
    <rPh sb="20" eb="21">
      <t>タン</t>
    </rPh>
    <rPh sb="21" eb="23">
      <t>シュルイ</t>
    </rPh>
    <rPh sb="24" eb="26">
      <t>ザイリョウ</t>
    </rPh>
    <rPh sb="27" eb="29">
      <t>コウセイ</t>
    </rPh>
    <rPh sb="39" eb="40">
      <t>スク</t>
    </rPh>
    <phoneticPr fontId="8"/>
  </si>
  <si>
    <t>レベル3に加えて、躯体材料の一部は規格材で構成されていてリユースできる</t>
    <rPh sb="5" eb="6">
      <t>クワ</t>
    </rPh>
    <rPh sb="9" eb="11">
      <t>クタイ</t>
    </rPh>
    <rPh sb="11" eb="13">
      <t>ザイリョウ</t>
    </rPh>
    <rPh sb="14" eb="16">
      <t>イチブ</t>
    </rPh>
    <rPh sb="17" eb="19">
      <t>キカク</t>
    </rPh>
    <rPh sb="19" eb="20">
      <t>ザイ</t>
    </rPh>
    <rPh sb="21" eb="23">
      <t>コウセイ</t>
    </rPh>
    <phoneticPr fontId="8"/>
  </si>
  <si>
    <t>レベル3に加えて、躯体材料の大半は規格材で構成されていてリユースできる</t>
    <rPh sb="9" eb="11">
      <t>クタイ</t>
    </rPh>
    <rPh sb="11" eb="13">
      <t>ザイリョウ</t>
    </rPh>
    <rPh sb="14" eb="16">
      <t>タイハン</t>
    </rPh>
    <phoneticPr fontId="8"/>
  </si>
  <si>
    <r>
      <t>2.6.1</t>
    </r>
    <r>
      <rPr>
        <b/>
        <sz val="10"/>
        <rFont val="ＭＳ Ｐゴシック"/>
        <family val="3"/>
        <charset val="128"/>
      </rPr>
      <t>　躯体のリサイクル・リユース</t>
    </r>
    <rPh sb="6" eb="8">
      <t>クタイ</t>
    </rPh>
    <phoneticPr fontId="8"/>
  </si>
  <si>
    <r>
      <t>2.6.2</t>
    </r>
    <r>
      <rPr>
        <b/>
        <sz val="10"/>
        <rFont val="ＭＳ Ｐゴシック"/>
        <family val="3"/>
        <charset val="128"/>
      </rPr>
      <t>　屋根材のリサイクル・リユース</t>
    </r>
    <rPh sb="6" eb="8">
      <t>ヤネ</t>
    </rPh>
    <rPh sb="8" eb="9">
      <t>ザイ</t>
    </rPh>
    <phoneticPr fontId="8"/>
  </si>
  <si>
    <t>屋根材・下地材が着脱しやすいように設計されているなど、屋根材・下地材のリサイクル・リユースについて取組無し</t>
    <rPh sb="0" eb="2">
      <t>ヤネ</t>
    </rPh>
    <rPh sb="2" eb="3">
      <t>ザイ</t>
    </rPh>
    <rPh sb="4" eb="6">
      <t>シタジ</t>
    </rPh>
    <rPh sb="6" eb="7">
      <t>ザイ</t>
    </rPh>
    <rPh sb="8" eb="10">
      <t>チャクダツ</t>
    </rPh>
    <rPh sb="17" eb="19">
      <t>セッケイ</t>
    </rPh>
    <rPh sb="27" eb="29">
      <t>ヤネ</t>
    </rPh>
    <rPh sb="29" eb="30">
      <t>ザイ</t>
    </rPh>
    <rPh sb="31" eb="33">
      <t>シタジ</t>
    </rPh>
    <rPh sb="33" eb="34">
      <t>ザイ</t>
    </rPh>
    <rPh sb="49" eb="51">
      <t>トリクミ</t>
    </rPh>
    <rPh sb="51" eb="52">
      <t>ナ</t>
    </rPh>
    <phoneticPr fontId="8"/>
  </si>
  <si>
    <t>屋根材・下地材の一部が着脱でき、それらをリサイクルもしくはリユースできる</t>
    <rPh sb="8" eb="10">
      <t>イチブ</t>
    </rPh>
    <phoneticPr fontId="8"/>
  </si>
  <si>
    <t>屋根材・下地材の大半が着脱できるか、もしくは、単種類の材料で構成されていて、それらを少なくともリサイクルはできる</t>
    <rPh sb="8" eb="10">
      <t>タイハン</t>
    </rPh>
    <rPh sb="23" eb="24">
      <t>タン</t>
    </rPh>
    <rPh sb="24" eb="26">
      <t>シュルイ</t>
    </rPh>
    <rPh sb="27" eb="29">
      <t>ザイリョウ</t>
    </rPh>
    <rPh sb="30" eb="32">
      <t>コウセイ</t>
    </rPh>
    <rPh sb="42" eb="43">
      <t>スク</t>
    </rPh>
    <phoneticPr fontId="8"/>
  </si>
  <si>
    <t>レベル3に加えて、屋根材の一部は規格材で構成されていてリユースできる</t>
    <rPh sb="5" eb="6">
      <t>クワ</t>
    </rPh>
    <rPh sb="9" eb="11">
      <t>ヤネ</t>
    </rPh>
    <rPh sb="11" eb="12">
      <t>ザイ</t>
    </rPh>
    <rPh sb="13" eb="15">
      <t>イチブ</t>
    </rPh>
    <rPh sb="16" eb="18">
      <t>キカク</t>
    </rPh>
    <rPh sb="18" eb="19">
      <t>ザイ</t>
    </rPh>
    <rPh sb="20" eb="22">
      <t>コウセイ</t>
    </rPh>
    <phoneticPr fontId="8"/>
  </si>
  <si>
    <t>レベル3に加えて、屋根材の大半は規格材で構成されていてリユースできる</t>
    <rPh sb="13" eb="15">
      <t>タイハン</t>
    </rPh>
    <phoneticPr fontId="8"/>
  </si>
  <si>
    <r>
      <t>2.6.3</t>
    </r>
    <r>
      <rPr>
        <b/>
        <sz val="10"/>
        <rFont val="ＭＳ Ｐゴシック"/>
        <family val="3"/>
        <charset val="128"/>
      </rPr>
      <t>　外壁材のリサイクル・リユース</t>
    </r>
    <rPh sb="6" eb="8">
      <t>ガイヘキ</t>
    </rPh>
    <rPh sb="8" eb="9">
      <t>ザイ</t>
    </rPh>
    <phoneticPr fontId="27"/>
  </si>
  <si>
    <t>外壁材・下地材が着脱しやすいように設計されているなど、外壁材・下地材のリサイクル・リユースについて取組無し</t>
    <rPh sb="0" eb="2">
      <t>ガイヘキ</t>
    </rPh>
    <rPh sb="2" eb="3">
      <t>ザイ</t>
    </rPh>
    <rPh sb="4" eb="6">
      <t>シタジ</t>
    </rPh>
    <rPh sb="6" eb="7">
      <t>ザイ</t>
    </rPh>
    <rPh sb="8" eb="10">
      <t>チャクダツ</t>
    </rPh>
    <rPh sb="17" eb="19">
      <t>セッケイ</t>
    </rPh>
    <rPh sb="27" eb="29">
      <t>ガイヘキ</t>
    </rPh>
    <rPh sb="29" eb="30">
      <t>ザイ</t>
    </rPh>
    <rPh sb="31" eb="33">
      <t>シタジ</t>
    </rPh>
    <rPh sb="33" eb="34">
      <t>ザイ</t>
    </rPh>
    <rPh sb="49" eb="51">
      <t>トリクミ</t>
    </rPh>
    <rPh sb="51" eb="52">
      <t>ナ</t>
    </rPh>
    <phoneticPr fontId="8"/>
  </si>
  <si>
    <t>外壁材・下地材の一部が着脱でき、それらをリサイクルもしくはリユースできる</t>
    <rPh sb="0" eb="2">
      <t>ガイヘキ</t>
    </rPh>
    <rPh sb="8" eb="10">
      <t>イチブ</t>
    </rPh>
    <phoneticPr fontId="8"/>
  </si>
  <si>
    <t>外壁材・下地材の大半が着脱できるか、もしくは、単種類の材料で構成されていて、それらを少なくともリサイクルはできる</t>
    <rPh sb="0" eb="2">
      <t>ガイヘキ</t>
    </rPh>
    <rPh sb="8" eb="10">
      <t>タイハン</t>
    </rPh>
    <rPh sb="23" eb="24">
      <t>タン</t>
    </rPh>
    <rPh sb="24" eb="26">
      <t>シュルイ</t>
    </rPh>
    <rPh sb="27" eb="29">
      <t>ザイリョウ</t>
    </rPh>
    <rPh sb="30" eb="32">
      <t>コウセイ</t>
    </rPh>
    <rPh sb="42" eb="43">
      <t>スク</t>
    </rPh>
    <phoneticPr fontId="8"/>
  </si>
  <si>
    <t>レベル3に加えて、外壁材の一部は規格材で構成されていてリユースできる</t>
    <rPh sb="5" eb="6">
      <t>クワ</t>
    </rPh>
    <rPh sb="9" eb="11">
      <t>ガイヘキ</t>
    </rPh>
    <rPh sb="11" eb="12">
      <t>ザイ</t>
    </rPh>
    <rPh sb="13" eb="15">
      <t>イチブ</t>
    </rPh>
    <rPh sb="16" eb="18">
      <t>キカク</t>
    </rPh>
    <rPh sb="18" eb="19">
      <t>ザイ</t>
    </rPh>
    <rPh sb="20" eb="22">
      <t>コウセイ</t>
    </rPh>
    <phoneticPr fontId="8"/>
  </si>
  <si>
    <t>レベル3に加えて、外壁材の大半は規格材で構成されていてリユースできる</t>
    <rPh sb="9" eb="11">
      <t>ガイヘキ</t>
    </rPh>
    <rPh sb="13" eb="15">
      <t>タイハン</t>
    </rPh>
    <phoneticPr fontId="8"/>
  </si>
  <si>
    <t>内装材・下地材が着脱しやすいように設計されているなど、内装材・下地材のリサイクル・リユースについて取組無し</t>
    <rPh sb="0" eb="2">
      <t>ナイソウ</t>
    </rPh>
    <rPh sb="2" eb="3">
      <t>ザイ</t>
    </rPh>
    <rPh sb="4" eb="6">
      <t>シタジ</t>
    </rPh>
    <rPh sb="6" eb="7">
      <t>ザイ</t>
    </rPh>
    <rPh sb="8" eb="10">
      <t>チャクダツ</t>
    </rPh>
    <rPh sb="17" eb="19">
      <t>セッケイ</t>
    </rPh>
    <rPh sb="27" eb="29">
      <t>ナイソウ</t>
    </rPh>
    <rPh sb="29" eb="30">
      <t>ザイ</t>
    </rPh>
    <rPh sb="31" eb="33">
      <t>シタジ</t>
    </rPh>
    <rPh sb="33" eb="34">
      <t>ザイ</t>
    </rPh>
    <rPh sb="49" eb="51">
      <t>トリクミ</t>
    </rPh>
    <rPh sb="51" eb="52">
      <t>ナ</t>
    </rPh>
    <phoneticPr fontId="8"/>
  </si>
  <si>
    <t>内装材・下地材の一部が着脱でき、それらをリサイクルもしくはリユースできる</t>
    <rPh sb="0" eb="2">
      <t>ナイソウ</t>
    </rPh>
    <rPh sb="2" eb="3">
      <t>ザイ</t>
    </rPh>
    <rPh sb="8" eb="10">
      <t>イチブ</t>
    </rPh>
    <phoneticPr fontId="8"/>
  </si>
  <si>
    <t>内装材・下地材の大半が着脱できるか、もしくは、単種類の材料で構成されていて、それらを少なくともリサイクルはできる</t>
    <rPh sb="0" eb="2">
      <t>ナイソウ</t>
    </rPh>
    <rPh sb="2" eb="3">
      <t>ザイ</t>
    </rPh>
    <rPh sb="8" eb="10">
      <t>タイハン</t>
    </rPh>
    <rPh sb="23" eb="24">
      <t>タン</t>
    </rPh>
    <rPh sb="24" eb="26">
      <t>シュルイ</t>
    </rPh>
    <rPh sb="27" eb="29">
      <t>ザイリョウ</t>
    </rPh>
    <rPh sb="30" eb="32">
      <t>コウセイ</t>
    </rPh>
    <rPh sb="42" eb="43">
      <t>スク</t>
    </rPh>
    <phoneticPr fontId="8"/>
  </si>
  <si>
    <t>レベル3に加えて、内装材の一部は規格材で構成されていてリユースできる</t>
    <rPh sb="5" eb="6">
      <t>クワ</t>
    </rPh>
    <rPh sb="9" eb="11">
      <t>ナイソウ</t>
    </rPh>
    <rPh sb="11" eb="12">
      <t>ザイ</t>
    </rPh>
    <rPh sb="13" eb="15">
      <t>イチブ</t>
    </rPh>
    <rPh sb="16" eb="18">
      <t>キカク</t>
    </rPh>
    <rPh sb="18" eb="19">
      <t>ザイ</t>
    </rPh>
    <rPh sb="20" eb="22">
      <t>コウセイ</t>
    </rPh>
    <phoneticPr fontId="8"/>
  </si>
  <si>
    <t>レベル3に加えて、内装材の大半は規格材で構成されていてリユースできる</t>
    <rPh sb="9" eb="11">
      <t>ナイソウ</t>
    </rPh>
    <rPh sb="11" eb="12">
      <t>ザイ</t>
    </rPh>
    <rPh sb="13" eb="15">
      <t>タイハン</t>
    </rPh>
    <phoneticPr fontId="8"/>
  </si>
  <si>
    <r>
      <t>2.6.4</t>
    </r>
    <r>
      <rPr>
        <b/>
        <sz val="10"/>
        <rFont val="ＭＳ Ｐゴシック"/>
        <family val="3"/>
        <charset val="128"/>
      </rPr>
      <t>　内装材のリサイクル・リユース</t>
    </r>
    <rPh sb="6" eb="8">
      <t>ナイソウ</t>
    </rPh>
    <rPh sb="8" eb="9">
      <t>ザイ</t>
    </rPh>
    <phoneticPr fontId="8"/>
  </si>
  <si>
    <r>
      <t>2.6.5</t>
    </r>
    <r>
      <rPr>
        <b/>
        <sz val="10"/>
        <rFont val="ＭＳ Ｐゴシック"/>
        <family val="3"/>
        <charset val="128"/>
      </rPr>
      <t>　設備機器のリサイクル・リユース</t>
    </r>
    <rPh sb="6" eb="8">
      <t>セツビ</t>
    </rPh>
    <rPh sb="8" eb="10">
      <t>キキ</t>
    </rPh>
    <phoneticPr fontId="8"/>
  </si>
  <si>
    <r>
      <t>2.6.6</t>
    </r>
    <r>
      <rPr>
        <b/>
        <sz val="10"/>
        <rFont val="ＭＳ Ｐゴシック"/>
        <family val="3"/>
        <charset val="128"/>
      </rPr>
      <t>　外構資材のリユース</t>
    </r>
    <rPh sb="6" eb="8">
      <t>ガイコウ</t>
    </rPh>
    <rPh sb="8" eb="10">
      <t>シザイ</t>
    </rPh>
    <phoneticPr fontId="8"/>
  </si>
  <si>
    <t>廃棄物発生量の最小化</t>
    <phoneticPr fontId="27"/>
  </si>
  <si>
    <t>評価する取組みが1つ。</t>
  </si>
  <si>
    <t>評価する取組みが3つ。</t>
  </si>
  <si>
    <t>評価する取組みが4つ以上。</t>
  </si>
  <si>
    <t>評価する取組みが3つ以上。</t>
    <rPh sb="10" eb="12">
      <t>イジョウ</t>
    </rPh>
    <phoneticPr fontId="27"/>
  </si>
  <si>
    <t>短期使用</t>
    <rPh sb="0" eb="2">
      <t>タンキ</t>
    </rPh>
    <rPh sb="2" eb="4">
      <t>シヨウ</t>
    </rPh>
    <phoneticPr fontId="27"/>
  </si>
  <si>
    <t>2.6.1</t>
    <phoneticPr fontId="27"/>
  </si>
  <si>
    <t>2.6.2</t>
  </si>
  <si>
    <t>2.6.3</t>
  </si>
  <si>
    <t>2.6.4</t>
  </si>
  <si>
    <t>2.6.5</t>
  </si>
  <si>
    <t>2.6.6</t>
  </si>
  <si>
    <t>TC</t>
    <phoneticPr fontId="27"/>
  </si>
  <si>
    <t>NC</t>
    <phoneticPr fontId="27"/>
  </si>
  <si>
    <t>EB</t>
    <phoneticPr fontId="27"/>
  </si>
  <si>
    <t>部材の再利用可能性向上への取組み（TC)</t>
    <rPh sb="9" eb="11">
      <t>コウジョウ</t>
    </rPh>
    <rPh sb="13" eb="15">
      <t>トリク</t>
    </rPh>
    <phoneticPr fontId="27"/>
  </si>
  <si>
    <t>2.6.1</t>
    <phoneticPr fontId="27"/>
  </si>
  <si>
    <t>LR2 2.2</t>
    <phoneticPr fontId="27"/>
  </si>
  <si>
    <t>躯体のリサイクル・リユース</t>
  </si>
  <si>
    <t>躯体のリサイクル・リユース</t>
    <phoneticPr fontId="27"/>
  </si>
  <si>
    <t>屋根材のリサイクル・リユース</t>
  </si>
  <si>
    <t>屋根材のリサイクル・リユース</t>
    <phoneticPr fontId="27"/>
  </si>
  <si>
    <t>外壁材のリサイクル・リユース</t>
  </si>
  <si>
    <t>外壁材のリサイクル・リユース</t>
    <phoneticPr fontId="27"/>
  </si>
  <si>
    <t>内装材のリサイクル・リユース</t>
  </si>
  <si>
    <t>内装材のリサイクル・リユース</t>
    <phoneticPr fontId="27"/>
  </si>
  <si>
    <t>設備機器のリサイクル・リユース</t>
  </si>
  <si>
    <t>設備機器のリサイクル・リユース</t>
    <phoneticPr fontId="27"/>
  </si>
  <si>
    <t>外構資材のリユース</t>
  </si>
  <si>
    <t>外構資材のリユース</t>
    <phoneticPr fontId="27"/>
  </si>
  <si>
    <t>廃棄物発生量の最小化</t>
    <phoneticPr fontId="27"/>
  </si>
  <si>
    <t>LR2 2</t>
    <phoneticPr fontId="27"/>
  </si>
  <si>
    <t>３．短期使用</t>
    <rPh sb="2" eb="4">
      <t>タンキ</t>
    </rPh>
    <rPh sb="4" eb="6">
      <t>シヨウ</t>
    </rPh>
    <phoneticPr fontId="27"/>
  </si>
  <si>
    <t>短期使用</t>
    <rPh sb="0" eb="2">
      <t>タンキ</t>
    </rPh>
    <rPh sb="2" eb="4">
      <t>シヨウ</t>
    </rPh>
    <phoneticPr fontId="27"/>
  </si>
  <si>
    <t>住宅　専有部（住戸全体）※</t>
    <rPh sb="0" eb="2">
      <t>ジュウタク</t>
    </rPh>
    <rPh sb="3" eb="5">
      <t>センユウ</t>
    </rPh>
    <rPh sb="5" eb="6">
      <t>ブ</t>
    </rPh>
    <rPh sb="7" eb="9">
      <t>ジュウコ</t>
    </rPh>
    <rPh sb="9" eb="11">
      <t>ゼンタイ</t>
    </rPh>
    <phoneticPr fontId="27"/>
  </si>
  <si>
    <t>※算定プログラムによらない場合は、評価対象外</t>
    <rPh sb="1" eb="3">
      <t>サンテイ</t>
    </rPh>
    <rPh sb="13" eb="15">
      <t>バアイ</t>
    </rPh>
    <rPh sb="17" eb="19">
      <t>ヒョウカ</t>
    </rPh>
    <rPh sb="19" eb="21">
      <t>タイショウ</t>
    </rPh>
    <rPh sb="21" eb="22">
      <t>ガイ</t>
    </rPh>
    <phoneticPr fontId="27"/>
  </si>
  <si>
    <t>2）屋根緑化や壁面緑化等の建物緑化に用いる植物の移設・再使用を前提とした植栽方法の採用</t>
  </si>
  <si>
    <t>3）舗装用平板やブロック等道路用材について、移設・再使用を前提とした資材・工法の採用</t>
  </si>
  <si>
    <t>4）擁壁や植栽ブロック等土木用材について、移設・再使用を前提とした資材・工法の採用</t>
  </si>
  <si>
    <t>1)外構に植栽する樹木の移設・再使用を前提とした植栽方法の採用</t>
    <phoneticPr fontId="27"/>
  </si>
  <si>
    <t>取組み</t>
    <rPh sb="0" eb="2">
      <t>トリク</t>
    </rPh>
    <phoneticPr fontId="27"/>
  </si>
  <si>
    <t>自然素材利用による建築構造体の軽量化</t>
    <rPh sb="0" eb="2">
      <t>シゼン</t>
    </rPh>
    <rPh sb="2" eb="4">
      <t>ソザイ</t>
    </rPh>
    <rPh sb="4" eb="6">
      <t>リヨウ</t>
    </rPh>
    <rPh sb="9" eb="11">
      <t>ケンチク</t>
    </rPh>
    <rPh sb="11" eb="14">
      <t>コウゾウタイ</t>
    </rPh>
    <rPh sb="15" eb="18">
      <t>ケイリョウカ</t>
    </rPh>
    <phoneticPr fontId="8"/>
  </si>
  <si>
    <t>施工廃棄物減量計画・マネジメント手法の整備</t>
    <rPh sb="0" eb="2">
      <t>セコウ</t>
    </rPh>
    <rPh sb="2" eb="4">
      <t>ハイキ</t>
    </rPh>
    <rPh sb="4" eb="5">
      <t>ブツ</t>
    </rPh>
    <rPh sb="5" eb="7">
      <t>ゲンリョウ</t>
    </rPh>
    <rPh sb="7" eb="9">
      <t>ケイカク</t>
    </rPh>
    <rPh sb="16" eb="18">
      <t>シュホウ</t>
    </rPh>
    <rPh sb="19" eb="21">
      <t>セイビ</t>
    </rPh>
    <phoneticPr fontId="8"/>
  </si>
  <si>
    <t>リース・レンタル材料及び設備の採用</t>
    <rPh sb="8" eb="10">
      <t>ザイリョウ</t>
    </rPh>
    <rPh sb="10" eb="11">
      <t>オヨ</t>
    </rPh>
    <rPh sb="12" eb="14">
      <t>セツビ</t>
    </rPh>
    <rPh sb="15" eb="17">
      <t>サイヨウ</t>
    </rPh>
    <phoneticPr fontId="8"/>
  </si>
  <si>
    <t>リユース＆リサイクルルートと受け入れ先確保（リース・レンタルは除く）</t>
    <rPh sb="14" eb="15">
      <t>ウ</t>
    </rPh>
    <rPh sb="16" eb="17">
      <t>イ</t>
    </rPh>
    <rPh sb="18" eb="19">
      <t>サキ</t>
    </rPh>
    <rPh sb="19" eb="21">
      <t>カクホ</t>
    </rPh>
    <rPh sb="31" eb="32">
      <t>ノゾ</t>
    </rPh>
    <phoneticPr fontId="8"/>
  </si>
  <si>
    <t>その他（記述）</t>
    <rPh sb="2" eb="3">
      <t>ホカ</t>
    </rPh>
    <rPh sb="4" eb="6">
      <t>キジュツ</t>
    </rPh>
    <phoneticPr fontId="27"/>
  </si>
  <si>
    <t>5)その他（記述）</t>
    <rPh sb="4" eb="5">
      <t>ホカ</t>
    </rPh>
    <rPh sb="6" eb="8">
      <t>キジュツ</t>
    </rPh>
    <phoneticPr fontId="27"/>
  </si>
  <si>
    <t>1)使用材料種類の集約</t>
    <rPh sb="2" eb="4">
      <t>シヨウ</t>
    </rPh>
    <rPh sb="4" eb="6">
      <t>ザイリョウ</t>
    </rPh>
    <rPh sb="6" eb="8">
      <t>シュルイ</t>
    </rPh>
    <rPh sb="9" eb="11">
      <t>シュウヤク</t>
    </rPh>
    <phoneticPr fontId="8"/>
  </si>
  <si>
    <t>2)配管材の規格一律化・規格材の活用</t>
    <rPh sb="2" eb="4">
      <t>ハイカン</t>
    </rPh>
    <rPh sb="4" eb="5">
      <t>ザイ</t>
    </rPh>
    <rPh sb="6" eb="8">
      <t>キカク</t>
    </rPh>
    <rPh sb="8" eb="11">
      <t>イチリツカ</t>
    </rPh>
    <rPh sb="12" eb="14">
      <t>キカク</t>
    </rPh>
    <rPh sb="14" eb="15">
      <t>ザイ</t>
    </rPh>
    <rPh sb="16" eb="18">
      <t>カツヨウ</t>
    </rPh>
    <phoneticPr fontId="8"/>
  </si>
  <si>
    <t>3)設備機器（空調機）の規格化</t>
    <rPh sb="2" eb="4">
      <t>セツビ</t>
    </rPh>
    <rPh sb="4" eb="6">
      <t>キキ</t>
    </rPh>
    <rPh sb="7" eb="9">
      <t>クウチョウ</t>
    </rPh>
    <rPh sb="9" eb="10">
      <t>キ</t>
    </rPh>
    <rPh sb="12" eb="14">
      <t>キカク</t>
    </rPh>
    <rPh sb="14" eb="15">
      <t>カ</t>
    </rPh>
    <phoneticPr fontId="8"/>
  </si>
  <si>
    <t>4)設備機器（照明）の規格化</t>
    <rPh sb="2" eb="4">
      <t>セツビ</t>
    </rPh>
    <rPh sb="4" eb="6">
      <t>キキ</t>
    </rPh>
    <rPh sb="7" eb="9">
      <t>ショウメイ</t>
    </rPh>
    <rPh sb="11" eb="13">
      <t>キカク</t>
    </rPh>
    <rPh sb="13" eb="14">
      <t>カ</t>
    </rPh>
    <phoneticPr fontId="8"/>
  </si>
  <si>
    <t>5)設備機器の着脱性の確保</t>
    <rPh sb="2" eb="4">
      <t>セツビ</t>
    </rPh>
    <rPh sb="4" eb="6">
      <t>キキ</t>
    </rPh>
    <rPh sb="7" eb="10">
      <t>チャクダツセイ</t>
    </rPh>
    <rPh sb="11" eb="13">
      <t>カクホ</t>
    </rPh>
    <phoneticPr fontId="8"/>
  </si>
  <si>
    <t>6)設備機器と内装材・外装材・屋根材との錯綜を回避した納まり</t>
    <rPh sb="2" eb="4">
      <t>セツビ</t>
    </rPh>
    <rPh sb="4" eb="6">
      <t>キキ</t>
    </rPh>
    <rPh sb="7" eb="9">
      <t>ナイソウ</t>
    </rPh>
    <rPh sb="9" eb="10">
      <t>ザイ</t>
    </rPh>
    <rPh sb="11" eb="14">
      <t>ガイソウザイ</t>
    </rPh>
    <rPh sb="15" eb="17">
      <t>ヤネ</t>
    </rPh>
    <rPh sb="17" eb="18">
      <t>ザイ</t>
    </rPh>
    <rPh sb="20" eb="22">
      <t>サクソウ</t>
    </rPh>
    <rPh sb="23" eb="25">
      <t>カイヒ</t>
    </rPh>
    <rPh sb="27" eb="28">
      <t>オサ</t>
    </rPh>
    <phoneticPr fontId="8"/>
  </si>
  <si>
    <t>7)修理・部品交換しやすい設備機器の使用</t>
    <rPh sb="2" eb="4">
      <t>シュウリ</t>
    </rPh>
    <rPh sb="5" eb="7">
      <t>ブヒン</t>
    </rPh>
    <rPh sb="7" eb="9">
      <t>コウカン</t>
    </rPh>
    <rPh sb="13" eb="15">
      <t>セツビ</t>
    </rPh>
    <rPh sb="15" eb="17">
      <t>キキ</t>
    </rPh>
    <rPh sb="18" eb="20">
      <t>シヨウ</t>
    </rPh>
    <phoneticPr fontId="8"/>
  </si>
  <si>
    <t>事・会(図)（屋外型）</t>
    <rPh sb="2" eb="3">
      <t>カイ</t>
    </rPh>
    <rPh sb="4" eb="5">
      <t>ズ</t>
    </rPh>
    <rPh sb="7" eb="10">
      <t>オクガイガタ</t>
    </rPh>
    <phoneticPr fontId="27"/>
  </si>
  <si>
    <t>事・会(図)（屋外型）・病・ホ・工</t>
    <rPh sb="2" eb="3">
      <t>カイ</t>
    </rPh>
    <rPh sb="4" eb="5">
      <t>ズ</t>
    </rPh>
    <rPh sb="7" eb="10">
      <t>オクガイガタ</t>
    </rPh>
    <rPh sb="16" eb="17">
      <t>コウ</t>
    </rPh>
    <phoneticPr fontId="27"/>
  </si>
  <si>
    <t>使用期間</t>
    <rPh sb="0" eb="2">
      <t>シヨウ</t>
    </rPh>
    <rPh sb="2" eb="4">
      <t>キカン</t>
    </rPh>
    <phoneticPr fontId="27"/>
  </si>
  <si>
    <t>3</t>
    <phoneticPr fontId="27"/>
  </si>
  <si>
    <t>外壁、窓等を通しての熱の損失の防止に関する事項</t>
    <rPh sb="0" eb="2">
      <t>ガイヘキ</t>
    </rPh>
    <rPh sb="3" eb="4">
      <t>マド</t>
    </rPh>
    <rPh sb="4" eb="5">
      <t>トウ</t>
    </rPh>
    <rPh sb="6" eb="7">
      <t>トオ</t>
    </rPh>
    <rPh sb="10" eb="11">
      <t>ネツ</t>
    </rPh>
    <rPh sb="12" eb="14">
      <t>ソンシツ</t>
    </rPh>
    <rPh sb="15" eb="17">
      <t>ボウシ</t>
    </rPh>
    <rPh sb="18" eb="19">
      <t>カン</t>
    </rPh>
    <rPh sb="21" eb="23">
      <t>ジコウ</t>
    </rPh>
    <phoneticPr fontId="27"/>
  </si>
  <si>
    <t>しない</t>
  </si>
  <si>
    <t>しない</t>
    <phoneticPr fontId="27"/>
  </si>
  <si>
    <t>「DECC非住宅建築物の環境関連データーベース（2016年6月公開データ、一般財団法人日本サステナブル建築協会）」を集計</t>
    <rPh sb="5" eb="6">
      <t>ヒ</t>
    </rPh>
    <rPh sb="6" eb="8">
      <t>ジュウタク</t>
    </rPh>
    <rPh sb="8" eb="11">
      <t>ケンチクブツ</t>
    </rPh>
    <rPh sb="12" eb="14">
      <t>カンキョウ</t>
    </rPh>
    <rPh sb="14" eb="16">
      <t>カンレン</t>
    </rPh>
    <rPh sb="28" eb="29">
      <t>ネン</t>
    </rPh>
    <rPh sb="30" eb="31">
      <t>ガツ</t>
    </rPh>
    <rPh sb="31" eb="33">
      <t>コウカイ</t>
    </rPh>
    <rPh sb="37" eb="39">
      <t>イッパン</t>
    </rPh>
    <rPh sb="39" eb="41">
      <t>ザイダン</t>
    </rPh>
    <rPh sb="41" eb="43">
      <t>ホウジン</t>
    </rPh>
    <rPh sb="43" eb="45">
      <t>ニホン</t>
    </rPh>
    <rPh sb="51" eb="53">
      <t>ケンチク</t>
    </rPh>
    <rPh sb="53" eb="55">
      <t>キョウカイ</t>
    </rPh>
    <rPh sb="58" eb="60">
      <t>シュウケイ</t>
    </rPh>
    <phoneticPr fontId="27"/>
  </si>
  <si>
    <t>ポイント</t>
    <phoneticPr fontId="27"/>
  </si>
  <si>
    <t>する</t>
    <phoneticPr fontId="27"/>
  </si>
  <si>
    <t>する</t>
    <phoneticPr fontId="27"/>
  </si>
  <si>
    <t>1) 敷地とその周辺にある生物環境に関する立地特性を把握し、その特性に基づいて敷地内の生物環境の保全と創出に関わる計画方針を示している。</t>
    <rPh sb="15" eb="17">
      <t>カンキョウ</t>
    </rPh>
    <phoneticPr fontId="27"/>
  </si>
  <si>
    <t>1) 敷地内にある生物資源を構成する動植物、表土、水辺等を保存または復元している。</t>
    <phoneticPr fontId="27"/>
  </si>
  <si>
    <t>1) 建物運用時における緑地等の維持管理に必要な設備を設置し、かつ管理方針を示している。</t>
    <phoneticPr fontId="27"/>
  </si>
  <si>
    <t>1) 屋上(人工地盤を含む)のうち、人が出入りできる部分の緑化に努める。</t>
    <phoneticPr fontId="27"/>
  </si>
  <si>
    <t>2) 外壁面の材料に配慮する。</t>
    <phoneticPr fontId="27"/>
  </si>
  <si>
    <t>延床面積500㎡未満の建築物は
レベル3とする。
注）500㎡未満の建物は直接入力により、レベル３を選択してください。</t>
    <rPh sb="0" eb="2">
      <t>ノベユカ</t>
    </rPh>
    <rPh sb="2" eb="4">
      <t>メンセキ</t>
    </rPh>
    <rPh sb="8" eb="10">
      <t>ミマン</t>
    </rPh>
    <rPh sb="26" eb="27">
      <t>チュウ</t>
    </rPh>
    <phoneticPr fontId="27"/>
  </si>
  <si>
    <t>ポイント</t>
    <phoneticPr fontId="27"/>
  </si>
  <si>
    <t>空調CO2制御効果、換気CO2制御効果、ﾀｽｸｱﾝﾋﾞｴﾝﾄ空調効果、ﾀｽｸｱﾝﾋﾞｴﾝﾄ照明効果など</t>
    <phoneticPr fontId="27"/>
  </si>
  <si>
    <t>しない</t>
    <phoneticPr fontId="27"/>
  </si>
  <si>
    <t>&lt;運用期間が1年未満の場合&gt;</t>
    <phoneticPr fontId="27"/>
  </si>
  <si>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年未満の場合、直接入力により対象外を選択します。</t>
    </r>
    <rPh sb="15" eb="17">
      <t>チョクセツ</t>
    </rPh>
    <rPh sb="17" eb="19">
      <t>ニュウリョク</t>
    </rPh>
    <rPh sb="22" eb="24">
      <t>タイショウ</t>
    </rPh>
    <rPh sb="24" eb="25">
      <t>ガイ</t>
    </rPh>
    <rPh sb="26" eb="28">
      <t>センタク</t>
    </rPh>
    <phoneticPr fontId="27"/>
  </si>
  <si>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t>
    </r>
    <r>
      <rPr>
        <sz val="10"/>
        <color rgb="FFFF0000"/>
        <rFont val="Arial"/>
        <family val="2"/>
      </rPr>
      <t>[BEI][BEIm]</t>
    </r>
    <r>
      <rPr>
        <sz val="10"/>
        <color rgb="FFFF0000"/>
        <rFont val="ＭＳ Ｐゴシック"/>
        <family val="3"/>
        <charset val="128"/>
      </rPr>
      <t>を</t>
    </r>
    <r>
      <rPr>
        <sz val="10"/>
        <color rgb="FFFF0000"/>
        <rFont val="Arial"/>
        <family val="2"/>
      </rPr>
      <t>[BEI</t>
    </r>
    <r>
      <rPr>
        <vertAlign val="superscript"/>
        <sz val="10"/>
        <color rgb="FFFF0000"/>
        <rFont val="Arial"/>
        <family val="2"/>
      </rPr>
      <t>TC</t>
    </r>
    <r>
      <rPr>
        <sz val="10"/>
        <color rgb="FFFF0000"/>
        <rFont val="Arial"/>
        <family val="2"/>
      </rPr>
      <t>]</t>
    </r>
    <r>
      <rPr>
        <sz val="10"/>
        <color rgb="FFFF0000"/>
        <rFont val="ＭＳ Ｐゴシック"/>
        <family val="3"/>
        <charset val="128"/>
      </rPr>
      <t>と読み替えて評価します。</t>
    </r>
    <rPh sb="35" eb="36">
      <t>ヨ</t>
    </rPh>
    <rPh sb="37" eb="38">
      <t>カ</t>
    </rPh>
    <rPh sb="40" eb="42">
      <t>ヒョウカ</t>
    </rPh>
    <phoneticPr fontId="27"/>
  </si>
  <si>
    <r>
      <t>　期間積算の基準一次エネルギー消費量に対する設計一次エネルギー消費量の比率 [BEI</t>
    </r>
    <r>
      <rPr>
        <vertAlign val="superscript"/>
        <sz val="9"/>
        <color rgb="FFFF0000"/>
        <rFont val="ＭＳ Ｐゴシック"/>
        <family val="3"/>
        <charset val="128"/>
      </rPr>
      <t>TC</t>
    </r>
    <r>
      <rPr>
        <sz val="9"/>
        <color rgb="FFFF0000"/>
        <rFont val="ＭＳ Ｐゴシック"/>
        <family val="3"/>
        <charset val="128"/>
      </rPr>
      <t>] を[BEI]欄に入力</t>
    </r>
    <rPh sb="52" eb="53">
      <t>ラン</t>
    </rPh>
    <phoneticPr fontId="27"/>
  </si>
  <si>
    <t>8)その他（記述）</t>
    <rPh sb="4" eb="5">
      <t>ホカ</t>
    </rPh>
    <rPh sb="6" eb="8">
      <t>キジュツ</t>
    </rPh>
    <phoneticPr fontId="27"/>
  </si>
  <si>
    <t>する</t>
    <phoneticPr fontId="27"/>
  </si>
  <si>
    <t>耐震･免震・制震・制振</t>
    <rPh sb="0" eb="2">
      <t>タイシン</t>
    </rPh>
    <rPh sb="3" eb="5">
      <t>メンシン</t>
    </rPh>
    <rPh sb="6" eb="8">
      <t>セイシン</t>
    </rPh>
    <rPh sb="9" eb="11">
      <t>セイシン</t>
    </rPh>
    <phoneticPr fontId="27"/>
  </si>
  <si>
    <t>免震・制震・制振性能</t>
    <rPh sb="8" eb="10">
      <t>セイノウ</t>
    </rPh>
    <phoneticPr fontId="27"/>
  </si>
  <si>
    <t>免震・制震・制振性能</t>
    <rPh sb="0" eb="2">
      <t>メンシン</t>
    </rPh>
    <rPh sb="3" eb="5">
      <t>セイシン</t>
    </rPh>
    <rPh sb="6" eb="8">
      <t>セイシン</t>
    </rPh>
    <rPh sb="8" eb="10">
      <t>セイノウ</t>
    </rPh>
    <phoneticPr fontId="27"/>
  </si>
  <si>
    <t>耐震性(建物のこわれにくさ)</t>
    <rPh sb="0" eb="3">
      <t>タイシンセイ</t>
    </rPh>
    <rPh sb="4" eb="6">
      <t>タテモノ</t>
    </rPh>
    <phoneticPr fontId="27"/>
  </si>
  <si>
    <t>「家庭部門エネルギー種別最終エネルギー消費（平成25年度におけるエネルギー需給実績、資源エネルギー庁）」</t>
    <phoneticPr fontId="27"/>
  </si>
  <si>
    <t>工場については、統計値がないため、H28国交省告示第265号による事務所の照明エネルギー消費量としている。</t>
    <rPh sb="0" eb="2">
      <t>コウジョウ</t>
    </rPh>
    <rPh sb="8" eb="10">
      <t>トウケイ</t>
    </rPh>
    <rPh sb="10" eb="11">
      <t>チ</t>
    </rPh>
    <rPh sb="20" eb="23">
      <t>コッコウショウ</t>
    </rPh>
    <rPh sb="23" eb="25">
      <t>コクジ</t>
    </rPh>
    <rPh sb="25" eb="26">
      <t>ダイ</t>
    </rPh>
    <rPh sb="29" eb="30">
      <t>ゴウ</t>
    </rPh>
    <rPh sb="33" eb="35">
      <t>ジム</t>
    </rPh>
    <rPh sb="35" eb="36">
      <t>ショ</t>
    </rPh>
    <rPh sb="37" eb="39">
      <t>ショウメイ</t>
    </rPh>
    <rPh sb="44" eb="47">
      <t>ショウヒリョウ</t>
    </rPh>
    <phoneticPr fontId="27"/>
  </si>
  <si>
    <t>ポイント</t>
    <phoneticPr fontId="27"/>
  </si>
  <si>
    <t>窓システム、外壁、屋根や床（特にピロティ）において熱の侵入に対して配慮が無く、断熱性能が低い。
（窓システムSC：0.7程度、U=6.0(W/m2K)程度、外壁その他：U=3.0(W/m2K)程度）</t>
    <phoneticPr fontId="27"/>
  </si>
  <si>
    <t>日本住宅性能表示基準「5-1断熱等性能等級」における等級３相当である。</t>
    <rPh sb="29" eb="31">
      <t>ソウトウ</t>
    </rPh>
    <phoneticPr fontId="27"/>
  </si>
  <si>
    <t>日本住宅性能表示基準「5-1断熱等性能等級」における等級４相当である。</t>
    <rPh sb="29" eb="31">
      <t>ソウトウ</t>
    </rPh>
    <phoneticPr fontId="27"/>
  </si>
  <si>
    <t>タスク・アンビエント照明方式もしくはこれに準ずる照明方式の場合で、タスク照度が500lx以上1000lx未満、かつアンビエント照度がタスク照度の1/3以上2/3未満、かつ壁面の鉛直面照度が100lx以上で反射率が30％以上もしくは天井面の水平面照度が100lx以上で反射率が50％以下。</t>
    <rPh sb="102" eb="104">
      <t>ハンシャ</t>
    </rPh>
    <rPh sb="104" eb="105">
      <t>リツ</t>
    </rPh>
    <rPh sb="109" eb="111">
      <t>イジョウ</t>
    </rPh>
    <rPh sb="130" eb="132">
      <t>イジョウ</t>
    </rPh>
    <rPh sb="133" eb="135">
      <t>ハンシャ</t>
    </rPh>
    <rPh sb="135" eb="136">
      <t>リツ</t>
    </rPh>
    <rPh sb="140" eb="142">
      <t>イカ</t>
    </rPh>
    <phoneticPr fontId="27"/>
  </si>
  <si>
    <t>明るさや学習形態に応じた制御区画であり、在室者自らが点灯・消灯によって制御できる。</t>
    <phoneticPr fontId="27"/>
  </si>
  <si>
    <t>建築基準法（シックハウス対応含む）および学校環境衛生基準を満たす換気量となっている。</t>
    <rPh sb="20" eb="22">
      <t>ガッコウ</t>
    </rPh>
    <rPh sb="22" eb="24">
      <t>カンキョウ</t>
    </rPh>
    <rPh sb="24" eb="26">
      <t>エイセイ</t>
    </rPh>
    <rPh sb="26" eb="28">
      <t>キジュン</t>
    </rPh>
    <phoneticPr fontId="27"/>
  </si>
  <si>
    <t>建築基準法（シックハウス対応含む）および学校環境衛生基準を満たす換気量の1.2倍となっている。</t>
    <rPh sb="20" eb="22">
      <t>ガッコウ</t>
    </rPh>
    <rPh sb="22" eb="24">
      <t>カンキョウ</t>
    </rPh>
    <rPh sb="24" eb="26">
      <t>エイセイ</t>
    </rPh>
    <rPh sb="26" eb="28">
      <t>キジュン</t>
    </rPh>
    <phoneticPr fontId="27"/>
  </si>
  <si>
    <t>建築基準法（シックハウス対応含む）および学校環境衛生基準を満たす換気量の1.4倍となっている。</t>
    <rPh sb="20" eb="22">
      <t>ガッコウ</t>
    </rPh>
    <rPh sb="22" eb="24">
      <t>カンキョウ</t>
    </rPh>
    <rPh sb="24" eb="26">
      <t>エイセイ</t>
    </rPh>
    <rPh sb="26" eb="28">
      <t>キジュン</t>
    </rPh>
    <phoneticPr fontId="27"/>
  </si>
  <si>
    <r>
      <t xml:space="preserve">2.1.2 </t>
    </r>
    <r>
      <rPr>
        <b/>
        <sz val="10"/>
        <rFont val="ＭＳ Ｐゴシック"/>
        <family val="3"/>
        <charset val="128"/>
      </rPr>
      <t>免震・制震・制振性能（内部設備保護）</t>
    </r>
    <rPh sb="17" eb="19">
      <t>ナイブ</t>
    </rPh>
    <rPh sb="19" eb="21">
      <t>セツビ</t>
    </rPh>
    <rPh sb="21" eb="23">
      <t>ホゴ</t>
    </rPh>
    <phoneticPr fontId="27"/>
  </si>
  <si>
    <t>耐震クラスS（Aクラスに加え、大きな補修をすることなく全ての機能が確保できる。）または、動的解析を行った上で設計用水平震度KHを2.0以上としている。</t>
    <rPh sb="44" eb="46">
      <t>ドウテキ</t>
    </rPh>
    <rPh sb="46" eb="48">
      <t>カイセキ</t>
    </rPh>
    <rPh sb="49" eb="50">
      <t>オコナ</t>
    </rPh>
    <rPh sb="52" eb="53">
      <t>ウエ</t>
    </rPh>
    <rPh sb="54" eb="57">
      <t>セッケイヨウ</t>
    </rPh>
    <rPh sb="57" eb="59">
      <t>スイヘイ</t>
    </rPh>
    <rPh sb="59" eb="61">
      <t>シンド</t>
    </rPh>
    <rPh sb="67" eb="69">
      <t>イジョウ</t>
    </rPh>
    <phoneticPr fontId="27"/>
  </si>
  <si>
    <t>1) 我が国や地域の生態系に悪影響を及ぼす外来種に関し、適切な対応を行っている。</t>
    <rPh sb="3" eb="4">
      <t>ワ</t>
    </rPh>
    <rPh sb="5" eb="6">
      <t>クニ</t>
    </rPh>
    <rPh sb="7" eb="9">
      <t>チイキ</t>
    </rPh>
    <rPh sb="10" eb="13">
      <t>セイタイケイ</t>
    </rPh>
    <rPh sb="14" eb="17">
      <t>アクエイキョウ</t>
    </rPh>
    <rPh sb="18" eb="19">
      <t>オヨ</t>
    </rPh>
    <rPh sb="21" eb="23">
      <t>ガイライ</t>
    </rPh>
    <rPh sb="23" eb="24">
      <t>シュ</t>
    </rPh>
    <rPh sb="25" eb="26">
      <t>カン</t>
    </rPh>
    <rPh sb="28" eb="30">
      <t>テキセツ</t>
    </rPh>
    <rPh sb="31" eb="33">
      <t>タイオウ</t>
    </rPh>
    <rPh sb="34" eb="35">
      <t>オコナ</t>
    </rPh>
    <phoneticPr fontId="27"/>
  </si>
  <si>
    <t>2) 自生種の保全に配慮した緑地づくりを行っている。</t>
    <phoneticPr fontId="27"/>
  </si>
  <si>
    <t>3) 敷地や建物の植栽条件に応じた適切な緑地づくりを行っている。</t>
    <phoneticPr fontId="27"/>
  </si>
  <si>
    <t>4) 野生小動物の生息域の確保に配慮した緑地づくりを行っている。</t>
    <phoneticPr fontId="27"/>
  </si>
  <si>
    <t>I 地域固有の風土、
歴史、文化の継承</t>
    <phoneticPr fontId="27"/>
  </si>
  <si>
    <t>II 空間・施設機能の提供
による地域貢献</t>
    <phoneticPr fontId="27"/>
  </si>
  <si>
    <t>III 建物内外を連関させる
豊かな中間領域の形成</t>
    <phoneticPr fontId="27"/>
  </si>
  <si>
    <r>
      <t>主要構造躯体のコンクリート基準強度Fc及び主筋鉄筋の基準強度F
（単位:N/mm</t>
    </r>
    <r>
      <rPr>
        <vertAlign val="superscript"/>
        <sz val="9"/>
        <rFont val="ＭＳ Ｐゴシック"/>
        <family val="3"/>
        <charset val="128"/>
      </rPr>
      <t>2</t>
    </r>
    <r>
      <rPr>
        <sz val="9"/>
        <rFont val="ＭＳ Ｐゴシック"/>
        <family val="3"/>
        <charset val="128"/>
      </rPr>
      <t>）</t>
    </r>
    <rPh sb="13" eb="15">
      <t>キジュン</t>
    </rPh>
    <rPh sb="26" eb="28">
      <t>キジュン</t>
    </rPh>
    <rPh sb="33" eb="35">
      <t>タンイ</t>
    </rPh>
    <phoneticPr fontId="27"/>
  </si>
  <si>
    <t>主要構造躯体の鉄骨の基準強度F
（単位:N/mm2）</t>
    <rPh sb="10" eb="12">
      <t>キジュン</t>
    </rPh>
    <phoneticPr fontId="27"/>
  </si>
  <si>
    <t>I 温熱環境の事前調査</t>
    <phoneticPr fontId="27"/>
  </si>
  <si>
    <t>II 敷地外への熱的な影響を低減する対策</t>
    <phoneticPr fontId="27"/>
  </si>
  <si>
    <t>III 効果の確認</t>
    <phoneticPr fontId="27"/>
  </si>
  <si>
    <t>指導された規模の雨水流出抑制対策を実施している。</t>
    <rPh sb="8" eb="10">
      <t>ウスイ</t>
    </rPh>
    <phoneticPr fontId="27"/>
  </si>
  <si>
    <t>レベル３を満たし、かつそれ以上の雨水流出抑制対策等を実施しているが、レベル５を満たさない。</t>
    <rPh sb="5" eb="6">
      <t>ミ</t>
    </rPh>
    <rPh sb="13" eb="15">
      <t>イジョウ</t>
    </rPh>
    <rPh sb="16" eb="18">
      <t>ウスイ</t>
    </rPh>
    <rPh sb="18" eb="20">
      <t>リュウシュツ</t>
    </rPh>
    <rPh sb="20" eb="22">
      <t>ヨクセイ</t>
    </rPh>
    <rPh sb="22" eb="24">
      <t>タイサク</t>
    </rPh>
    <rPh sb="24" eb="25">
      <t>トウ</t>
    </rPh>
    <rPh sb="26" eb="28">
      <t>ジッシ</t>
    </rPh>
    <rPh sb="39" eb="40">
      <t>ミ</t>
    </rPh>
    <phoneticPr fontId="27"/>
  </si>
  <si>
    <t>雨水流出抑制対策等を実施しているが、レベル５を満たさない。</t>
    <rPh sb="0" eb="2">
      <t>ウスイ</t>
    </rPh>
    <rPh sb="2" eb="4">
      <t>リュウシュツ</t>
    </rPh>
    <rPh sb="4" eb="6">
      <t>ヨクセイ</t>
    </rPh>
    <rPh sb="6" eb="8">
      <t>タイサク</t>
    </rPh>
    <rPh sb="8" eb="9">
      <t>トウ</t>
    </rPh>
    <rPh sb="10" eb="12">
      <t>ジッシ</t>
    </rPh>
    <rPh sb="23" eb="24">
      <t>ミ</t>
    </rPh>
    <phoneticPr fontId="27"/>
  </si>
  <si>
    <t>雨水流出抑制対策等を実施していない。</t>
    <rPh sb="0" eb="2">
      <t>ウスイ</t>
    </rPh>
    <rPh sb="8" eb="9">
      <t>トウ</t>
    </rPh>
    <phoneticPr fontId="27"/>
  </si>
  <si>
    <t>レベル３を満たし、かつ「雨水活用技術規準」（日本建築学会）に示された「基本蓄雨高100㎜」に必要な蓄雨高を敷地内で確保している。</t>
    <rPh sb="5" eb="6">
      <t>ミ</t>
    </rPh>
    <rPh sb="12" eb="14">
      <t>ウスイ</t>
    </rPh>
    <rPh sb="14" eb="16">
      <t>カツヨウ</t>
    </rPh>
    <rPh sb="16" eb="18">
      <t>ギジュツ</t>
    </rPh>
    <rPh sb="18" eb="20">
      <t>キジュン</t>
    </rPh>
    <rPh sb="22" eb="24">
      <t>ニホン</t>
    </rPh>
    <rPh sb="24" eb="26">
      <t>ケンチク</t>
    </rPh>
    <rPh sb="26" eb="28">
      <t>ガッカイ</t>
    </rPh>
    <rPh sb="30" eb="31">
      <t>シメ</t>
    </rPh>
    <rPh sb="35" eb="37">
      <t>キホン</t>
    </rPh>
    <rPh sb="37" eb="38">
      <t>チク</t>
    </rPh>
    <rPh sb="38" eb="39">
      <t>アメ</t>
    </rPh>
    <rPh sb="39" eb="40">
      <t>タカ</t>
    </rPh>
    <rPh sb="46" eb="48">
      <t>ヒツヨウ</t>
    </rPh>
    <rPh sb="49" eb="50">
      <t>チク</t>
    </rPh>
    <rPh sb="50" eb="51">
      <t>アメ</t>
    </rPh>
    <rPh sb="51" eb="52">
      <t>タカ</t>
    </rPh>
    <rPh sb="53" eb="55">
      <t>シキチ</t>
    </rPh>
    <rPh sb="55" eb="56">
      <t>ナイ</t>
    </rPh>
    <rPh sb="57" eb="59">
      <t>カクホ</t>
    </rPh>
    <phoneticPr fontId="27"/>
  </si>
  <si>
    <t>事・学・物・飲・会・病・ホ・工・住　&lt;行政指導がない場合&gt;</t>
    <phoneticPr fontId="27"/>
  </si>
  <si>
    <t>事・学・物・飲・会・病・ホ・工・住　&lt;行政指導がある場合&gt;</t>
    <phoneticPr fontId="27"/>
  </si>
  <si>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を上回っている</t>
    </r>
    <phoneticPr fontId="27"/>
  </si>
  <si>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以下に抑えられている</t>
    </r>
    <phoneticPr fontId="27"/>
  </si>
  <si>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より大幅</t>
    </r>
    <r>
      <rPr>
        <vertAlign val="superscript"/>
        <sz val="9"/>
        <rFont val="ＭＳ Ｐゴシック"/>
        <family val="3"/>
        <charset val="128"/>
      </rPr>
      <t>注*2</t>
    </r>
    <r>
      <rPr>
        <sz val="9"/>
        <rFont val="ＭＳ Ｐゴシック"/>
        <family val="3"/>
        <charset val="128"/>
      </rPr>
      <t>に抑えられている</t>
    </r>
    <rPh sb="0" eb="2">
      <t>ソウオン</t>
    </rPh>
    <rPh sb="2" eb="5">
      <t>キセイホウ</t>
    </rPh>
    <rPh sb="8" eb="11">
      <t>ダイキボ</t>
    </rPh>
    <rPh sb="11" eb="13">
      <t>コウリ</t>
    </rPh>
    <rPh sb="13" eb="15">
      <t>テンポ</t>
    </rPh>
    <rPh sb="15" eb="17">
      <t>リッチ</t>
    </rPh>
    <rPh sb="17" eb="18">
      <t>ホウ</t>
    </rPh>
    <rPh sb="19" eb="20">
      <t>サダ</t>
    </rPh>
    <rPh sb="22" eb="24">
      <t>ゲンコウ</t>
    </rPh>
    <rPh sb="25" eb="27">
      <t>キセイ</t>
    </rPh>
    <rPh sb="27" eb="29">
      <t>キジュン</t>
    </rPh>
    <rPh sb="29" eb="30">
      <t>チュウ</t>
    </rPh>
    <rPh sb="34" eb="36">
      <t>オオハバ</t>
    </rPh>
    <rPh sb="36" eb="37">
      <t>チュウ</t>
    </rPh>
    <rPh sb="40" eb="41">
      <t>オサ</t>
    </rPh>
    <phoneticPr fontId="27"/>
  </si>
  <si>
    <t>悪臭防止法ならびに地域の条例等に定める特定悪臭物質の濃度の許容限度及び臭気指数の許容限度を満たしている。</t>
    <rPh sb="9" eb="11">
      <t>チイキ</t>
    </rPh>
    <rPh sb="12" eb="14">
      <t>ジョウレイ</t>
    </rPh>
    <rPh sb="14" eb="15">
      <t>トウ</t>
    </rPh>
    <phoneticPr fontId="27"/>
  </si>
  <si>
    <t>悪臭防止法ならびに地域の条例等に定める現行の特定悪臭物質の濃度の許容限度及び臭気指数の許容限度を下回るレベルである。</t>
    <rPh sb="9" eb="11">
      <t>チイキ</t>
    </rPh>
    <rPh sb="12" eb="14">
      <t>ジョウレイ</t>
    </rPh>
    <rPh sb="14" eb="15">
      <t>トウ</t>
    </rPh>
    <phoneticPr fontId="27"/>
  </si>
  <si>
    <t>室内騒音レベル</t>
    <rPh sb="0" eb="2">
      <t>シツナイ</t>
    </rPh>
    <phoneticPr fontId="27"/>
  </si>
  <si>
    <t>室内騒音レベル</t>
    <rPh sb="0" eb="2">
      <t>シツナイ</t>
    </rPh>
    <phoneticPr fontId="27"/>
  </si>
  <si>
    <t xml:space="preserve">[BEI][BEIm] = </t>
    <phoneticPr fontId="27"/>
  </si>
  <si>
    <t>-</t>
    <phoneticPr fontId="27"/>
  </si>
  <si>
    <t>IS</t>
    <phoneticPr fontId="27"/>
  </si>
  <si>
    <t>インテリア</t>
    <phoneticPr fontId="27"/>
  </si>
  <si>
    <r>
      <t>CASBEE-短期使用</t>
    </r>
    <r>
      <rPr>
        <sz val="9"/>
        <rFont val="Arial"/>
        <family val="2"/>
      </rPr>
      <t>2016</t>
    </r>
    <r>
      <rPr>
        <sz val="9"/>
        <rFont val="ＭＳ Ｐゴシック"/>
        <family val="3"/>
        <charset val="128"/>
      </rPr>
      <t>年版</t>
    </r>
    <rPh sb="7" eb="9">
      <t>タンキ</t>
    </rPh>
    <rPh sb="9" eb="11">
      <t>シヨウ</t>
    </rPh>
    <rPh sb="15" eb="16">
      <t>ネン</t>
    </rPh>
    <rPh sb="16" eb="17">
      <t>バン</t>
    </rPh>
    <phoneticPr fontId="27"/>
  </si>
  <si>
    <r>
      <t>CASBEE-</t>
    </r>
    <r>
      <rPr>
        <sz val="9"/>
        <rFont val="ＭＳ Ｐゴシック"/>
        <family val="3"/>
        <charset val="128"/>
      </rPr>
      <t>建築</t>
    </r>
    <r>
      <rPr>
        <sz val="9"/>
        <rFont val="Arial"/>
        <family val="2"/>
      </rPr>
      <t>(</t>
    </r>
    <r>
      <rPr>
        <sz val="9"/>
        <rFont val="ＭＳ Ｐゴシック"/>
        <family val="3"/>
        <charset val="128"/>
      </rPr>
      <t>既存</t>
    </r>
    <r>
      <rPr>
        <sz val="9"/>
        <rFont val="Arial"/>
        <family val="2"/>
      </rPr>
      <t>)2016</t>
    </r>
    <r>
      <rPr>
        <sz val="9"/>
        <rFont val="ＭＳ Ｐゴシック"/>
        <family val="3"/>
        <charset val="128"/>
      </rPr>
      <t>年版</t>
    </r>
    <rPh sb="7" eb="9">
      <t>ケンチク</t>
    </rPh>
    <rPh sb="10" eb="12">
      <t>キゾン</t>
    </rPh>
    <rPh sb="17" eb="18">
      <t>ネン</t>
    </rPh>
    <rPh sb="18" eb="19">
      <t>バン</t>
    </rPh>
    <phoneticPr fontId="27"/>
  </si>
  <si>
    <r>
      <t>CASBEE-</t>
    </r>
    <r>
      <rPr>
        <sz val="9"/>
        <rFont val="ＭＳ Ｐゴシック"/>
        <family val="3"/>
        <charset val="128"/>
      </rPr>
      <t>ｲﾝﾃﾘｱｽﾍﾟｰｽ</t>
    </r>
    <r>
      <rPr>
        <sz val="9"/>
        <rFont val="Arial"/>
        <family val="2"/>
      </rPr>
      <t>2016</t>
    </r>
    <r>
      <rPr>
        <sz val="9"/>
        <rFont val="ＭＳ Ｐゴシック"/>
        <family val="3"/>
        <charset val="128"/>
      </rPr>
      <t>年版</t>
    </r>
    <rPh sb="21" eb="22">
      <t>ネン</t>
    </rPh>
    <rPh sb="22" eb="23">
      <t>バン</t>
    </rPh>
    <phoneticPr fontId="27"/>
  </si>
  <si>
    <t>豊かな室外環境</t>
    <rPh sb="0" eb="1">
      <t>ﾕﾀ</t>
    </rPh>
    <rPh sb="3" eb="5">
      <t>ｼﾂｶﾞｲ</t>
    </rPh>
    <rPh sb="5" eb="7">
      <t>ｶﾝｷｮｳ</t>
    </rPh>
    <phoneticPr fontId="39" type="noConversion"/>
  </si>
  <si>
    <t>知的生産性向上の取組み</t>
    <rPh sb="0" eb="7">
      <t>チテキセイサンセイコウジョウ</t>
    </rPh>
    <rPh sb="8" eb="10">
      <t>トリクミ</t>
    </rPh>
    <phoneticPr fontId="27"/>
  </si>
  <si>
    <t>４．ｲﾝﾃﾘｱｽﾍﾟｰｽ</t>
    <phoneticPr fontId="27"/>
  </si>
  <si>
    <t>知的生産性向上の取組み</t>
    <rPh sb="0" eb="2">
      <t>チテキ</t>
    </rPh>
    <rPh sb="2" eb="5">
      <t>セイサンセイ</t>
    </rPh>
    <rPh sb="5" eb="7">
      <t>コウジョウ</t>
    </rPh>
    <rPh sb="8" eb="10">
      <t>トリクミ</t>
    </rPh>
    <phoneticPr fontId="27"/>
  </si>
  <si>
    <t>（窓の配置）</t>
    <rPh sb="1" eb="2">
      <t>マド</t>
    </rPh>
    <rPh sb="3" eb="5">
      <t>ハイチ</t>
    </rPh>
    <phoneticPr fontId="27"/>
  </si>
  <si>
    <t>広さ感・景観（天井高）</t>
    <rPh sb="7" eb="9">
      <t>テンジョウ</t>
    </rPh>
    <rPh sb="9" eb="10">
      <t>ダカ</t>
    </rPh>
    <phoneticPr fontId="27"/>
  </si>
  <si>
    <t>広さ感・景観（窓）</t>
    <rPh sb="7" eb="8">
      <t>マド</t>
    </rPh>
    <phoneticPr fontId="27"/>
  </si>
  <si>
    <t>1.2.2</t>
  </si>
  <si>
    <t>1.2.3</t>
  </si>
  <si>
    <t>1.2.4</t>
  </si>
  <si>
    <t>1.2.5</t>
  </si>
  <si>
    <t>豊かな室外環境</t>
    <rPh sb="0" eb="1">
      <t>ユタ</t>
    </rPh>
    <rPh sb="3" eb="5">
      <t>シツガイ</t>
    </rPh>
    <rPh sb="5" eb="7">
      <t>カンキョウ</t>
    </rPh>
    <phoneticPr fontId="27"/>
  </si>
  <si>
    <t>2.3.4</t>
    <phoneticPr fontId="27"/>
  </si>
  <si>
    <t>空調方式（新築）</t>
    <rPh sb="0" eb="2">
      <t>クウチョウ</t>
    </rPh>
    <rPh sb="2" eb="4">
      <t>ホウシキ</t>
    </rPh>
    <rPh sb="5" eb="7">
      <t>シンチク</t>
    </rPh>
    <phoneticPr fontId="27"/>
  </si>
  <si>
    <t>空調方式（既存）</t>
    <rPh sb="0" eb="2">
      <t>クウチョウ</t>
    </rPh>
    <rPh sb="2" eb="4">
      <t>ホウシキ</t>
    </rPh>
    <rPh sb="5" eb="7">
      <t>キゾン</t>
    </rPh>
    <phoneticPr fontId="27"/>
  </si>
  <si>
    <r>
      <rPr>
        <sz val="9"/>
        <rFont val="ＭＳ Ｐゴシック"/>
        <family val="3"/>
        <charset val="128"/>
      </rPr>
      <t>採点シートの
採点結果</t>
    </r>
    <rPh sb="0" eb="2">
      <t>サイテン</t>
    </rPh>
    <rPh sb="7" eb="9">
      <t>サイテン</t>
    </rPh>
    <rPh sb="9" eb="11">
      <t>ケッカ</t>
    </rPh>
    <phoneticPr fontId="27"/>
  </si>
  <si>
    <r>
      <rPr>
        <sz val="9"/>
        <rFont val="ＭＳ Ｐゴシック"/>
        <family val="3"/>
        <charset val="128"/>
      </rPr>
      <t>建物全体</t>
    </r>
    <rPh sb="0" eb="2">
      <t>タテモノ</t>
    </rPh>
    <rPh sb="2" eb="4">
      <t>ゼンタイ</t>
    </rPh>
    <phoneticPr fontId="27"/>
  </si>
  <si>
    <r>
      <rPr>
        <sz val="9"/>
        <rFont val="ＭＳ Ｐゴシック"/>
        <family val="3"/>
        <charset val="128"/>
      </rPr>
      <t>住居宿泊</t>
    </r>
    <rPh sb="0" eb="2">
      <t>ジュウキョ</t>
    </rPh>
    <rPh sb="2" eb="4">
      <t>シュクハク</t>
    </rPh>
    <phoneticPr fontId="27"/>
  </si>
  <si>
    <t>LR1/3の</t>
    <phoneticPr fontId="27"/>
  </si>
  <si>
    <t>年間使用時間</t>
    <rPh sb="0" eb="2">
      <t>ネンカン</t>
    </rPh>
    <rPh sb="2" eb="4">
      <t>シヨウ</t>
    </rPh>
    <rPh sb="4" eb="6">
      <t>ジカン</t>
    </rPh>
    <phoneticPr fontId="27"/>
  </si>
  <si>
    <t>日平均使用時間</t>
    <rPh sb="0" eb="1">
      <t>ニチ</t>
    </rPh>
    <rPh sb="1" eb="3">
      <t>ヘイキン</t>
    </rPh>
    <rPh sb="3" eb="5">
      <t>シヨウ</t>
    </rPh>
    <rPh sb="5" eb="7">
      <t>ジカン</t>
    </rPh>
    <phoneticPr fontId="27"/>
  </si>
  <si>
    <r>
      <t>kg-CO</t>
    </r>
    <r>
      <rPr>
        <vertAlign val="subscript"/>
        <sz val="10"/>
        <rFont val="ＭＳ Ｐゴシック"/>
        <family val="3"/>
        <charset val="128"/>
      </rPr>
      <t>2</t>
    </r>
    <r>
      <rPr>
        <sz val="10"/>
        <rFont val="ＭＳ Ｐゴシック"/>
        <family val="3"/>
        <charset val="128"/>
      </rPr>
      <t>/kWh</t>
    </r>
    <phoneticPr fontId="27"/>
  </si>
  <si>
    <r>
      <t>ｔ-CO</t>
    </r>
    <r>
      <rPr>
        <vertAlign val="subscript"/>
        <sz val="11"/>
        <rFont val="ＭＳ Ｐゴシック"/>
        <family val="3"/>
        <charset val="128"/>
      </rPr>
      <t>2</t>
    </r>
    <r>
      <rPr>
        <sz val="11"/>
        <rFont val="ＭＳ Ｐゴシック"/>
        <family val="3"/>
        <charset val="128"/>
      </rPr>
      <t>/kWh</t>
    </r>
    <phoneticPr fontId="27"/>
  </si>
  <si>
    <r>
      <t>(t-CO</t>
    </r>
    <r>
      <rPr>
        <vertAlign val="subscript"/>
        <sz val="11"/>
        <rFont val="ＭＳ Ｐゴシック"/>
        <family val="3"/>
        <charset val="128"/>
      </rPr>
      <t>2</t>
    </r>
    <r>
      <rPr>
        <sz val="11"/>
        <rFont val="ＭＳ Ｐゴシック"/>
        <family val="3"/>
        <charset val="128"/>
      </rPr>
      <t>/kWh)</t>
    </r>
    <phoneticPr fontId="27"/>
  </si>
  <si>
    <t>注記；</t>
    <rPh sb="0" eb="2">
      <t>チュウキ</t>
    </rPh>
    <phoneticPr fontId="27"/>
  </si>
  <si>
    <t>住宅部分は、運用段階のLCCO2の算定に必要となるため、一次エネルギー消費量を入力する。なお非住宅部分については、LR1/3．設備システムの高効率化、および運用段階のLCCO2の算定ともにBEIを用いているため、一次エネルギー消費量の入力は不要（ただしオンサイトの取組分は要入力）。</t>
    <rPh sb="20" eb="22">
      <t>ヒツヨウ</t>
    </rPh>
    <rPh sb="28" eb="30">
      <t>イチジ</t>
    </rPh>
    <rPh sb="35" eb="38">
      <t>ショウヒリョウ</t>
    </rPh>
    <rPh sb="39" eb="41">
      <t>ニュウリョク</t>
    </rPh>
    <rPh sb="46" eb="47">
      <t>ヒ</t>
    </rPh>
    <rPh sb="47" eb="49">
      <t>ジュウタク</t>
    </rPh>
    <rPh sb="49" eb="51">
      <t>ブブン</t>
    </rPh>
    <rPh sb="63" eb="65">
      <t>セツビ</t>
    </rPh>
    <rPh sb="70" eb="74">
      <t>コウコウリツカ</t>
    </rPh>
    <rPh sb="78" eb="80">
      <t>ウンヨウ</t>
    </rPh>
    <rPh sb="80" eb="82">
      <t>ダンカイ</t>
    </rPh>
    <rPh sb="89" eb="91">
      <t>サンテイ</t>
    </rPh>
    <rPh sb="98" eb="99">
      <t>モチ</t>
    </rPh>
    <rPh sb="106" eb="108">
      <t>イチジ</t>
    </rPh>
    <rPh sb="113" eb="116">
      <t>ショウヒリョウ</t>
    </rPh>
    <rPh sb="117" eb="119">
      <t>ニュウリョク</t>
    </rPh>
    <rPh sb="120" eb="122">
      <t>フヨウ</t>
    </rPh>
    <rPh sb="132" eb="134">
      <t>トリクミ</t>
    </rPh>
    <rPh sb="134" eb="135">
      <t>ブン</t>
    </rPh>
    <rPh sb="136" eb="137">
      <t>ヨウ</t>
    </rPh>
    <rPh sb="137" eb="139">
      <t>ニュウリョク</t>
    </rPh>
    <phoneticPr fontId="27"/>
  </si>
  <si>
    <r>
      <t>kg-CO</t>
    </r>
    <r>
      <rPr>
        <vertAlign val="subscript"/>
        <sz val="10"/>
        <rFont val="ＭＳ Ｐゴシック"/>
        <family val="3"/>
        <charset val="128"/>
      </rPr>
      <t>2</t>
    </r>
    <r>
      <rPr>
        <sz val="10"/>
        <rFont val="ＭＳ Ｐゴシック"/>
        <family val="3"/>
        <charset val="128"/>
      </rPr>
      <t>/kWh）</t>
    </r>
    <phoneticPr fontId="27"/>
  </si>
  <si>
    <r>
      <t>b.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7"/>
  </si>
  <si>
    <r>
      <t>a.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7"/>
  </si>
  <si>
    <r>
      <t>■CO</t>
    </r>
    <r>
      <rPr>
        <b/>
        <vertAlign val="subscript"/>
        <sz val="12"/>
        <rFont val="ＭＳ Ｐゴシック"/>
        <family val="3"/>
        <charset val="128"/>
      </rPr>
      <t>2</t>
    </r>
    <r>
      <rPr>
        <b/>
        <sz val="12"/>
        <rFont val="ＭＳ Ｐゴシック"/>
        <family val="3"/>
        <charset val="128"/>
      </rPr>
      <t>データベース</t>
    </r>
    <phoneticPr fontId="27"/>
  </si>
  <si>
    <r>
      <t>c.　運用に係るCO</t>
    </r>
    <r>
      <rPr>
        <b/>
        <vertAlign val="subscript"/>
        <sz val="11"/>
        <rFont val="ＭＳ Ｐゴシック"/>
        <family val="3"/>
        <charset val="128"/>
      </rPr>
      <t>2</t>
    </r>
    <r>
      <rPr>
        <b/>
        <sz val="11"/>
        <rFont val="ＭＳ Ｐゴシック"/>
        <family val="3"/>
        <charset val="128"/>
      </rPr>
      <t>排出量</t>
    </r>
    <rPh sb="3" eb="5">
      <t>ウンヨウ</t>
    </rPh>
    <rPh sb="6" eb="7">
      <t>カカ</t>
    </rPh>
    <rPh sb="11" eb="13">
      <t>ハイシュツ</t>
    </rPh>
    <rPh sb="13" eb="14">
      <t>リョウ</t>
    </rPh>
    <phoneticPr fontId="27"/>
  </si>
  <si>
    <r>
      <t>CO</t>
    </r>
    <r>
      <rPr>
        <vertAlign val="subscript"/>
        <sz val="9"/>
        <rFont val="ＭＳ Ｐゴシック"/>
        <family val="3"/>
        <charset val="128"/>
      </rPr>
      <t>2</t>
    </r>
    <r>
      <rPr>
        <sz val="9"/>
        <rFont val="ＭＳ Ｐゴシック"/>
        <family val="3"/>
        <charset val="128"/>
      </rPr>
      <t>換算係数</t>
    </r>
    <rPh sb="3" eb="5">
      <t>カンサン</t>
    </rPh>
    <rPh sb="5" eb="7">
      <t>ケイスウ</t>
    </rPh>
    <phoneticPr fontId="27"/>
  </si>
  <si>
    <r>
      <t>kg-CO</t>
    </r>
    <r>
      <rPr>
        <vertAlign val="subscript"/>
        <sz val="10"/>
        <rFont val="ＭＳ Ｐゴシック"/>
        <family val="3"/>
        <charset val="128"/>
      </rPr>
      <t>2</t>
    </r>
    <r>
      <rPr>
        <sz val="10"/>
        <rFont val="ＭＳ Ｐゴシック"/>
        <family val="3"/>
        <charset val="128"/>
      </rPr>
      <t>/MJ</t>
    </r>
    <phoneticPr fontId="27"/>
  </si>
  <si>
    <r>
      <t>(t-CO</t>
    </r>
    <r>
      <rPr>
        <vertAlign val="subscript"/>
        <sz val="10"/>
        <rFont val="ＭＳ Ｐゴシック"/>
        <family val="3"/>
        <charset val="128"/>
      </rPr>
      <t>2</t>
    </r>
    <r>
      <rPr>
        <sz val="10"/>
        <rFont val="ＭＳ Ｐゴシック"/>
        <family val="3"/>
        <charset val="128"/>
      </rPr>
      <t>/kWh)</t>
    </r>
    <phoneticPr fontId="27"/>
  </si>
  <si>
    <r>
      <t>LR1/3 仕様基準評価の場合のCO</t>
    </r>
    <r>
      <rPr>
        <b/>
        <vertAlign val="subscript"/>
        <sz val="10"/>
        <rFont val="ＭＳ Ｐゴシック"/>
        <family val="3"/>
        <charset val="128"/>
      </rPr>
      <t>2</t>
    </r>
    <r>
      <rPr>
        <b/>
        <sz val="10"/>
        <rFont val="ＭＳ Ｐゴシック"/>
        <family val="3"/>
        <charset val="128"/>
      </rPr>
      <t>排出量算出に用いる一次エネルギー消費量</t>
    </r>
    <rPh sb="6" eb="8">
      <t>シヨウ</t>
    </rPh>
    <rPh sb="8" eb="10">
      <t>キジュン</t>
    </rPh>
    <rPh sb="10" eb="12">
      <t>ヒョウカ</t>
    </rPh>
    <rPh sb="13" eb="15">
      <t>バアイ</t>
    </rPh>
    <phoneticPr fontId="27"/>
  </si>
  <si>
    <r>
      <t>MJ/年m</t>
    </r>
    <r>
      <rPr>
        <vertAlign val="superscript"/>
        <sz val="10"/>
        <rFont val="ＭＳ Ｐゴシック"/>
        <family val="3"/>
        <charset val="128"/>
      </rPr>
      <t>2</t>
    </r>
    <rPh sb="3" eb="4">
      <t>ネン</t>
    </rPh>
    <phoneticPr fontId="27"/>
  </si>
  <si>
    <t>既存躯体100%</t>
    <rPh sb="0" eb="2">
      <t>キソン</t>
    </rPh>
    <rPh sb="2" eb="4">
      <t>クタイ</t>
    </rPh>
    <phoneticPr fontId="27"/>
  </si>
  <si>
    <t>ﾚﾍﾞﾙ４</t>
    <phoneticPr fontId="27"/>
  </si>
  <si>
    <t>算定プログラムを用いる評価</t>
    <rPh sb="0" eb="2">
      <t>サンテイ</t>
    </rPh>
    <rPh sb="8" eb="9">
      <t>モチ</t>
    </rPh>
    <rPh sb="11" eb="13">
      <t>ヒョウカ</t>
    </rPh>
    <phoneticPr fontId="27"/>
  </si>
  <si>
    <t>算定プログラムを用いない評価</t>
    <rPh sb="0" eb="2">
      <t>サンテイ</t>
    </rPh>
    <rPh sb="8" eb="9">
      <t>モチ</t>
    </rPh>
    <rPh sb="12" eb="14">
      <t>ヒョウカ</t>
    </rPh>
    <phoneticPr fontId="27"/>
  </si>
  <si>
    <t>小中高校・集合住宅</t>
    <rPh sb="0" eb="3">
      <t>ショウチュウコウ</t>
    </rPh>
    <rPh sb="3" eb="4">
      <t>コウ</t>
    </rPh>
    <rPh sb="5" eb="7">
      <t>シュウゴウ</t>
    </rPh>
    <rPh sb="7" eb="9">
      <t>ジュウタク</t>
    </rPh>
    <phoneticPr fontId="27"/>
  </si>
  <si>
    <t>計</t>
    <rPh sb="0" eb="1">
      <t>ケイ</t>
    </rPh>
    <phoneticPr fontId="27"/>
  </si>
  <si>
    <t>評価内容</t>
    <rPh sb="0" eb="2">
      <t>ヒョウカ</t>
    </rPh>
    <rPh sb="2" eb="4">
      <t>ナイヨウ</t>
    </rPh>
    <phoneticPr fontId="27"/>
  </si>
  <si>
    <t>採否</t>
    <rPh sb="0" eb="2">
      <t>サイヒ</t>
    </rPh>
    <phoneticPr fontId="27"/>
  </si>
  <si>
    <t>光ケーブル、メタルケーブル、携帯電話網、PHS網など、通信手段の多様化を図っている。</t>
    <phoneticPr fontId="27"/>
  </si>
  <si>
    <t>異なる電話局からの引き込みなどの、引き込みの2ルート化を図っている。</t>
    <phoneticPr fontId="27"/>
  </si>
  <si>
    <t>精密機器（データ伝送装置、中継装置、変換装置を指す。MDFや光ファイバーEthernetなど）の浸水による情報網の損傷を回避するために、ア)あるいはイ)の対策を講じている、あるいはウ)に該当している。
　ア) 精密機械の地下空間への設置を避けている。
　イ) 地下への浸水の防止措置(防水扉、防水板、マウンドアップ、からぼり)、排水設備(ポンプ等)を設置している。
　ウ) 浸水の危険性がない。</t>
    <phoneticPr fontId="27"/>
  </si>
  <si>
    <t>災害時の有線電話、FAX、地域防災無線が設置されている。</t>
    <phoneticPr fontId="27"/>
  </si>
  <si>
    <t>災害時にケーブルTV などにより災害情報が入手できる。</t>
    <phoneticPr fontId="27"/>
  </si>
  <si>
    <t>ネットワーク機器用に無停電装置が設備されている。</t>
    <phoneticPr fontId="27"/>
  </si>
  <si>
    <t>採用手法</t>
    <rPh sb="0" eb="2">
      <t>サイヨウ</t>
    </rPh>
    <rPh sb="2" eb="4">
      <t>シュホウ</t>
    </rPh>
    <phoneticPr fontId="27"/>
  </si>
  <si>
    <t>1.採光利用</t>
    <phoneticPr fontId="27"/>
  </si>
  <si>
    <t>照明設備に代わり、太陽光を利用した、自然採光システムが計画されている事。</t>
    <rPh sb="0" eb="2">
      <t>ショウメイ</t>
    </rPh>
    <rPh sb="2" eb="4">
      <t>セツビ</t>
    </rPh>
    <rPh sb="5" eb="6">
      <t>カ</t>
    </rPh>
    <rPh sb="9" eb="12">
      <t>タイヨウコウ</t>
    </rPh>
    <rPh sb="13" eb="15">
      <t>リヨウ</t>
    </rPh>
    <rPh sb="18" eb="20">
      <t>シゼン</t>
    </rPh>
    <rPh sb="20" eb="22">
      <t>サイコウ</t>
    </rPh>
    <rPh sb="27" eb="29">
      <t>ケイカク</t>
    </rPh>
    <rPh sb="34" eb="35">
      <t>コト</t>
    </rPh>
    <phoneticPr fontId="27"/>
  </si>
  <si>
    <t>ライトシェルフ</t>
    <phoneticPr fontId="27"/>
  </si>
  <si>
    <t>トップライト</t>
    <phoneticPr fontId="27"/>
  </si>
  <si>
    <t>ハイサイドライト</t>
    <phoneticPr fontId="27"/>
  </si>
  <si>
    <t>2.通風利用</t>
    <phoneticPr fontId="27"/>
  </si>
  <si>
    <t>空調設備に代わり、冷房負荷低減に有効な自然通風・自然換気システムが計画されている事。</t>
    <phoneticPr fontId="27"/>
  </si>
  <si>
    <t>自動ダンパや手動の開閉口または開閉窓（運用管理⽅法を計画したもの）</t>
    <rPh sb="0" eb="1">
      <t>ジ</t>
    </rPh>
    <rPh sb="6" eb="7">
      <t>シュ</t>
    </rPh>
    <rPh sb="11" eb="12">
      <t>クチ</t>
    </rPh>
    <rPh sb="20" eb="21">
      <t>ヨウ</t>
    </rPh>
    <phoneticPr fontId="27"/>
  </si>
  <si>
    <t>ナイトパージ</t>
    <phoneticPr fontId="27"/>
  </si>
  <si>
    <t>アトリウムと連携した換気システム</t>
    <phoneticPr fontId="27"/>
  </si>
  <si>
    <t>換気塔ソーラーチムニー</t>
    <phoneticPr fontId="27"/>
  </si>
  <si>
    <t>２方向以上への開口</t>
    <phoneticPr fontId="27"/>
  </si>
  <si>
    <t>3.地熱利用</t>
    <phoneticPr fontId="27"/>
  </si>
  <si>
    <t>熱源や空調設備に代わり、冷暖房負荷低減に有効な地熱利用システムが計画されている事。</t>
    <rPh sb="0" eb="2">
      <t>ネツゲン</t>
    </rPh>
    <rPh sb="3" eb="5">
      <t>クウチョウ</t>
    </rPh>
    <rPh sb="5" eb="7">
      <t>セツビ</t>
    </rPh>
    <rPh sb="8" eb="9">
      <t>カ</t>
    </rPh>
    <rPh sb="12" eb="15">
      <t>レイダンボウ</t>
    </rPh>
    <rPh sb="15" eb="17">
      <t>フカ</t>
    </rPh>
    <rPh sb="17" eb="19">
      <t>テイゲン</t>
    </rPh>
    <rPh sb="20" eb="22">
      <t>ユウコウ</t>
    </rPh>
    <rPh sb="23" eb="25">
      <t>チネツ</t>
    </rPh>
    <rPh sb="25" eb="27">
      <t>リヨウ</t>
    </rPh>
    <rPh sb="32" eb="34">
      <t>ケイカク</t>
    </rPh>
    <rPh sb="39" eb="40">
      <t>コト</t>
    </rPh>
    <phoneticPr fontId="27"/>
  </si>
  <si>
    <t>クール＆ヒートチューブ・ピット</t>
    <phoneticPr fontId="27"/>
  </si>
  <si>
    <t>4.その他</t>
    <rPh sb="4" eb="5">
      <t>ホカ</t>
    </rPh>
    <phoneticPr fontId="27"/>
  </si>
  <si>
    <t>その他、自然を活用した有効なシステムが計画されていること。</t>
    <phoneticPr fontId="27"/>
  </si>
  <si>
    <r>
      <t>1～</t>
    </r>
    <r>
      <rPr>
        <sz val="11"/>
        <rFont val="ＭＳ Ｐゴシック"/>
        <family val="3"/>
        <charset val="128"/>
      </rPr>
      <t>4</t>
    </r>
    <phoneticPr fontId="27"/>
  </si>
  <si>
    <t>・Fc=36以上60未満　かつF=390以上　(1ポイント)
・Fc=60以上100未満　かつF=490以上　(3ポイント)
・Fc=100以上　かつF=590以上　(4ポイント)</t>
    <rPh sb="20" eb="22">
      <t>イジョウ</t>
    </rPh>
    <phoneticPr fontId="27"/>
  </si>
  <si>
    <t>・F=325以上　355未満　(1ポイント)
・F=355以上　440未満　(3ポイント)
・F=440以上　(4ポイント)</t>
    <rPh sb="12" eb="14">
      <t>ミマン</t>
    </rPh>
    <phoneticPr fontId="27"/>
  </si>
  <si>
    <r>
      <t>1～</t>
    </r>
    <r>
      <rPr>
        <sz val="11"/>
        <rFont val="ＭＳ Ｐゴシック"/>
        <family val="3"/>
        <charset val="128"/>
      </rPr>
      <t>4</t>
    </r>
    <phoneticPr fontId="27"/>
  </si>
  <si>
    <t>・プレストレスコンクリートの使用　（部材断面を小さくする事で、使用材料の削減に寄与）　(1ポイント)
・その他これに準ずるもの　(取組み毎に1ポイント)</t>
    <phoneticPr fontId="27"/>
  </si>
  <si>
    <t>1～</t>
    <phoneticPr fontId="27"/>
  </si>
  <si>
    <t>リサイクル鋼材</t>
    <rPh sb="5" eb="7">
      <t>コウザイ</t>
    </rPh>
    <phoneticPr fontId="27"/>
  </si>
  <si>
    <t>・風向きに対する配置や形状の工夫を机上で検討(机上予測)している場合(1ポイント)</t>
    <phoneticPr fontId="27"/>
  </si>
  <si>
    <t>・敷地周辺の地形建物緑地等の現況と計画建物に対して流体数値シミュレーション等を行って影響を予測している場合(2ポイント)</t>
    <phoneticPr fontId="27"/>
  </si>
  <si>
    <t>I 敷地内の歩行者空間等へ風を導き、暑熱環境を緩和する</t>
    <phoneticPr fontId="27"/>
  </si>
  <si>
    <t>1) 敷地周辺の風の状況を把握し、敷地内の歩行者空間等へ風を導く建築物の配置・形状計画とする</t>
    <phoneticPr fontId="27"/>
  </si>
  <si>
    <t>2) 芝生・草地・低木等の緑地や通路等の空地を設けることにより、風の通り道を確保する。</t>
    <phoneticPr fontId="27"/>
  </si>
  <si>
    <t>1) 中・高木の植栽やピロティ、庇、パーゴラ等を設けることにより、日陰の形成に努める。</t>
    <phoneticPr fontId="27"/>
  </si>
  <si>
    <t>1) 緑地や水面を確保することにより、地表面温度や地表面近傍の気温等の上昇を抑制する。</t>
    <phoneticPr fontId="27"/>
  </si>
  <si>
    <t>2) 敷地内の舗装面積を小さくするよう努める。</t>
    <phoneticPr fontId="27"/>
  </si>
  <si>
    <t>2) 契約形態</t>
    <phoneticPr fontId="27"/>
  </si>
  <si>
    <t>3) 業務手順</t>
    <phoneticPr fontId="27"/>
  </si>
  <si>
    <t>5) 計画</t>
    <phoneticPr fontId="27"/>
  </si>
  <si>
    <t>6) 業務員への教育</t>
    <phoneticPr fontId="27"/>
  </si>
  <si>
    <t>1) 頻度</t>
    <phoneticPr fontId="27"/>
  </si>
  <si>
    <t>2) 役割</t>
    <phoneticPr fontId="27"/>
  </si>
  <si>
    <t>3) 手順</t>
    <phoneticPr fontId="27"/>
  </si>
  <si>
    <t>4) 点検</t>
    <phoneticPr fontId="27"/>
  </si>
  <si>
    <t>6) 共有</t>
    <phoneticPr fontId="27"/>
  </si>
  <si>
    <t>5) 実施</t>
    <phoneticPr fontId="27"/>
  </si>
  <si>
    <t>I 建築物衛生法における特定建築物</t>
    <phoneticPr fontId="27"/>
  </si>
  <si>
    <t>II　建築物衛生法における特定建築物に該当しない建築物</t>
    <phoneticPr fontId="27"/>
  </si>
  <si>
    <t>No.1</t>
    <phoneticPr fontId="27"/>
  </si>
  <si>
    <t>No.2</t>
  </si>
  <si>
    <t>No.3</t>
  </si>
  <si>
    <t>No.4</t>
  </si>
  <si>
    <t>No.5</t>
  </si>
  <si>
    <t>No.6</t>
  </si>
  <si>
    <t>No.7</t>
  </si>
  <si>
    <t>No.8</t>
  </si>
  <si>
    <t>No.9</t>
  </si>
  <si>
    <t>節水型器具を採用している。設置されている器具総数の過半以上で採用した場合に限る。節水型器具としては、エコマーク商品やグリーン購入法「特定調達品目」として認定されたもの、あるいは同等の性能を有する機器とする。（例：大便器6L/回程度、小便器4L/回程度）</t>
    <phoneticPr fontId="27"/>
  </si>
  <si>
    <t>可能な限り配管の系統を区分し，災害時の使用不能部分の低減を図っている。</t>
    <phoneticPr fontId="27"/>
  </si>
  <si>
    <t>災害時、下水道が機能しないことを想定し、汚水（雑排水）の一時的貯留機能が確保できるピットを設けている。</t>
    <phoneticPr fontId="27"/>
  </si>
  <si>
    <t>受水槽，高架水槽は，二基の水槽をそれぞれに分離して設置している。</t>
    <phoneticPr fontId="27"/>
  </si>
  <si>
    <t>井水，中水などの利用が可能なように計画している。</t>
    <phoneticPr fontId="27"/>
  </si>
  <si>
    <t>災害時の飲料水確保に備えて，雨水などの転用に対する簡易ろ過装置を備品として備えている。（物・飲は適用外）</t>
    <rPh sb="44" eb="45">
      <t>ブツ</t>
    </rPh>
    <rPh sb="46" eb="47">
      <t>イン</t>
    </rPh>
    <rPh sb="48" eb="50">
      <t>テキヨウ</t>
    </rPh>
    <rPh sb="50" eb="51">
      <t>ガイ</t>
    </rPh>
    <phoneticPr fontId="27"/>
  </si>
  <si>
    <t>災害などの停電時に飲料用等に使えるよう受水槽に水道の蛇口を設置している。</t>
    <phoneticPr fontId="27"/>
  </si>
  <si>
    <t>換気設備の重要度に応じて系統を区分し，災害時においては重要度の高い系統を優先的に運転するほか，負荷容量を下げた運転も可能となるよう検討している。</t>
    <phoneticPr fontId="27"/>
  </si>
  <si>
    <t>熱源種（電気，ガスなど）の分散化，二重化，バックアップを行っている。</t>
    <phoneticPr fontId="27"/>
  </si>
  <si>
    <t>地震時の部分的被害が全体機能の停止を引き起こさないような対策（吊配管など）を行っている。</t>
    <phoneticPr fontId="27"/>
  </si>
  <si>
    <t>空調設備の重要度に応じて系統を区分し，災害時においては重要度の高い系統を優先的に運転するほか，負荷容量を下げた運転も可能となるよう計画している。</t>
    <phoneticPr fontId="27"/>
  </si>
  <si>
    <t>内装仕上げ</t>
    <phoneticPr fontId="27"/>
  </si>
  <si>
    <t>内装設計</t>
    <phoneticPr fontId="27"/>
  </si>
  <si>
    <t>外装仕上げ</t>
    <phoneticPr fontId="27"/>
  </si>
  <si>
    <t>外装設計</t>
    <phoneticPr fontId="27"/>
  </si>
  <si>
    <t>内装・外構設計</t>
    <phoneticPr fontId="27"/>
  </si>
  <si>
    <t>内壁面は防汚性の高い仕上げ方法や建材、塗装、コーティングを採用している。</t>
    <phoneticPr fontId="27"/>
  </si>
  <si>
    <t>床面は防汚性の高い建材、塗装、コーティングを採用している。</t>
    <phoneticPr fontId="27"/>
  </si>
  <si>
    <t>床面は適度な水を使用して洗浄可能な設計・構造を採用している。</t>
    <phoneticPr fontId="27"/>
  </si>
  <si>
    <t>内壁や床面おいて設計上ホコリの溜まりにくい設計や物を置かない設計を採用している。</t>
    <phoneticPr fontId="27"/>
  </si>
  <si>
    <t>風除室の１次扉と２次扉が同時に開かないように距離を確保し、または土砂などの進入を防ぐ為の設計をしている。</t>
    <phoneticPr fontId="27"/>
  </si>
  <si>
    <t>維持管理方法が大きく異なる床材を接近させていない。</t>
    <rPh sb="7" eb="8">
      <t>オオ</t>
    </rPh>
    <phoneticPr fontId="27"/>
  </si>
  <si>
    <t>外壁面やガラスは防汚性の高い建材や耐候性塗料や親水性塗料などを施した仕上げを採用している。</t>
    <phoneticPr fontId="27"/>
  </si>
  <si>
    <t>効果的に水切りなどを外壁面へ設置し、乾湿の作用を防止する、水の溜まらない、壁面が汚れないような配慮・設計を行っている。</t>
    <rPh sb="18" eb="20">
      <t>カンシツ</t>
    </rPh>
    <rPh sb="21" eb="23">
      <t>サヨウ</t>
    </rPh>
    <rPh sb="24" eb="26">
      <t>ボウシ</t>
    </rPh>
    <rPh sb="29" eb="30">
      <t>ミズ</t>
    </rPh>
    <rPh sb="31" eb="32">
      <t>タマ</t>
    </rPh>
    <rPh sb="50" eb="52">
      <t>セッケイ</t>
    </rPh>
    <phoneticPr fontId="27"/>
  </si>
  <si>
    <t>害鳥（鳩・烏・椋鳥など）への糞害予防、対策を実施している。</t>
    <phoneticPr fontId="27"/>
  </si>
  <si>
    <t>外部に露出する金属部材にメッキ処理等の特別な防錆対策が取られている。</t>
    <phoneticPr fontId="27"/>
  </si>
  <si>
    <t>外構、管理用区域を含む動線は極力段差の無い（５mm程度）設計をしている。</t>
    <phoneticPr fontId="27"/>
  </si>
  <si>
    <t>上記以外の部分にて維持管理に配慮した設計の取り組みをしている。</t>
    <phoneticPr fontId="27"/>
  </si>
  <si>
    <t>No.10</t>
  </si>
  <si>
    <t>No.11</t>
  </si>
  <si>
    <t>No.12</t>
  </si>
  <si>
    <t>No.13</t>
  </si>
  <si>
    <t>No.14</t>
  </si>
  <si>
    <r>
      <t xml:space="preserve">1.3.1 </t>
    </r>
    <r>
      <rPr>
        <b/>
        <sz val="10"/>
        <color theme="8" tint="-0.249977111117893"/>
        <rFont val="ＭＳ Ｐゴシック"/>
        <family val="3"/>
        <charset val="128"/>
      </rPr>
      <t>総合的な取組み</t>
    </r>
    <rPh sb="6" eb="9">
      <t>ソウゴウテキ</t>
    </rPh>
    <rPh sb="10" eb="11">
      <t>ト</t>
    </rPh>
    <rPh sb="11" eb="12">
      <t>ク</t>
    </rPh>
    <phoneticPr fontId="27"/>
  </si>
  <si>
    <t>No.15</t>
  </si>
  <si>
    <t>地表面対策面積率</t>
    <rPh sb="0" eb="2">
      <t>チヒョウ</t>
    </rPh>
    <rPh sb="2" eb="3">
      <t>メン</t>
    </rPh>
    <rPh sb="3" eb="5">
      <t>タイサク</t>
    </rPh>
    <rPh sb="5" eb="7">
      <t>メンセキ</t>
    </rPh>
    <rPh sb="7" eb="8">
      <t>リツ</t>
    </rPh>
    <phoneticPr fontId="27"/>
  </si>
  <si>
    <t>屋根面対策面積率</t>
    <rPh sb="0" eb="2">
      <t>ヤネ</t>
    </rPh>
    <rPh sb="2" eb="3">
      <t>メン</t>
    </rPh>
    <rPh sb="3" eb="5">
      <t>タイサク</t>
    </rPh>
    <rPh sb="5" eb="7">
      <t>メンセキ</t>
    </rPh>
    <rPh sb="7" eb="8">
      <t>リツ</t>
    </rPh>
    <phoneticPr fontId="27"/>
  </si>
  <si>
    <t>外壁面対策面積率</t>
    <rPh sb="0" eb="2">
      <t>ガイヘキ</t>
    </rPh>
    <rPh sb="2" eb="3">
      <t>メン</t>
    </rPh>
    <rPh sb="3" eb="5">
      <t>タイサク</t>
    </rPh>
    <rPh sb="5" eb="7">
      <t>メンセキ</t>
    </rPh>
    <rPh sb="7" eb="8">
      <t>リツ</t>
    </rPh>
    <phoneticPr fontId="27"/>
  </si>
  <si>
    <t>見付面積比</t>
    <rPh sb="0" eb="2">
      <t>ミツ</t>
    </rPh>
    <rPh sb="2" eb="4">
      <t>メンセキ</t>
    </rPh>
    <rPh sb="4" eb="5">
      <t>ヒ</t>
    </rPh>
    <phoneticPr fontId="27"/>
  </si>
  <si>
    <t>隣棟間隔指標Rw</t>
    <rPh sb="0" eb="1">
      <t>リン</t>
    </rPh>
    <rPh sb="1" eb="2">
      <t>トウ</t>
    </rPh>
    <rPh sb="2" eb="4">
      <t>カンカク</t>
    </rPh>
    <rPh sb="4" eb="6">
      <t>シヒョウ</t>
    </rPh>
    <phoneticPr fontId="27"/>
  </si>
  <si>
    <t>窓システムSC</t>
    <rPh sb="0" eb="1">
      <t>マド</t>
    </rPh>
    <phoneticPr fontId="27"/>
  </si>
  <si>
    <t>昼光率</t>
    <rPh sb="0" eb="1">
      <t>ヒル</t>
    </rPh>
    <rPh sb="1" eb="2">
      <t>ヒカリ</t>
    </rPh>
    <rPh sb="2" eb="3">
      <t>リツ</t>
    </rPh>
    <phoneticPr fontId="27"/>
  </si>
  <si>
    <t>自然換気有効開口面積率</t>
    <rPh sb="0" eb="2">
      <t>シゼン</t>
    </rPh>
    <rPh sb="2" eb="4">
      <t>カンキ</t>
    </rPh>
    <rPh sb="4" eb="6">
      <t>ユウコウ</t>
    </rPh>
    <rPh sb="6" eb="8">
      <t>カイコウ</t>
    </rPh>
    <rPh sb="8" eb="10">
      <t>メンセキ</t>
    </rPh>
    <rPh sb="10" eb="11">
      <t>リツ</t>
    </rPh>
    <phoneticPr fontId="27"/>
  </si>
  <si>
    <t>執務スペース</t>
    <rPh sb="0" eb="2">
      <t>シツム</t>
    </rPh>
    <phoneticPr fontId="27"/>
  </si>
  <si>
    <t>病床</t>
    <rPh sb="0" eb="2">
      <t>ビョウショウ</t>
    </rPh>
    <phoneticPr fontId="27"/>
  </si>
  <si>
    <t>シングル</t>
    <phoneticPr fontId="27"/>
  </si>
  <si>
    <t>ツイン</t>
    <phoneticPr fontId="27"/>
  </si>
  <si>
    <t>/人</t>
    <rPh sb="1" eb="2">
      <t>ニン</t>
    </rPh>
    <phoneticPr fontId="27"/>
  </si>
  <si>
    <t>/床</t>
    <rPh sb="1" eb="2">
      <t>ユカ</t>
    </rPh>
    <phoneticPr fontId="27"/>
  </si>
  <si>
    <t>コンセント容量</t>
    <rPh sb="5" eb="7">
      <t>ヨウリョウ</t>
    </rPh>
    <phoneticPr fontId="27"/>
  </si>
  <si>
    <t>天井高</t>
    <rPh sb="0" eb="2">
      <t>テンジョウ</t>
    </rPh>
    <rPh sb="2" eb="3">
      <t>タカ</t>
    </rPh>
    <phoneticPr fontId="27"/>
  </si>
  <si>
    <t>リフレッシュスペース</t>
    <phoneticPr fontId="27"/>
  </si>
  <si>
    <t>レストスペース</t>
    <phoneticPr fontId="27"/>
  </si>
  <si>
    <t>想定耐用年数</t>
    <rPh sb="0" eb="2">
      <t>ソウテイ</t>
    </rPh>
    <rPh sb="2" eb="4">
      <t>タイヨウ</t>
    </rPh>
    <rPh sb="4" eb="6">
      <t>ネンスウ</t>
    </rPh>
    <phoneticPr fontId="27"/>
  </si>
  <si>
    <t>想定必要間隔</t>
    <rPh sb="0" eb="2">
      <t>ソウテイ</t>
    </rPh>
    <rPh sb="2" eb="4">
      <t>ヒツヨウ</t>
    </rPh>
    <rPh sb="4" eb="6">
      <t>カンカク</t>
    </rPh>
    <phoneticPr fontId="27"/>
  </si>
  <si>
    <t>階高</t>
    <rPh sb="0" eb="2">
      <t>カイダカ</t>
    </rPh>
    <phoneticPr fontId="27"/>
  </si>
  <si>
    <t>壁長さ比率</t>
    <rPh sb="0" eb="1">
      <t>カベ</t>
    </rPh>
    <rPh sb="1" eb="2">
      <t>ナガ</t>
    </rPh>
    <rPh sb="3" eb="5">
      <t>ヒリツ</t>
    </rPh>
    <phoneticPr fontId="27"/>
  </si>
  <si>
    <t>床荷重</t>
    <rPh sb="0" eb="1">
      <t>ユカ</t>
    </rPh>
    <rPh sb="1" eb="3">
      <t>カジュウ</t>
    </rPh>
    <phoneticPr fontId="27"/>
  </si>
  <si>
    <t>外構緑化指数</t>
    <rPh sb="0" eb="2">
      <t>ガイコウ</t>
    </rPh>
    <rPh sb="2" eb="4">
      <t>リョッカ</t>
    </rPh>
    <rPh sb="4" eb="6">
      <t>シスウ</t>
    </rPh>
    <phoneticPr fontId="27"/>
  </si>
  <si>
    <t>建物緑化指数</t>
    <rPh sb="0" eb="2">
      <t>タテモノ</t>
    </rPh>
    <rPh sb="2" eb="4">
      <t>リョッカ</t>
    </rPh>
    <rPh sb="4" eb="6">
      <t>シスウ</t>
    </rPh>
    <phoneticPr fontId="27"/>
  </si>
  <si>
    <t>空地率</t>
    <rPh sb="0" eb="2">
      <t>クウチ</t>
    </rPh>
    <rPh sb="2" eb="3">
      <t>リツ</t>
    </rPh>
    <phoneticPr fontId="27"/>
  </si>
  <si>
    <t>水平投影面積率</t>
    <rPh sb="0" eb="2">
      <t>スイヘイ</t>
    </rPh>
    <rPh sb="2" eb="4">
      <t>トウエイ</t>
    </rPh>
    <rPh sb="4" eb="6">
      <t>メンセキ</t>
    </rPh>
    <rPh sb="6" eb="7">
      <t>リツ</t>
    </rPh>
    <phoneticPr fontId="27"/>
  </si>
  <si>
    <t>緑被率</t>
    <rPh sb="0" eb="2">
      <t>リョクヒ</t>
    </rPh>
    <rPh sb="2" eb="3">
      <t>リツ</t>
    </rPh>
    <phoneticPr fontId="27"/>
  </si>
  <si>
    <t>舗装面積率</t>
    <rPh sb="0" eb="2">
      <t>ホソウ</t>
    </rPh>
    <rPh sb="2" eb="4">
      <t>メンセキ</t>
    </rPh>
    <rPh sb="4" eb="5">
      <t>リツ</t>
    </rPh>
    <phoneticPr fontId="27"/>
  </si>
  <si>
    <t>BPI/BPIm</t>
    <phoneticPr fontId="27"/>
  </si>
  <si>
    <t>採光を満たす住戸数</t>
    <rPh sb="0" eb="2">
      <t>サイコウ</t>
    </rPh>
    <rPh sb="3" eb="4">
      <t>ミ</t>
    </rPh>
    <rPh sb="6" eb="8">
      <t>ジュウコ</t>
    </rPh>
    <rPh sb="8" eb="9">
      <t>スウ</t>
    </rPh>
    <phoneticPr fontId="27"/>
  </si>
  <si>
    <t>蓄電池</t>
    <rPh sb="0" eb="3">
      <t>チクデンチ</t>
    </rPh>
    <phoneticPr fontId="27"/>
  </si>
  <si>
    <t>雨水利用率</t>
    <rPh sb="0" eb="2">
      <t>ウスイ</t>
    </rPh>
    <rPh sb="2" eb="4">
      <t>リヨウ</t>
    </rPh>
    <rPh sb="4" eb="5">
      <t>リツ</t>
    </rPh>
    <phoneticPr fontId="27"/>
  </si>
  <si>
    <t>使用比率</t>
    <rPh sb="0" eb="2">
      <t>シヨウ</t>
    </rPh>
    <rPh sb="2" eb="4">
      <t>ヒリツ</t>
    </rPh>
    <phoneticPr fontId="27"/>
  </si>
  <si>
    <t>オゾン層破壊係数（ODP）</t>
    <rPh sb="3" eb="4">
      <t>ソウ</t>
    </rPh>
    <rPh sb="4" eb="6">
      <t>ハカイ</t>
    </rPh>
    <rPh sb="6" eb="8">
      <t>ケイスウ</t>
    </rPh>
    <phoneticPr fontId="27"/>
  </si>
  <si>
    <t>地球温暖化係数（GWP）</t>
  </si>
  <si>
    <t>No.2</t>
    <phoneticPr fontId="27"/>
  </si>
  <si>
    <t>種別</t>
    <rPh sb="0" eb="2">
      <t>シュベツ</t>
    </rPh>
    <phoneticPr fontId="27"/>
  </si>
  <si>
    <t>環境配慮概要</t>
    <rPh sb="0" eb="2">
      <t>カンキョウ</t>
    </rPh>
    <rPh sb="2" eb="4">
      <t>ハイリョ</t>
    </rPh>
    <rPh sb="4" eb="6">
      <t>ガイヨウ</t>
    </rPh>
    <phoneticPr fontId="27"/>
  </si>
  <si>
    <t>30字以内で記入</t>
    <rPh sb="2" eb="3">
      <t>ジ</t>
    </rPh>
    <rPh sb="3" eb="5">
      <t>イナイ</t>
    </rPh>
    <rPh sb="6" eb="8">
      <t>キニュウ</t>
    </rPh>
    <phoneticPr fontId="27"/>
  </si>
  <si>
    <t>雑排水種類</t>
    <rPh sb="0" eb="1">
      <t>ザツ</t>
    </rPh>
    <rPh sb="1" eb="3">
      <t>ハイスイ</t>
    </rPh>
    <rPh sb="3" eb="5">
      <t>シュルイ</t>
    </rPh>
    <phoneticPr fontId="27"/>
  </si>
  <si>
    <t>認定種別</t>
    <rPh sb="0" eb="2">
      <t>ニンテイ</t>
    </rPh>
    <rPh sb="2" eb="4">
      <t>シュベツ</t>
    </rPh>
    <phoneticPr fontId="27"/>
  </si>
  <si>
    <t>採用資材</t>
    <rPh sb="0" eb="2">
      <t>サイヨウ</t>
    </rPh>
    <rPh sb="2" eb="4">
      <t>シザイ</t>
    </rPh>
    <phoneticPr fontId="27"/>
  </si>
  <si>
    <t>種類</t>
    <rPh sb="0" eb="2">
      <t>シュルイ</t>
    </rPh>
    <phoneticPr fontId="27"/>
  </si>
  <si>
    <t>特定調達品目</t>
    <rPh sb="0" eb="2">
      <t>トクテイ</t>
    </rPh>
    <rPh sb="2" eb="4">
      <t>チョウタツ</t>
    </rPh>
    <rPh sb="4" eb="6">
      <t>ヒンモク</t>
    </rPh>
    <phoneticPr fontId="27"/>
  </si>
  <si>
    <t>エコマーク商品</t>
    <rPh sb="5" eb="7">
      <t>ショウヒン</t>
    </rPh>
    <phoneticPr fontId="27"/>
  </si>
  <si>
    <t>自治体が指定する特定品目等</t>
    <rPh sb="0" eb="3">
      <t>ジチタイ</t>
    </rPh>
    <rPh sb="4" eb="6">
      <t>シテイ</t>
    </rPh>
    <rPh sb="8" eb="10">
      <t>トクテイ</t>
    </rPh>
    <rPh sb="10" eb="12">
      <t>ヒンモク</t>
    </rPh>
    <rPh sb="12" eb="13">
      <t>トウ</t>
    </rPh>
    <phoneticPr fontId="27"/>
  </si>
  <si>
    <t>採用なし</t>
    <rPh sb="0" eb="2">
      <t>サイヨウ</t>
    </rPh>
    <phoneticPr fontId="27"/>
  </si>
  <si>
    <t>＜認定種別＞</t>
    <rPh sb="1" eb="3">
      <t>ニンテイ</t>
    </rPh>
    <rPh sb="3" eb="5">
      <t>シュベツ</t>
    </rPh>
    <phoneticPr fontId="27"/>
  </si>
  <si>
    <t>ODP</t>
    <phoneticPr fontId="27"/>
  </si>
  <si>
    <t>GWP</t>
    <phoneticPr fontId="27"/>
  </si>
  <si>
    <t>消火設備が全く無い場合やスプリンクラーのみの場合、ガス消火設備がない場合は対象外とする。
消火器は対象外とする。</t>
    <phoneticPr fontId="27"/>
  </si>
  <si>
    <t>合計</t>
    <rPh sb="0" eb="2">
      <t>ゴウケイ</t>
    </rPh>
    <phoneticPr fontId="27"/>
  </si>
  <si>
    <t>項目</t>
    <rPh sb="0" eb="2">
      <t>コウモク</t>
    </rPh>
    <phoneticPr fontId="27"/>
  </si>
  <si>
    <t>事・会・病・ホ･工</t>
    <phoneticPr fontId="27"/>
  </si>
  <si>
    <t>事・学・会・病・ホ・工・住：</t>
    <rPh sb="0" eb="1">
      <t>コト</t>
    </rPh>
    <rPh sb="2" eb="3">
      <t>ガク</t>
    </rPh>
    <rPh sb="4" eb="5">
      <t>カイ</t>
    </rPh>
    <rPh sb="6" eb="7">
      <t>ヤマイ</t>
    </rPh>
    <phoneticPr fontId="27"/>
  </si>
  <si>
    <t>物・飲：</t>
    <rPh sb="0" eb="1">
      <t>モノ</t>
    </rPh>
    <rPh sb="2" eb="3">
      <t>イン</t>
    </rPh>
    <phoneticPr fontId="27"/>
  </si>
  <si>
    <t>対象物質を含有しないことを確認した建材種別</t>
    <rPh sb="0" eb="2">
      <t>タイショウ</t>
    </rPh>
    <rPh sb="2" eb="4">
      <t>ブッシツ</t>
    </rPh>
    <rPh sb="5" eb="7">
      <t>ガンユウ</t>
    </rPh>
    <rPh sb="13" eb="15">
      <t>カクニン</t>
    </rPh>
    <rPh sb="17" eb="19">
      <t>ケンザイ</t>
    </rPh>
    <rPh sb="19" eb="21">
      <t>シュベツ</t>
    </rPh>
    <phoneticPr fontId="27"/>
  </si>
  <si>
    <t>対象物質の含有</t>
    <rPh sb="0" eb="2">
      <t>タイショウ</t>
    </rPh>
    <rPh sb="2" eb="4">
      <t>ブッシツ</t>
    </rPh>
    <rPh sb="5" eb="7">
      <t>ガンユウ</t>
    </rPh>
    <phoneticPr fontId="27"/>
  </si>
  <si>
    <t>無（確認）</t>
    <rPh sb="0" eb="1">
      <t>ナ</t>
    </rPh>
    <rPh sb="2" eb="4">
      <t>カクニン</t>
    </rPh>
    <phoneticPr fontId="27"/>
  </si>
  <si>
    <t>冷媒ガスを使用していない場合は、評価対象外。</t>
    <phoneticPr fontId="27"/>
  </si>
  <si>
    <t>木材を使用していない時は評価対象外。</t>
    <phoneticPr fontId="27"/>
  </si>
  <si>
    <t>持続可能な森林から産出された木材の使用総量[㎥]</t>
    <rPh sb="0" eb="2">
      <t>ジゾク</t>
    </rPh>
    <rPh sb="2" eb="4">
      <t>カノウ</t>
    </rPh>
    <rPh sb="5" eb="7">
      <t>シンリン</t>
    </rPh>
    <rPh sb="9" eb="11">
      <t>サンシュツ</t>
    </rPh>
    <rPh sb="14" eb="16">
      <t>モクザイ</t>
    </rPh>
    <rPh sb="17" eb="19">
      <t>シヨウ</t>
    </rPh>
    <rPh sb="19" eb="21">
      <t>ソウリョウ</t>
    </rPh>
    <phoneticPr fontId="27"/>
  </si>
  <si>
    <t>建築物の木材使用総量[㎥]</t>
    <rPh sb="0" eb="3">
      <t>ケンチクブツ</t>
    </rPh>
    <rPh sb="4" eb="6">
      <t>モクザイ</t>
    </rPh>
    <rPh sb="6" eb="8">
      <t>シヨウ</t>
    </rPh>
    <rPh sb="8" eb="10">
      <t>ソウリョウ</t>
    </rPh>
    <phoneticPr fontId="27"/>
  </si>
  <si>
    <t>ポイント</t>
    <phoneticPr fontId="27"/>
  </si>
  <si>
    <r>
      <t>ライフサイクルCO</t>
    </r>
    <r>
      <rPr>
        <b/>
        <vertAlign val="subscript"/>
        <sz val="9"/>
        <rFont val="ＭＳ Ｐゴシック"/>
        <family val="3"/>
        <charset val="128"/>
      </rPr>
      <t>2</t>
    </r>
    <r>
      <rPr>
        <b/>
        <sz val="9"/>
        <rFont val="ＭＳ Ｐゴシック"/>
        <family val="3"/>
        <charset val="128"/>
      </rPr>
      <t>概算値</t>
    </r>
    <rPh sb="10" eb="12">
      <t>ガイサン</t>
    </rPh>
    <rPh sb="12" eb="13">
      <t>チ</t>
    </rPh>
    <phoneticPr fontId="27"/>
  </si>
  <si>
    <t>合計</t>
    <rPh sb="0" eb="2">
      <t>ゴウケイ</t>
    </rPh>
    <phoneticPr fontId="27"/>
  </si>
  <si>
    <t>Min</t>
    <phoneticPr fontId="27"/>
  </si>
  <si>
    <t>Max</t>
    <phoneticPr fontId="27"/>
  </si>
  <si>
    <t>事・学・物・飲・会・病・ホ・工</t>
    <rPh sb="0" eb="1">
      <t>コト</t>
    </rPh>
    <rPh sb="2" eb="3">
      <t>ガク</t>
    </rPh>
    <rPh sb="4" eb="5">
      <t>モノ</t>
    </rPh>
    <rPh sb="6" eb="7">
      <t>イン</t>
    </rPh>
    <rPh sb="8" eb="9">
      <t>カイ</t>
    </rPh>
    <rPh sb="10" eb="11">
      <t>ヤマイ</t>
    </rPh>
    <phoneticPr fontId="27"/>
  </si>
  <si>
    <t>←</t>
    <phoneticPr fontId="27"/>
  </si>
  <si>
    <t>←</t>
    <phoneticPr fontId="27"/>
  </si>
  <si>
    <t>←</t>
    <phoneticPr fontId="27"/>
  </si>
  <si>
    <t>←</t>
    <phoneticPr fontId="27"/>
  </si>
  <si>
    <t>事・学・物・飲・会・病・ホ・工：</t>
    <rPh sb="0" eb="1">
      <t>コト</t>
    </rPh>
    <rPh sb="2" eb="3">
      <t>ガク</t>
    </rPh>
    <rPh sb="4" eb="5">
      <t>モノ</t>
    </rPh>
    <rPh sb="6" eb="7">
      <t>イン</t>
    </rPh>
    <rPh sb="8" eb="9">
      <t>カイ</t>
    </rPh>
    <rPh sb="10" eb="11">
      <t>ヤマイ</t>
    </rPh>
    <phoneticPr fontId="27"/>
  </si>
  <si>
    <t>住：</t>
    <rPh sb="0" eb="1">
      <t>ジュウ</t>
    </rPh>
    <phoneticPr fontId="27"/>
  </si>
  <si>
    <t>No.4</t>
    <phoneticPr fontId="27"/>
  </si>
  <si>
    <t>No.3</t>
    <phoneticPr fontId="27"/>
  </si>
  <si>
    <t>No.6</t>
    <phoneticPr fontId="27"/>
  </si>
  <si>
    <t>No.7</t>
    <phoneticPr fontId="27"/>
  </si>
  <si>
    <t>No.8</t>
    <phoneticPr fontId="27"/>
  </si>
  <si>
    <t>No.9</t>
    <phoneticPr fontId="27"/>
  </si>
  <si>
    <t>No.10</t>
    <phoneticPr fontId="27"/>
  </si>
  <si>
    <t>・「光害対策ガイドライン」のチェックリストを満たしている項目が一部である。（1ポイント）</t>
    <phoneticPr fontId="27"/>
  </si>
  <si>
    <t>・「光害対策ガイドライン」のチェックリストの項目の過半を満たしている。（2ポイント）</t>
    <phoneticPr fontId="27"/>
  </si>
  <si>
    <t>・広告物照明について「広告物照明の扱い」の配慮事項の一部を満たしている。（1ポイント）</t>
    <phoneticPr fontId="27"/>
  </si>
  <si>
    <t>・「広告物照明の扱い」の配慮事項の過半を満たしている場合、または広告物照明を行っていない（2ポイント）</t>
    <phoneticPr fontId="27"/>
  </si>
  <si>
    <t>　</t>
    <phoneticPr fontId="27"/>
  </si>
  <si>
    <t>規制対象建物以外の場合は
レベル３</t>
    <phoneticPr fontId="27"/>
  </si>
  <si>
    <t>規制対象建物以外の場合は
評価対象外とする</t>
    <rPh sb="13" eb="15">
      <t>ヒョウカ</t>
    </rPh>
    <rPh sb="15" eb="18">
      <t>タイショウガイ</t>
    </rPh>
    <phoneticPr fontId="27"/>
  </si>
  <si>
    <t>*1）規制基準は現行の値とし、現行基準以前に設置された施設についても現行の基準で評価する（昼間、朝・夕、夜間とも）。</t>
    <phoneticPr fontId="27"/>
  </si>
  <si>
    <t>*2)レベル５については、（現行の基準値－5dB）以下に抑えられている場合とする（昼間、夜間とも）。</t>
    <phoneticPr fontId="27"/>
  </si>
  <si>
    <t>*1）規制基準は現行の値とし、現行基準以前に設置された施設についても現行の基準で評価する（昼間、夜間とも）。</t>
    <phoneticPr fontId="27"/>
  </si>
  <si>
    <r>
      <t>*2)レベル５については、</t>
    </r>
    <r>
      <rPr>
        <sz val="8"/>
        <rFont val="Arial"/>
        <family val="2"/>
      </rPr>
      <t>[</t>
    </r>
    <r>
      <rPr>
        <sz val="8"/>
        <rFont val="ＭＳ Ｐゴシック"/>
        <family val="3"/>
        <charset val="128"/>
      </rPr>
      <t>現行の基準値－</t>
    </r>
    <r>
      <rPr>
        <sz val="8"/>
        <rFont val="Arial"/>
        <family val="2"/>
      </rPr>
      <t>10dB]</t>
    </r>
    <r>
      <rPr>
        <sz val="8"/>
        <rFont val="ＭＳ Ｐゴシック"/>
        <family val="3"/>
        <charset val="128"/>
      </rPr>
      <t>以下に抑えられている場合とする（昼間、朝・夕、夜間とも）。</t>
    </r>
    <phoneticPr fontId="27"/>
  </si>
  <si>
    <t>基準高さHb</t>
    <rPh sb="0" eb="2">
      <t>キジュン</t>
    </rPh>
    <rPh sb="2" eb="3">
      <t>タカ</t>
    </rPh>
    <phoneticPr fontId="27"/>
  </si>
  <si>
    <t>卓越風向と直交する最大敷地幅Ws</t>
    <rPh sb="0" eb="2">
      <t>タクエツ</t>
    </rPh>
    <rPh sb="2" eb="3">
      <t>フウ</t>
    </rPh>
    <rPh sb="3" eb="4">
      <t>コウ</t>
    </rPh>
    <rPh sb="5" eb="7">
      <t>チョッコウ</t>
    </rPh>
    <rPh sb="9" eb="11">
      <t>サイダイ</t>
    </rPh>
    <rPh sb="11" eb="13">
      <t>シキチ</t>
    </rPh>
    <rPh sb="13" eb="14">
      <t>ハバ</t>
    </rPh>
    <phoneticPr fontId="27"/>
  </si>
  <si>
    <t>緑被率</t>
    <rPh sb="0" eb="2">
      <t>リョクヒ</t>
    </rPh>
    <rPh sb="2" eb="3">
      <t>リツ</t>
    </rPh>
    <phoneticPr fontId="27"/>
  </si>
  <si>
    <t>水被率</t>
    <rPh sb="0" eb="1">
      <t>スイ</t>
    </rPh>
    <rPh sb="1" eb="2">
      <t>ヒ</t>
    </rPh>
    <rPh sb="2" eb="3">
      <t>リツ</t>
    </rPh>
    <phoneticPr fontId="27"/>
  </si>
  <si>
    <t>保水性対策面積率</t>
    <rPh sb="0" eb="3">
      <t>ホスイセイ</t>
    </rPh>
    <rPh sb="3" eb="5">
      <t>タイサク</t>
    </rPh>
    <rPh sb="5" eb="7">
      <t>メンセキ</t>
    </rPh>
    <rPh sb="7" eb="8">
      <t>リツ</t>
    </rPh>
    <phoneticPr fontId="27"/>
  </si>
  <si>
    <t>地表</t>
    <rPh sb="0" eb="2">
      <t>チヒョウ</t>
    </rPh>
    <phoneticPr fontId="27"/>
  </si>
  <si>
    <t>屋根</t>
    <rPh sb="0" eb="2">
      <t>ヤネ</t>
    </rPh>
    <phoneticPr fontId="27"/>
  </si>
  <si>
    <t>外壁</t>
    <rPh sb="0" eb="1">
      <t>ガイ</t>
    </rPh>
    <phoneticPr fontId="27"/>
  </si>
  <si>
    <t>面積</t>
    <rPh sb="0" eb="2">
      <t>メンセキ</t>
    </rPh>
    <phoneticPr fontId="27"/>
  </si>
  <si>
    <t>緑地</t>
    <rPh sb="0" eb="2">
      <t>リョクチ</t>
    </rPh>
    <phoneticPr fontId="27"/>
  </si>
  <si>
    <t>中高木の水平投影面</t>
    <rPh sb="0" eb="1">
      <t>チュウ</t>
    </rPh>
    <rPh sb="1" eb="3">
      <t>コウボク</t>
    </rPh>
    <rPh sb="4" eb="6">
      <t>スイヘイ</t>
    </rPh>
    <rPh sb="6" eb="8">
      <t>トウエイ</t>
    </rPh>
    <rPh sb="8" eb="9">
      <t>メン</t>
    </rPh>
    <phoneticPr fontId="27"/>
  </si>
  <si>
    <t>保水性対策面</t>
    <rPh sb="0" eb="3">
      <t>ホスイセイ</t>
    </rPh>
    <rPh sb="3" eb="5">
      <t>タイサクメンセキ</t>
    </rPh>
    <phoneticPr fontId="27"/>
  </si>
  <si>
    <t>高反射対策面</t>
    <rPh sb="0" eb="3">
      <t>コウハンシャ</t>
    </rPh>
    <rPh sb="3" eb="5">
      <t>タイサク</t>
    </rPh>
    <phoneticPr fontId="27"/>
  </si>
  <si>
    <t>水面</t>
    <rPh sb="0" eb="2">
      <t>スイメン</t>
    </rPh>
    <phoneticPr fontId="27"/>
  </si>
  <si>
    <t>高反射対策面積率</t>
    <rPh sb="0" eb="3">
      <t>コウハンシャ</t>
    </rPh>
    <rPh sb="3" eb="5">
      <t>タイサク</t>
    </rPh>
    <rPh sb="5" eb="7">
      <t>メンセキ</t>
    </rPh>
    <rPh sb="7" eb="8">
      <t>リツ</t>
    </rPh>
    <phoneticPr fontId="27"/>
  </si>
  <si>
    <t>　見付面積比</t>
    <rPh sb="1" eb="3">
      <t>ミツ</t>
    </rPh>
    <rPh sb="3" eb="5">
      <t>メンセキ</t>
    </rPh>
    <rPh sb="5" eb="6">
      <t>ヒ</t>
    </rPh>
    <phoneticPr fontId="27"/>
  </si>
  <si>
    <t>　隣棟間隔指標Rw</t>
    <rPh sb="1" eb="2">
      <t>リン</t>
    </rPh>
    <rPh sb="2" eb="3">
      <t>トウ</t>
    </rPh>
    <rPh sb="3" eb="5">
      <t>カンカク</t>
    </rPh>
    <rPh sb="5" eb="7">
      <t>シヒョウ</t>
    </rPh>
    <phoneticPr fontId="27"/>
  </si>
  <si>
    <t>　地表面対策面積率</t>
    <rPh sb="1" eb="3">
      <t>チヒョウ</t>
    </rPh>
    <rPh sb="3" eb="4">
      <t>メン</t>
    </rPh>
    <rPh sb="4" eb="6">
      <t>タイサク</t>
    </rPh>
    <rPh sb="6" eb="8">
      <t>メンセキ</t>
    </rPh>
    <rPh sb="8" eb="9">
      <t>リツ</t>
    </rPh>
    <phoneticPr fontId="27"/>
  </si>
  <si>
    <t>　屋根面対策面積率</t>
    <rPh sb="1" eb="3">
      <t>ヤネ</t>
    </rPh>
    <rPh sb="3" eb="4">
      <t>メン</t>
    </rPh>
    <rPh sb="4" eb="6">
      <t>タイサク</t>
    </rPh>
    <rPh sb="6" eb="8">
      <t>メンセキ</t>
    </rPh>
    <rPh sb="8" eb="9">
      <t>リツ</t>
    </rPh>
    <phoneticPr fontId="27"/>
  </si>
  <si>
    <t>　外壁面対策面積率</t>
    <rPh sb="1" eb="2">
      <t>ガイ</t>
    </rPh>
    <rPh sb="3" eb="4">
      <t>メン</t>
    </rPh>
    <rPh sb="4" eb="6">
      <t>タイサク</t>
    </rPh>
    <rPh sb="6" eb="8">
      <t>メンセキ</t>
    </rPh>
    <rPh sb="8" eb="9">
      <t>リツ</t>
    </rPh>
    <phoneticPr fontId="27"/>
  </si>
  <si>
    <t>対策面積率</t>
    <rPh sb="0" eb="2">
      <t>タイサク</t>
    </rPh>
    <rPh sb="2" eb="4">
      <t>メンセキ</t>
    </rPh>
    <rPh sb="4" eb="5">
      <t>リツ</t>
    </rPh>
    <phoneticPr fontId="27"/>
  </si>
  <si>
    <t>各面積（㎡）</t>
    <rPh sb="0" eb="1">
      <t>カク</t>
    </rPh>
    <rPh sb="1" eb="3">
      <t>メンセキ</t>
    </rPh>
    <phoneticPr fontId="27"/>
  </si>
  <si>
    <t>合計</t>
    <rPh sb="0" eb="2">
      <t>ゴウケイ</t>
    </rPh>
    <phoneticPr fontId="27"/>
  </si>
  <si>
    <t>中高木の樹冠の水平投影面積</t>
    <rPh sb="0" eb="1">
      <t>チュウ</t>
    </rPh>
    <rPh sb="1" eb="3">
      <t>コウボク</t>
    </rPh>
    <rPh sb="4" eb="5">
      <t>ジュ</t>
    </rPh>
    <rPh sb="5" eb="6">
      <t>カンムリ</t>
    </rPh>
    <rPh sb="7" eb="9">
      <t>スイヘイ</t>
    </rPh>
    <rPh sb="9" eb="11">
      <t>トウエイ</t>
    </rPh>
    <rPh sb="11" eb="13">
      <t>メンセキ</t>
    </rPh>
    <phoneticPr fontId="27"/>
  </si>
  <si>
    <t>低木・地被等の植栽面積</t>
    <rPh sb="0" eb="2">
      <t>テイボク</t>
    </rPh>
    <rPh sb="3" eb="4">
      <t>チ</t>
    </rPh>
    <rPh sb="4" eb="5">
      <t>ヒ</t>
    </rPh>
    <rPh sb="5" eb="6">
      <t>トウ</t>
    </rPh>
    <rPh sb="7" eb="9">
      <t>ショクサイ</t>
    </rPh>
    <rPh sb="9" eb="11">
      <t>メンセキ</t>
    </rPh>
    <phoneticPr fontId="27"/>
  </si>
  <si>
    <t>外構面積</t>
    <rPh sb="0" eb="2">
      <t>ガイコウ</t>
    </rPh>
    <rPh sb="2" eb="4">
      <t>メンセキ</t>
    </rPh>
    <phoneticPr fontId="27"/>
  </si>
  <si>
    <t>屋上緑化面積</t>
    <rPh sb="0" eb="2">
      <t>オクジョウ</t>
    </rPh>
    <rPh sb="2" eb="4">
      <t>リョッカ</t>
    </rPh>
    <rPh sb="4" eb="6">
      <t>メンセキ</t>
    </rPh>
    <phoneticPr fontId="27"/>
  </si>
  <si>
    <t>壁面緑化面積</t>
    <rPh sb="0" eb="2">
      <t>ヘキメン</t>
    </rPh>
    <rPh sb="2" eb="4">
      <t>リョッカ</t>
    </rPh>
    <rPh sb="4" eb="6">
      <t>メンセキ</t>
    </rPh>
    <phoneticPr fontId="27"/>
  </si>
  <si>
    <t>建築面積</t>
    <rPh sb="0" eb="2">
      <t>ケンチク</t>
    </rPh>
    <rPh sb="2" eb="4">
      <t>メンセキ</t>
    </rPh>
    <phoneticPr fontId="27"/>
  </si>
  <si>
    <t>2)　建物緑化指数が、</t>
    <phoneticPr fontId="27"/>
  </si>
  <si>
    <t>・5％以上20％未満を示す規模の建築物の緑化を行っている。 (1ポイント)
・20％以上を示す規模の建築物の緑化を行っている。 (2ポイント)</t>
    <phoneticPr fontId="27"/>
  </si>
  <si>
    <t>Maｘ</t>
    <phoneticPr fontId="27"/>
  </si>
  <si>
    <t>Max</t>
    <phoneticPr fontId="27"/>
  </si>
  <si>
    <t>No.4</t>
    <phoneticPr fontId="27"/>
  </si>
  <si>
    <t>No.5</t>
    <phoneticPr fontId="27"/>
  </si>
  <si>
    <t>Min</t>
    <phoneticPr fontId="27"/>
  </si>
  <si>
    <r>
      <t>①公共空間からほとんど見えないなど、まちなみ・景観に配慮しようがない場合はレベル</t>
    </r>
    <r>
      <rPr>
        <sz val="8"/>
        <rFont val="Arial"/>
        <family val="2"/>
      </rPr>
      <t>3</t>
    </r>
    <r>
      <rPr>
        <sz val="8"/>
        <rFont val="ＭＳ Ｐゴシック"/>
        <family val="3"/>
        <charset val="128"/>
      </rPr>
      <t>とする。
②地域に独自のルール（まちなみガイドライン等）があり、それに基づいた取組みを行っている場合には、その内容を評価する。
③地域の景観賞、受賞理由に景観が明記されている賞を受賞しているなど一定の評価を得ていると認められる場合、レベル５とする。</t>
    </r>
    <phoneticPr fontId="27"/>
  </si>
  <si>
    <t>既存は式修正</t>
    <rPh sb="0" eb="2">
      <t>キゾン</t>
    </rPh>
    <rPh sb="3" eb="4">
      <t>シキ</t>
    </rPh>
    <rPh sb="4" eb="6">
      <t>シュウセイ</t>
    </rPh>
    <phoneticPr fontId="27"/>
  </si>
  <si>
    <t>No.8</t>
    <phoneticPr fontId="27"/>
  </si>
  <si>
    <t>No.7</t>
    <phoneticPr fontId="27"/>
  </si>
  <si>
    <t>・風下地域への風の通り道と特に関係しない場合(1ポイント)
・風下地域への風の通り道を遮らないよう配慮している場合(2ポイント)</t>
    <phoneticPr fontId="27"/>
  </si>
  <si>
    <t>卓越風向に対する建築物の見付面積比が
・60％以上80％未満の場合(1ポイント)
・40％以上60％未満の場合(2ポイント)
・40％未満の場合(3ポイント)</t>
    <phoneticPr fontId="27"/>
  </si>
  <si>
    <t>隣棟間隔指標Rwが
・0.3以上0.4未満の場合(1ポイント)
・0.4以上0.5未満の場合(2ポイント)
・0.5以上の場合(3ポイント)</t>
    <phoneticPr fontId="27"/>
  </si>
  <si>
    <t>地表面対策面積率が
・15％以上30％未満の場合(1ポイント)
・30％以上45％未満の場合(2ポイント)
・45％以上の場合(3ポイント)</t>
    <phoneticPr fontId="27"/>
  </si>
  <si>
    <t>屋根面対策面積率が
・20％未満の場合(1ポイント)
・20％以上40％未満の場合(2ポイント)
・40％以上の場合(3ポイント)</t>
    <phoneticPr fontId="27"/>
  </si>
  <si>
    <t>外壁面対策面積率が
・10％未満の場合(1ポイント)
・10％以上20％未満の場合(2ポイント)
・20％以上の場合(3ポイント)</t>
    <phoneticPr fontId="27"/>
  </si>
  <si>
    <t>「LR1エネルギー」のスコア(評価結果)が
・3.0以上4.0未満(1ポイント)
・4.0以上4.5未満(2ポイント)
・4.5以上(3ポイント)</t>
    <phoneticPr fontId="27"/>
  </si>
  <si>
    <t>気温上昇の抑制に努めるため
・標準的な工夫をしている場合(1ポイント)
・中間的な工夫をしている場合(2ポイント)
・全面的な工夫をしている場合(3ポイント)</t>
    <phoneticPr fontId="27"/>
  </si>
  <si>
    <t>舗装面積率が、
・20％以上30％未満の場合 (1ポイント)
・10％以上20％未満の場合 (2ポイント)
・10％未満の場合　 (3ポイント)</t>
    <phoneticPr fontId="27"/>
  </si>
  <si>
    <t>空地率が、
・40％以上60％未満の場合　 (1ポイント)
・60％以上80％未満の場合　 (2ポイント)
・80％以上 (3ポイント)</t>
    <phoneticPr fontId="27"/>
  </si>
  <si>
    <t>中・高木、ピロティ等の水平投影面積率が、
・10％以上20％未満の場合　 (1ポイント)
・20％以上30％未満の場合　 (2ポイント)
・30％以上の場合 (3ポイント)</t>
    <phoneticPr fontId="27"/>
  </si>
  <si>
    <t>緑被率、水被率、中・高木の水平投影面積率の合計が、
・10％以上20％未満の場合  (1ポイント)
・20％以上30％未満の場合 (2ポイント)
・30％以上の場合 (3ポイント)</t>
    <phoneticPr fontId="27"/>
  </si>
  <si>
    <t>・人が出入りできる屋上があり、一部緑化している場合(2ポイント)
・人が出入りできる屋上を広範囲で緑化している場合(3ポイント)</t>
    <phoneticPr fontId="27"/>
  </si>
  <si>
    <t>外壁面対策面積率が、
・10％未満の場合  (1ポイント)
・10％以上20％未満の場合 (2ポイント)
・20％以上の場合 (3ポイント)</t>
    <phoneticPr fontId="27"/>
  </si>
  <si>
    <t>1) 主たる建築設備(空調設備)に伴う排熱は、建築物の高い位置からの放出に努める。</t>
    <phoneticPr fontId="27"/>
  </si>
  <si>
    <t>2) 主たる建築設備(燃焼設備)に伴う高温排熱は、建築物の高い位置からの放出に努める。</t>
    <phoneticPr fontId="27"/>
  </si>
  <si>
    <t xml:space="preserve"> ・高温排熱の放出部について、設備容量の50％程度以上をGL＋10m以上の位置に設置 (1ポイント)
 ・高温排熱の放出部を設置しない、またはほとんどをGL＋10m以上の位置に設置 (2ポイント)</t>
    <rPh sb="15" eb="17">
      <t>セツビ</t>
    </rPh>
    <rPh sb="17" eb="19">
      <t>ヨウリョウ</t>
    </rPh>
    <rPh sb="23" eb="25">
      <t>テイド</t>
    </rPh>
    <rPh sb="25" eb="27">
      <t>イジョウ</t>
    </rPh>
    <rPh sb="34" eb="36">
      <t>イジョウ</t>
    </rPh>
    <rPh sb="37" eb="39">
      <t>イチ</t>
    </rPh>
    <rPh sb="40" eb="42">
      <t>セッチ</t>
    </rPh>
    <rPh sb="53" eb="55">
      <t>コウオン</t>
    </rPh>
    <rPh sb="55" eb="57">
      <t>ハイネツ</t>
    </rPh>
    <rPh sb="58" eb="60">
      <t>ホウシュツ</t>
    </rPh>
    <rPh sb="60" eb="61">
      <t>ブ</t>
    </rPh>
    <rPh sb="62" eb="64">
      <t>セッチ</t>
    </rPh>
    <rPh sb="82" eb="84">
      <t>イジョウ</t>
    </rPh>
    <rPh sb="85" eb="87">
      <t>イチ</t>
    </rPh>
    <rPh sb="88" eb="90">
      <t>セッチ</t>
    </rPh>
    <phoneticPr fontId="27"/>
  </si>
  <si>
    <t xml:space="preserve"> ・排熱を伴う冷却塔や室外機等について、設備容量の50％程度以上をGL＋10m以上の位置に設置 (1ポイント)
 ・冷却塔や室外機を設置しない、またはほとんどをGL＋10m以上の位置に設置 
    (2ポイント)</t>
    <phoneticPr fontId="27"/>
  </si>
  <si>
    <t>7）建物利用者等の参加性</t>
    <phoneticPr fontId="27"/>
  </si>
  <si>
    <t>施設利用者満足度評価（POE）の実施、コーポラティブ住宅等、設計プロセスに建物利用者が参加している。
または
居住者や入居者が植栽管理・清掃活動、運用計画の立案を直接行うなど、建物の維持管理に対して居住者が参加している。</t>
    <phoneticPr fontId="27"/>
  </si>
  <si>
    <t>歴史的な建築内外部空間や遺構を保存、復元、再生し、地域文化に貢献している。（まちなみ・景観で評価している部分はここで重複して評価しない）</t>
    <phoneticPr fontId="27"/>
  </si>
  <si>
    <t>2）地域性のある材料の使用</t>
    <phoneticPr fontId="27"/>
  </si>
  <si>
    <t>建物の構造材や内装材又は外構に地域性のある材料を一部使用している。（まちなみ・景観で評価している部分はここで重複して評価しない）</t>
    <rPh sb="39" eb="41">
      <t>ケイカン</t>
    </rPh>
    <rPh sb="42" eb="44">
      <t>ヒョウカ</t>
    </rPh>
    <rPh sb="48" eb="50">
      <t>ブブン</t>
    </rPh>
    <rPh sb="54" eb="56">
      <t>ジュウフク</t>
    </rPh>
    <rPh sb="58" eb="60">
      <t>ヒョウカ</t>
    </rPh>
    <phoneticPr fontId="27"/>
  </si>
  <si>
    <t>1）歴史的な建築空間等の保全</t>
    <phoneticPr fontId="27"/>
  </si>
  <si>
    <t>ピロティ等の水平投影面</t>
    <rPh sb="4" eb="5">
      <t>トウ</t>
    </rPh>
    <rPh sb="6" eb="8">
      <t>スイヘイ</t>
    </rPh>
    <rPh sb="8" eb="10">
      <t>トウエイ</t>
    </rPh>
    <rPh sb="10" eb="11">
      <t>メン</t>
    </rPh>
    <phoneticPr fontId="27"/>
  </si>
  <si>
    <t>中高木の水平投影面積率</t>
    <rPh sb="0" eb="1">
      <t>チュウ</t>
    </rPh>
    <rPh sb="1" eb="3">
      <t>コウボク</t>
    </rPh>
    <rPh sb="4" eb="6">
      <t>スイヘイ</t>
    </rPh>
    <rPh sb="6" eb="8">
      <t>トウエイ</t>
    </rPh>
    <rPh sb="8" eb="10">
      <t>メンセキ</t>
    </rPh>
    <rPh sb="10" eb="11">
      <t>リツ</t>
    </rPh>
    <phoneticPr fontId="27"/>
  </si>
  <si>
    <t>ピロティ等の水平投影面積率</t>
    <rPh sb="4" eb="5">
      <t>トウ</t>
    </rPh>
    <rPh sb="6" eb="8">
      <t>スイヘイ</t>
    </rPh>
    <rPh sb="8" eb="10">
      <t>トウエイ</t>
    </rPh>
    <rPh sb="10" eb="12">
      <t>メンセキ</t>
    </rPh>
    <rPh sb="12" eb="13">
      <t>リツ</t>
    </rPh>
    <phoneticPr fontId="27"/>
  </si>
  <si>
    <t>舗装面積</t>
    <rPh sb="0" eb="2">
      <t>ホソウ</t>
    </rPh>
    <rPh sb="2" eb="4">
      <t>メンセキ</t>
    </rPh>
    <phoneticPr fontId="27"/>
  </si>
  <si>
    <t>　水平投影面積率</t>
    <rPh sb="1" eb="3">
      <t>スイヘイ</t>
    </rPh>
    <rPh sb="3" eb="5">
      <t>トウエイ</t>
    </rPh>
    <rPh sb="5" eb="7">
      <t>メンセキ</t>
    </rPh>
    <rPh sb="7" eb="8">
      <t>リツ</t>
    </rPh>
    <phoneticPr fontId="27"/>
  </si>
  <si>
    <t>　舗装面積率</t>
    <rPh sb="1" eb="3">
      <t>ホソウ</t>
    </rPh>
    <rPh sb="3" eb="5">
      <t>メンセキ</t>
    </rPh>
    <rPh sb="5" eb="6">
      <t>リツ</t>
    </rPh>
    <phoneticPr fontId="27"/>
  </si>
  <si>
    <t>　空地率</t>
    <rPh sb="1" eb="3">
      <t>クウチ</t>
    </rPh>
    <rPh sb="3" eb="4">
      <t>リツ</t>
    </rPh>
    <phoneticPr fontId="27"/>
  </si>
  <si>
    <t xml:space="preserve">建物の一部に集会所、地域に開放された展示室やホール、コミュニティセンター、学校のコミュニティ利用などの公共的施設・機能を設けることで、地域の活動やにぎわいに貢献している。 </t>
    <phoneticPr fontId="27"/>
  </si>
  <si>
    <t>4）施設機能提供による地域貢献</t>
    <phoneticPr fontId="27"/>
  </si>
  <si>
    <t>6）その他</t>
    <rPh sb="4" eb="5">
      <t>タ</t>
    </rPh>
    <phoneticPr fontId="27"/>
  </si>
  <si>
    <t>4) その他（環境配慮概要に要記述）</t>
    <phoneticPr fontId="27"/>
  </si>
  <si>
    <t>2) その他（環境配慮概要に要記述）</t>
    <phoneticPr fontId="27"/>
  </si>
  <si>
    <t>既存</t>
    <rPh sb="0" eb="2">
      <t>キゾン</t>
    </rPh>
    <phoneticPr fontId="27"/>
  </si>
  <si>
    <t>新築</t>
    <rPh sb="0" eb="2">
      <t>シンチク</t>
    </rPh>
    <phoneticPr fontId="27"/>
  </si>
  <si>
    <t>3つの設備管理業務の取り組みポイントで-１(ﾚﾍﾞﾙ2)の取り組みがひとつでもある場合</t>
    <phoneticPr fontId="27"/>
  </si>
  <si>
    <t>-１(ﾚﾍﾞﾙ2)の取組み＝</t>
    <phoneticPr fontId="27"/>
  </si>
  <si>
    <t>事・学・物・飲・会・病・ホ・工・住</t>
    <phoneticPr fontId="27"/>
  </si>
  <si>
    <t>&lt;2k</t>
    <phoneticPr fontId="27"/>
  </si>
  <si>
    <t>&gt;=2k</t>
    <phoneticPr fontId="27"/>
  </si>
  <si>
    <t>学・物・飲・住</t>
    <phoneticPr fontId="27"/>
  </si>
  <si>
    <t>【&lt;2000㎡】</t>
    <phoneticPr fontId="27"/>
  </si>
  <si>
    <t>【&gt;=2000㎡】</t>
    <phoneticPr fontId="27"/>
  </si>
  <si>
    <t>ポイント</t>
    <phoneticPr fontId="27"/>
  </si>
  <si>
    <t>中央式空調換気設備がない</t>
    <rPh sb="0" eb="2">
      <t>チュウオウ</t>
    </rPh>
    <rPh sb="2" eb="3">
      <t>シキ</t>
    </rPh>
    <rPh sb="3" eb="5">
      <t>クウチョウ</t>
    </rPh>
    <rPh sb="5" eb="7">
      <t>カンキ</t>
    </rPh>
    <rPh sb="7" eb="9">
      <t>セツビ</t>
    </rPh>
    <phoneticPr fontId="27"/>
  </si>
  <si>
    <t>④電源設備・精密機械（住宅の場合は、ブレーカー、分電盤等）の浸水による停電や情報網の損傷を回避するために、ア)あるいはイ)の対策を講じている、あるいはウ)に該当している。
ア) 電源設備・精密機械の地下空間への設置を避けている
イ) 地下への浸水の防止措置(防水扉、防水板、マウンドアップ、からぼり)、排水設備(ポンプ等)を設置している。
ウ) 浸水の危険性がない。
【2000㎡未満は適用外】</t>
    <phoneticPr fontId="27"/>
  </si>
  <si>
    <t>項目</t>
    <rPh sb="0" eb="2">
      <t>コウモク</t>
    </rPh>
    <phoneticPr fontId="27"/>
  </si>
  <si>
    <t>事・学・物・飲・会・病・ホ・工・住</t>
    <phoneticPr fontId="27"/>
  </si>
  <si>
    <t>事・学・物・飲・会・病・ホ・工・住</t>
    <phoneticPr fontId="27"/>
  </si>
  <si>
    <t>※風害対策に対する要請がない。または、自主的な対策を評価しない場合はここに記述</t>
    <rPh sb="37" eb="39">
      <t>キジュツ</t>
    </rPh>
    <phoneticPr fontId="27"/>
  </si>
  <si>
    <t>窓システムのSC</t>
    <rPh sb="0" eb="1">
      <t>マド</t>
    </rPh>
    <phoneticPr fontId="27"/>
  </si>
  <si>
    <t>窓システム、外壁、屋根や床（特にピロティ）において熱の侵入に対して配慮が無く、断熱性能が低い。
（窓システムSC：0.7程度、U=6.0(W/m2K) 程度、外壁・その他：U=3.0(W/m2K) 程度）</t>
    <phoneticPr fontId="27"/>
  </si>
  <si>
    <t>窓システム</t>
    <rPh sb="0" eb="1">
      <t>マド</t>
    </rPh>
    <phoneticPr fontId="27"/>
  </si>
  <si>
    <t>U値（W/m2K）</t>
    <rPh sb="1" eb="2">
      <t>チ</t>
    </rPh>
    <phoneticPr fontId="27"/>
  </si>
  <si>
    <t>外壁</t>
    <rPh sb="0" eb="2">
      <t>ガイヘキ</t>
    </rPh>
    <phoneticPr fontId="27"/>
  </si>
  <si>
    <t>屋根</t>
    <rPh sb="0" eb="2">
      <t>ヤネ</t>
    </rPh>
    <phoneticPr fontId="27"/>
  </si>
  <si>
    <t>床</t>
    <rPh sb="0" eb="1">
      <t>ユカ</t>
    </rPh>
    <phoneticPr fontId="27"/>
  </si>
  <si>
    <t>No.5</t>
    <phoneticPr fontId="27"/>
  </si>
  <si>
    <t>VA/㎡</t>
    <phoneticPr fontId="27"/>
  </si>
  <si>
    <t>m</t>
    <phoneticPr fontId="27"/>
  </si>
  <si>
    <t>年</t>
    <rPh sb="0" eb="1">
      <t>ネン</t>
    </rPh>
    <phoneticPr fontId="27"/>
  </si>
  <si>
    <t>＝</t>
    <phoneticPr fontId="27"/>
  </si>
  <si>
    <t>N/m2</t>
    <phoneticPr fontId="27"/>
  </si>
  <si>
    <t>地表面対策面積率</t>
    <rPh sb="0" eb="3">
      <t>チヒョウメン</t>
    </rPh>
    <rPh sb="3" eb="5">
      <t>タイサク</t>
    </rPh>
    <rPh sb="5" eb="7">
      <t>メンセキ</t>
    </rPh>
    <rPh sb="7" eb="8">
      <t>リツ</t>
    </rPh>
    <phoneticPr fontId="27"/>
  </si>
  <si>
    <t>MJ/年㎡</t>
    <phoneticPr fontId="27"/>
  </si>
  <si>
    <t>kW</t>
    <phoneticPr fontId="27"/>
  </si>
  <si>
    <t>＝</t>
    <phoneticPr fontId="27"/>
  </si>
  <si>
    <t>雨水利用予測量[m³]</t>
    <rPh sb="4" eb="6">
      <t>ヨソク</t>
    </rPh>
    <phoneticPr fontId="27"/>
  </si>
  <si>
    <t>全体の用水予測量（上水+雨水利用量+雑排水利用量）[m³]</t>
    <rPh sb="0" eb="2">
      <t>ゼンタイ</t>
    </rPh>
    <rPh sb="3" eb="5">
      <t>ヨウスイ</t>
    </rPh>
    <rPh sb="5" eb="7">
      <t>ヨソク</t>
    </rPh>
    <rPh sb="7" eb="8">
      <t>リョウ</t>
    </rPh>
    <rPh sb="18" eb="21">
      <t>ザツハイスイ</t>
    </rPh>
    <rPh sb="21" eb="23">
      <t>リヨウ</t>
    </rPh>
    <rPh sb="23" eb="24">
      <t>リョウ</t>
    </rPh>
    <phoneticPr fontId="27"/>
  </si>
  <si>
    <t>持続可能な森林から産出された木材の使用比率が10％以上50％未満。</t>
    <phoneticPr fontId="27"/>
  </si>
  <si>
    <t>見付面積Sb</t>
    <rPh sb="0" eb="2">
      <t>ミツ</t>
    </rPh>
    <rPh sb="2" eb="4">
      <t>メンセキ</t>
    </rPh>
    <phoneticPr fontId="27"/>
  </si>
  <si>
    <t>水面</t>
    <rPh sb="0" eb="2">
      <t>スイメン</t>
    </rPh>
    <phoneticPr fontId="27"/>
  </si>
  <si>
    <t>保水性対策面</t>
    <rPh sb="0" eb="3">
      <t>ホスイセイ</t>
    </rPh>
    <rPh sb="3" eb="5">
      <t>タイサク</t>
    </rPh>
    <rPh sb="5" eb="6">
      <t>メン</t>
    </rPh>
    <phoneticPr fontId="27"/>
  </si>
  <si>
    <t>高反射対策面</t>
    <rPh sb="0" eb="1">
      <t>コウ</t>
    </rPh>
    <rPh sb="1" eb="3">
      <t>ハンシャ</t>
    </rPh>
    <rPh sb="3" eb="5">
      <t>タイサク</t>
    </rPh>
    <rPh sb="5" eb="6">
      <t>メン</t>
    </rPh>
    <phoneticPr fontId="27"/>
  </si>
  <si>
    <t>緑地</t>
    <rPh sb="0" eb="2">
      <t>リョクチ</t>
    </rPh>
    <phoneticPr fontId="27"/>
  </si>
  <si>
    <t>採光を満たす教室数</t>
    <rPh sb="0" eb="2">
      <t>サイコウ</t>
    </rPh>
    <rPh sb="3" eb="4">
      <t>ミ</t>
    </rPh>
    <rPh sb="6" eb="8">
      <t>キョウシツ</t>
    </rPh>
    <rPh sb="8" eb="9">
      <t>スウ</t>
    </rPh>
    <phoneticPr fontId="27"/>
  </si>
  <si>
    <t>MＪ/年㎡</t>
    <phoneticPr fontId="27"/>
  </si>
  <si>
    <t>再帰性反射対策面</t>
    <rPh sb="0" eb="3">
      <t>サイキセイ</t>
    </rPh>
    <rPh sb="3" eb="5">
      <t>ハンシャ</t>
    </rPh>
    <rPh sb="5" eb="7">
      <t>タイサク</t>
    </rPh>
    <rPh sb="7" eb="8">
      <t>メン</t>
    </rPh>
    <phoneticPr fontId="27"/>
  </si>
  <si>
    <t>合計2</t>
    <rPh sb="0" eb="2">
      <t>ゴウケイ</t>
    </rPh>
    <phoneticPr fontId="27"/>
  </si>
  <si>
    <t>合計</t>
    <rPh sb="0" eb="2">
      <t>ゴウケイ</t>
    </rPh>
    <phoneticPr fontId="27"/>
  </si>
  <si>
    <t>m</t>
    <phoneticPr fontId="27"/>
  </si>
  <si>
    <t>評価する取組み</t>
    <rPh sb="0" eb="2">
      <t>ヒョウカ</t>
    </rPh>
    <rPh sb="4" eb="6">
      <t>トリクミ</t>
    </rPh>
    <phoneticPr fontId="27"/>
  </si>
  <si>
    <t>主な指標</t>
    <rPh sb="0" eb="1">
      <t>オモ</t>
    </rPh>
    <rPh sb="2" eb="4">
      <t>シヒョウ</t>
    </rPh>
    <phoneticPr fontId="27"/>
  </si>
  <si>
    <t>通風を満たす教室数</t>
    <rPh sb="0" eb="2">
      <t>ツウフウ</t>
    </rPh>
    <rPh sb="3" eb="4">
      <t>ミ</t>
    </rPh>
    <rPh sb="6" eb="8">
      <t>キョウシツ</t>
    </rPh>
    <rPh sb="8" eb="9">
      <t>スウ</t>
    </rPh>
    <phoneticPr fontId="27"/>
  </si>
  <si>
    <t>通風を満たす住戸数</t>
    <rPh sb="0" eb="2">
      <t>ツウフウ</t>
    </rPh>
    <rPh sb="3" eb="4">
      <t>ミ</t>
    </rPh>
    <rPh sb="6" eb="8">
      <t>ジュウコ</t>
    </rPh>
    <rPh sb="8" eb="9">
      <t>スウ</t>
    </rPh>
    <phoneticPr fontId="27"/>
  </si>
  <si>
    <t>自然ｴﾈﾙｷﾞｰ直接利用量</t>
    <rPh sb="0" eb="2">
      <t>シゼン</t>
    </rPh>
    <rPh sb="8" eb="10">
      <t>チョクセツ</t>
    </rPh>
    <rPh sb="10" eb="12">
      <t>リヨウ</t>
    </rPh>
    <rPh sb="12" eb="13">
      <t>リョウ</t>
    </rPh>
    <phoneticPr fontId="27"/>
  </si>
  <si>
    <t>住宅の品質確保の促進に関する法律（日本住宅性能表示基準、3.劣化の軽減に関する事）における木造、鉄骨又はコンクリートの評価方法基準（平成26年国土交通省告示第151号）で等級1相当</t>
    <rPh sb="17" eb="19">
      <t>ニホン</t>
    </rPh>
    <rPh sb="25" eb="27">
      <t>キジュン</t>
    </rPh>
    <rPh sb="45" eb="47">
      <t>モクゾウ</t>
    </rPh>
    <rPh sb="61" eb="63">
      <t>ホウホウ</t>
    </rPh>
    <rPh sb="63" eb="65">
      <t>キジュン</t>
    </rPh>
    <rPh sb="88" eb="90">
      <t>ソウトウ</t>
    </rPh>
    <phoneticPr fontId="27"/>
  </si>
  <si>
    <t>住宅の品質確保の促進に関する法律（日本住宅性能表示基準、3.劣化の軽減に関する事）における木造、鉄骨又はコンクリートの評価方法基準（平成26年国土交通省告示第151号）で等級2相当</t>
    <rPh sb="88" eb="90">
      <t>ソウトウ</t>
    </rPh>
    <phoneticPr fontId="27"/>
  </si>
  <si>
    <t>住宅の品質確保の促進に関する法律（日本住宅性能表示基準、3.劣化の軽減に関する事）における木造、鉄骨又はコンクリートの評価方法基準（平成26年国土交通省告示第151号）で等級3相当</t>
    <rPh sb="88" eb="90">
      <t>ソウトウ</t>
    </rPh>
    <phoneticPr fontId="27"/>
  </si>
  <si>
    <t>自然エネルギー直接利用量</t>
    <rPh sb="0" eb="2">
      <t>シゼン</t>
    </rPh>
    <rPh sb="7" eb="9">
      <t>チョクセツ</t>
    </rPh>
    <rPh sb="9" eb="11">
      <t>リヨウ</t>
    </rPh>
    <rPh sb="11" eb="12">
      <t>リョウ</t>
    </rPh>
    <phoneticPr fontId="27"/>
  </si>
  <si>
    <t>（変換利用量含まず）</t>
    <phoneticPr fontId="27"/>
  </si>
  <si>
    <t>・LR2/3.2.3　発泡材</t>
    <phoneticPr fontId="27"/>
  </si>
  <si>
    <t>事・会（屋外）・病(待)・ホ・工・住</t>
    <rPh sb="2" eb="3">
      <t>カイ</t>
    </rPh>
    <rPh sb="4" eb="6">
      <t>オクガイ</t>
    </rPh>
    <rPh sb="10" eb="11">
      <t>マツ</t>
    </rPh>
    <rPh sb="17" eb="18">
      <t>ジュウ</t>
    </rPh>
    <phoneticPr fontId="27"/>
  </si>
  <si>
    <t>会(他)</t>
    <rPh sb="2" eb="3">
      <t>ホカ</t>
    </rPh>
    <phoneticPr fontId="27"/>
  </si>
  <si>
    <t>【&lt;2000㎡】</t>
    <phoneticPr fontId="27"/>
  </si>
  <si>
    <t>【&gt;=2000㎡】</t>
    <phoneticPr fontId="27"/>
  </si>
  <si>
    <t>【&gt;=2000㎡】事・会・病・ホ･工</t>
    <phoneticPr fontId="27"/>
  </si>
  <si>
    <t>【&gt;=2000㎡】学・物・飲・住</t>
    <phoneticPr fontId="27"/>
  </si>
  <si>
    <r>
      <rPr>
        <sz val="9"/>
        <rFont val="ＭＳ Ｐゴシック"/>
        <family val="3"/>
        <charset val="128"/>
      </rPr>
      <t>人（想定値）</t>
    </r>
    <rPh sb="0" eb="1">
      <t>ニン</t>
    </rPh>
    <rPh sb="2" eb="4">
      <t>ソウテイ</t>
    </rPh>
    <rPh sb="4" eb="5">
      <t>アタイ</t>
    </rPh>
    <phoneticPr fontId="27"/>
  </si>
  <si>
    <r>
      <rPr>
        <sz val="9"/>
        <rFont val="ＭＳ Ｐゴシック"/>
        <family val="3"/>
        <charset val="128"/>
      </rPr>
      <t>㎡</t>
    </r>
  </si>
  <si>
    <r>
      <t xml:space="preserve">                   </t>
    </r>
    <r>
      <rPr>
        <sz val="9"/>
        <rFont val="ＭＳ Ｐゴシック"/>
        <family val="3"/>
        <charset val="128"/>
      </rPr>
      <t>共用部</t>
    </r>
    <rPh sb="19" eb="21">
      <t>キョウヨウ</t>
    </rPh>
    <rPh sb="21" eb="22">
      <t>ブ</t>
    </rPh>
    <phoneticPr fontId="27"/>
  </si>
  <si>
    <r>
      <rPr>
        <sz val="9"/>
        <rFont val="ＭＳ Ｐゴシック"/>
        <family val="3"/>
        <charset val="128"/>
      </rPr>
      <t>㎡</t>
    </r>
    <phoneticPr fontId="27"/>
  </si>
  <si>
    <r>
      <rPr>
        <sz val="10"/>
        <rFont val="ＭＳ Ｐゴシック"/>
        <family val="3"/>
        <charset val="128"/>
      </rPr>
      <t>○○</t>
    </r>
    <phoneticPr fontId="27"/>
  </si>
  <si>
    <r>
      <rPr>
        <sz val="10"/>
        <rFont val="ＭＳ Ｐゴシック"/>
        <family val="3"/>
        <charset val="128"/>
      </rPr>
      <t>地上○○</t>
    </r>
    <r>
      <rPr>
        <sz val="10"/>
        <rFont val="Arial"/>
        <family val="2"/>
      </rPr>
      <t>F</t>
    </r>
    <r>
      <rPr>
        <sz val="10"/>
        <rFont val="ＭＳ Ｐゴシック"/>
        <family val="3"/>
        <charset val="128"/>
      </rPr>
      <t>～○○</t>
    </r>
    <r>
      <rPr>
        <sz val="10"/>
        <rFont val="Arial"/>
        <family val="2"/>
      </rPr>
      <t>F</t>
    </r>
    <rPh sb="0" eb="2">
      <t>チジョウ</t>
    </rPh>
    <phoneticPr fontId="27"/>
  </si>
  <si>
    <r>
      <rPr>
        <sz val="9"/>
        <rFont val="ＭＳ Ｐゴシック"/>
        <family val="3"/>
        <charset val="128"/>
      </rPr>
      <t>時間</t>
    </r>
    <r>
      <rPr>
        <sz val="9"/>
        <rFont val="Arial"/>
        <family val="2"/>
      </rPr>
      <t>/</t>
    </r>
    <r>
      <rPr>
        <sz val="9"/>
        <rFont val="ＭＳ Ｐゴシック"/>
        <family val="3"/>
        <charset val="128"/>
      </rPr>
      <t>年（想定値）</t>
    </r>
    <rPh sb="0" eb="2">
      <t>ジカン</t>
    </rPh>
    <rPh sb="3" eb="4">
      <t>ネン</t>
    </rPh>
    <phoneticPr fontId="27"/>
  </si>
  <si>
    <r>
      <rPr>
        <sz val="9"/>
        <color rgb="FFFF0000"/>
        <rFont val="ＭＳ Ｐゴシック"/>
        <family val="3"/>
        <charset val="128"/>
      </rPr>
      <t>時間</t>
    </r>
    <r>
      <rPr>
        <sz val="9"/>
        <color rgb="FFFF0000"/>
        <rFont val="Arial"/>
        <family val="2"/>
      </rPr>
      <t>/</t>
    </r>
    <r>
      <rPr>
        <sz val="9"/>
        <color rgb="FFFF0000"/>
        <rFont val="ＭＳ Ｐゴシック"/>
        <family val="3"/>
        <charset val="128"/>
      </rPr>
      <t>日（想定値）</t>
    </r>
    <rPh sb="0" eb="2">
      <t>ジカン</t>
    </rPh>
    <rPh sb="3" eb="4">
      <t>ニチ</t>
    </rPh>
    <phoneticPr fontId="27"/>
  </si>
  <si>
    <r>
      <t xml:space="preserve">     </t>
    </r>
    <r>
      <rPr>
        <sz val="9"/>
        <rFont val="ＭＳ Ｐゴシック"/>
        <family val="3"/>
        <charset val="128"/>
      </rPr>
      <t>小・中学校　</t>
    </r>
    <r>
      <rPr>
        <sz val="9"/>
        <rFont val="Arial"/>
        <family val="2"/>
      </rPr>
      <t>(</t>
    </r>
    <r>
      <rPr>
        <sz val="9"/>
        <rFont val="ＭＳ Ｐゴシック"/>
        <family val="3"/>
        <charset val="128"/>
      </rPr>
      <t>北海道</t>
    </r>
    <r>
      <rPr>
        <sz val="9"/>
        <rFont val="Arial"/>
        <family val="2"/>
      </rPr>
      <t>)</t>
    </r>
    <rPh sb="12" eb="15">
      <t>ホッカイドウ</t>
    </rPh>
    <phoneticPr fontId="27"/>
  </si>
  <si>
    <r>
      <rPr>
        <sz val="9"/>
        <rFont val="ＭＳ Ｐゴシック"/>
        <family val="3"/>
        <charset val="128"/>
      </rPr>
      <t>小・中学校</t>
    </r>
    <r>
      <rPr>
        <sz val="9"/>
        <rFont val="Arial"/>
        <family val="2"/>
      </rPr>
      <t xml:space="preserve"> (</t>
    </r>
    <r>
      <rPr>
        <sz val="9"/>
        <rFont val="ＭＳ Ｐゴシック"/>
        <family val="3"/>
        <charset val="128"/>
      </rPr>
      <t>北海道以外）</t>
    </r>
    <rPh sb="0" eb="1">
      <t>ショウ</t>
    </rPh>
    <rPh sb="2" eb="5">
      <t>チュウガッコウ</t>
    </rPh>
    <rPh sb="7" eb="10">
      <t>ホッカイドウ</t>
    </rPh>
    <rPh sb="10" eb="12">
      <t>イガイ</t>
    </rPh>
    <phoneticPr fontId="27"/>
  </si>
  <si>
    <r>
      <rPr>
        <sz val="8"/>
        <rFont val="ＭＳ Ｐゴシック"/>
        <family val="3"/>
        <charset val="128"/>
      </rPr>
      <t>㎡</t>
    </r>
    <r>
      <rPr>
        <sz val="8"/>
        <rFont val="Arial"/>
        <family val="2"/>
      </rPr>
      <t xml:space="preserve"> </t>
    </r>
    <r>
      <rPr>
        <sz val="8"/>
        <rFont val="ＭＳ Ｐゴシック"/>
        <family val="3"/>
        <charset val="128"/>
      </rPr>
      <t>　うち省エネ計画対象面積</t>
    </r>
    <rPh sb="5" eb="6">
      <t>ショウ</t>
    </rPh>
    <rPh sb="8" eb="10">
      <t>ケイカク</t>
    </rPh>
    <rPh sb="10" eb="12">
      <t>タイショウ</t>
    </rPh>
    <rPh sb="12" eb="14">
      <t>メンセキ</t>
    </rPh>
    <phoneticPr fontId="27"/>
  </si>
  <si>
    <r>
      <rPr>
        <sz val="9"/>
        <rFont val="ＭＳ Ｐゴシック"/>
        <family val="3"/>
        <charset val="128"/>
      </rPr>
      <t>㎡</t>
    </r>
    <r>
      <rPr>
        <sz val="9"/>
        <rFont val="Arial"/>
        <family val="2"/>
      </rPr>
      <t xml:space="preserve">                  </t>
    </r>
    <r>
      <rPr>
        <sz val="9"/>
        <rFont val="ＭＳ Ｐゴシック"/>
        <family val="3"/>
        <charset val="128"/>
      </rPr>
      <t>専用部</t>
    </r>
    <rPh sb="19" eb="21">
      <t>センヨウ</t>
    </rPh>
    <rPh sb="21" eb="22">
      <t>ブ</t>
    </rPh>
    <phoneticPr fontId="27"/>
  </si>
  <si>
    <r>
      <rPr>
        <b/>
        <sz val="20"/>
        <color indexed="9"/>
        <rFont val="ＭＳ Ｐゴシック"/>
        <family val="3"/>
        <charset val="128"/>
      </rPr>
      <t>評　価　ソ　フ　ト</t>
    </r>
    <rPh sb="0" eb="1">
      <t>ヒョウ</t>
    </rPh>
    <rPh sb="2" eb="3">
      <t>アタイ</t>
    </rPh>
    <phoneticPr fontId="27"/>
  </si>
  <si>
    <r>
      <rPr>
        <sz val="9"/>
        <rFont val="ＭＳ Ｐゴシック"/>
        <family val="3"/>
        <charset val="128"/>
      </rPr>
      <t>■使用評価マニュアル：</t>
    </r>
    <rPh sb="1" eb="3">
      <t>シヨウ</t>
    </rPh>
    <rPh sb="3" eb="5">
      <t>ヒョウカ</t>
    </rPh>
    <phoneticPr fontId="27"/>
  </si>
  <si>
    <r>
      <t>1</t>
    </r>
    <r>
      <rPr>
        <b/>
        <sz val="11"/>
        <color indexed="17"/>
        <rFont val="ＭＳ Ｐゴシック"/>
        <family val="3"/>
        <charset val="128"/>
      </rPr>
      <t>）概要入力</t>
    </r>
    <rPh sb="2" eb="4">
      <t>ガイヨウ</t>
    </rPh>
    <rPh sb="4" eb="6">
      <t>ニュウリョク</t>
    </rPh>
    <phoneticPr fontId="27"/>
  </si>
  <si>
    <r>
      <rPr>
        <b/>
        <sz val="10"/>
        <color indexed="9"/>
        <rFont val="ＭＳ Ｐゴシック"/>
        <family val="3"/>
        <charset val="128"/>
      </rPr>
      <t>①</t>
    </r>
    <r>
      <rPr>
        <b/>
        <sz val="10"/>
        <color indexed="9"/>
        <rFont val="Arial"/>
        <family val="2"/>
      </rPr>
      <t xml:space="preserve"> </t>
    </r>
    <r>
      <rPr>
        <b/>
        <sz val="10"/>
        <color indexed="9"/>
        <rFont val="ＭＳ Ｐゴシック"/>
        <family val="3"/>
        <charset val="128"/>
      </rPr>
      <t>建物概要</t>
    </r>
    <rPh sb="2" eb="4">
      <t>タテモノ</t>
    </rPh>
    <rPh sb="4" eb="6">
      <t>ガイヨウ</t>
    </rPh>
    <phoneticPr fontId="27"/>
  </si>
  <si>
    <r>
      <rPr>
        <sz val="10"/>
        <rFont val="ＭＳ Ｐゴシック"/>
        <family val="3"/>
        <charset val="128"/>
      </rPr>
      <t>■</t>
    </r>
    <r>
      <rPr>
        <sz val="10"/>
        <rFont val="Arial"/>
        <family val="2"/>
      </rPr>
      <t xml:space="preserve"> </t>
    </r>
    <r>
      <rPr>
        <sz val="10"/>
        <rFont val="ＭＳ Ｐゴシック"/>
        <family val="3"/>
        <charset val="128"/>
      </rPr>
      <t>建物名称</t>
    </r>
    <rPh sb="2" eb="4">
      <t>ﾀﾃﾓﾉ</t>
    </rPh>
    <rPh sb="4" eb="6">
      <t>ﾒｲｼｮｳ</t>
    </rPh>
    <phoneticPr fontId="39" type="noConversion"/>
  </si>
  <si>
    <r>
      <rPr>
        <sz val="10"/>
        <rFont val="ＭＳ Ｐゴシック"/>
        <family val="3"/>
        <charset val="128"/>
      </rPr>
      <t>■</t>
    </r>
    <r>
      <rPr>
        <sz val="10"/>
        <rFont val="Arial"/>
        <family val="2"/>
      </rPr>
      <t xml:space="preserve"> </t>
    </r>
    <r>
      <rPr>
        <sz val="10"/>
        <rFont val="ＭＳ Ｐゴシック"/>
        <family val="3"/>
        <charset val="128"/>
      </rPr>
      <t>建設地・地域区分</t>
    </r>
    <rPh sb="2" eb="5">
      <t>ｹﾝｾﾂﾁ</t>
    </rPh>
    <rPh sb="6" eb="8">
      <t>ちいき</t>
    </rPh>
    <rPh sb="8" eb="10">
      <t>ｸﾌﾞﾝ</t>
    </rPh>
    <phoneticPr fontId="39" type="noConversion"/>
  </si>
  <si>
    <r>
      <rPr>
        <sz val="10"/>
        <rFont val="ＭＳ Ｐゴシック"/>
        <family val="3"/>
        <charset val="128"/>
      </rPr>
      <t>■</t>
    </r>
    <r>
      <rPr>
        <sz val="10"/>
        <rFont val="Arial"/>
        <family val="2"/>
      </rPr>
      <t xml:space="preserve"> </t>
    </r>
    <r>
      <rPr>
        <sz val="10"/>
        <rFont val="ＭＳ Ｐゴシック"/>
        <family val="3"/>
        <charset val="128"/>
      </rPr>
      <t>地域・地区</t>
    </r>
    <rPh sb="2" eb="4">
      <t>ﾁｲｷ</t>
    </rPh>
    <rPh sb="5" eb="7">
      <t>ﾁｸ</t>
    </rPh>
    <phoneticPr fontId="39" type="noConversion"/>
  </si>
  <si>
    <r>
      <rPr>
        <sz val="10"/>
        <rFont val="ＭＳ Ｐゴシック"/>
        <family val="3"/>
        <charset val="128"/>
      </rPr>
      <t>■</t>
    </r>
    <r>
      <rPr>
        <sz val="10"/>
        <rFont val="Arial"/>
        <family val="2"/>
      </rPr>
      <t xml:space="preserve"> </t>
    </r>
    <r>
      <rPr>
        <sz val="10"/>
        <rFont val="ＭＳ Ｐゴシック"/>
        <family val="3"/>
        <charset val="128"/>
      </rPr>
      <t>竣工年</t>
    </r>
    <r>
      <rPr>
        <sz val="10"/>
        <rFont val="Arial"/>
        <family val="2"/>
      </rPr>
      <t xml:space="preserve"> (</t>
    </r>
    <r>
      <rPr>
        <sz val="10"/>
        <rFont val="ＭＳ Ｐゴシック"/>
        <family val="3"/>
        <charset val="128"/>
      </rPr>
      <t>予定</t>
    </r>
    <r>
      <rPr>
        <sz val="10"/>
        <rFont val="Arial"/>
        <family val="2"/>
      </rPr>
      <t>/</t>
    </r>
    <r>
      <rPr>
        <sz val="10"/>
        <rFont val="ＭＳ Ｐゴシック"/>
        <family val="3"/>
        <charset val="128"/>
      </rPr>
      <t>竣工</t>
    </r>
    <r>
      <rPr>
        <sz val="10"/>
        <rFont val="Arial"/>
        <family val="2"/>
      </rPr>
      <t>)</t>
    </r>
    <rPh sb="2" eb="4">
      <t>ｼｭﾝｺｳ</t>
    </rPh>
    <rPh sb="4" eb="5">
      <t>ﾈﾝ</t>
    </rPh>
    <rPh sb="7" eb="9">
      <t>ﾖﾃｲ</t>
    </rPh>
    <rPh sb="10" eb="12">
      <t>ｼｭﾝｺｳ</t>
    </rPh>
    <phoneticPr fontId="39" type="noConversion"/>
  </si>
  <si>
    <r>
      <rPr>
        <sz val="10"/>
        <color indexed="10"/>
        <rFont val="ＭＳ Ｐゴシック"/>
        <family val="3"/>
        <charset val="128"/>
      </rPr>
      <t>■使用期間（開始</t>
    </r>
    <r>
      <rPr>
        <sz val="10"/>
        <color indexed="10"/>
        <rFont val="Arial"/>
        <family val="2"/>
      </rPr>
      <t>/</t>
    </r>
    <r>
      <rPr>
        <sz val="10"/>
        <color indexed="10"/>
        <rFont val="ＭＳ Ｐゴシック"/>
        <family val="3"/>
        <charset val="128"/>
      </rPr>
      <t>終了）</t>
    </r>
    <rPh sb="1" eb="3">
      <t>ｼﾖｳ</t>
    </rPh>
    <rPh sb="3" eb="5">
      <t>ｷｶﾝ</t>
    </rPh>
    <rPh sb="6" eb="8">
      <t>ｶｲｼ</t>
    </rPh>
    <rPh sb="9" eb="11">
      <t>ｼｭｳﾘｮｳ</t>
    </rPh>
    <phoneticPr fontId="39" type="noConversion"/>
  </si>
  <si>
    <r>
      <rPr>
        <sz val="10"/>
        <rFont val="ＭＳ Ｐゴシック"/>
        <family val="3"/>
        <charset val="128"/>
      </rPr>
      <t>■</t>
    </r>
    <r>
      <rPr>
        <sz val="10"/>
        <rFont val="Arial"/>
        <family val="2"/>
      </rPr>
      <t xml:space="preserve"> </t>
    </r>
    <r>
      <rPr>
        <sz val="10"/>
        <rFont val="ＭＳ Ｐゴシック"/>
        <family val="3"/>
        <charset val="128"/>
      </rPr>
      <t>敷地面積</t>
    </r>
    <rPh sb="2" eb="4">
      <t>ｼｷﾁ</t>
    </rPh>
    <rPh sb="4" eb="6">
      <t>ﾒﾝｾｷ</t>
    </rPh>
    <phoneticPr fontId="39" type="noConversion"/>
  </si>
  <si>
    <r>
      <rPr>
        <sz val="10"/>
        <rFont val="ＭＳ Ｐゴシック"/>
        <family val="3"/>
        <charset val="128"/>
      </rPr>
      <t>■</t>
    </r>
    <r>
      <rPr>
        <sz val="10"/>
        <rFont val="Arial"/>
        <family val="2"/>
      </rPr>
      <t xml:space="preserve"> </t>
    </r>
    <r>
      <rPr>
        <sz val="10"/>
        <rFont val="ＭＳ Ｐゴシック"/>
        <family val="3"/>
        <charset val="128"/>
      </rPr>
      <t>建築面積</t>
    </r>
    <rPh sb="2" eb="4">
      <t>ｹﾝﾁｸ</t>
    </rPh>
    <rPh sb="4" eb="6">
      <t>ﾒﾝｾｷ</t>
    </rPh>
    <phoneticPr fontId="39" type="noConversion"/>
  </si>
  <si>
    <r>
      <rPr>
        <sz val="10"/>
        <rFont val="ＭＳ Ｐゴシック"/>
        <family val="3"/>
        <charset val="128"/>
      </rPr>
      <t>■</t>
    </r>
    <r>
      <rPr>
        <sz val="10"/>
        <rFont val="Arial"/>
        <family val="2"/>
      </rPr>
      <t xml:space="preserve"> </t>
    </r>
    <r>
      <rPr>
        <sz val="10"/>
        <rFont val="ＭＳ Ｐゴシック"/>
        <family val="3"/>
        <charset val="128"/>
      </rPr>
      <t>延床面積</t>
    </r>
    <rPh sb="2" eb="3">
      <t>ﾉ</t>
    </rPh>
    <rPh sb="3" eb="6">
      <t>ﾕｶﾒﾝｾｷ</t>
    </rPh>
    <phoneticPr fontId="39" type="noConversion"/>
  </si>
  <si>
    <r>
      <rPr>
        <sz val="10"/>
        <rFont val="ＭＳ Ｐゴシック"/>
        <family val="3"/>
        <charset val="128"/>
      </rPr>
      <t>■</t>
    </r>
    <r>
      <rPr>
        <sz val="10"/>
        <rFont val="Arial"/>
        <family val="2"/>
      </rPr>
      <t xml:space="preserve"> </t>
    </r>
    <r>
      <rPr>
        <sz val="10"/>
        <rFont val="ＭＳ Ｐゴシック"/>
        <family val="3"/>
        <charset val="128"/>
      </rPr>
      <t>建物用途名</t>
    </r>
    <rPh sb="2" eb="4">
      <t>タテモノ</t>
    </rPh>
    <rPh sb="4" eb="6">
      <t>ヨウト</t>
    </rPh>
    <rPh sb="6" eb="7">
      <t>メイ</t>
    </rPh>
    <phoneticPr fontId="27"/>
  </si>
  <si>
    <r>
      <rPr>
        <sz val="10"/>
        <rFont val="ＭＳ Ｐゴシック"/>
        <family val="3"/>
        <charset val="128"/>
      </rPr>
      <t>■</t>
    </r>
    <r>
      <rPr>
        <sz val="10"/>
        <rFont val="Arial"/>
        <family val="2"/>
      </rPr>
      <t xml:space="preserve"> </t>
    </r>
    <r>
      <rPr>
        <sz val="10"/>
        <rFont val="ＭＳ Ｐゴシック"/>
        <family val="3"/>
        <charset val="128"/>
      </rPr>
      <t>階数</t>
    </r>
    <rPh sb="2" eb="4">
      <t>カイスウ</t>
    </rPh>
    <phoneticPr fontId="27"/>
  </si>
  <si>
    <r>
      <rPr>
        <sz val="10"/>
        <rFont val="ＭＳ Ｐゴシック"/>
        <family val="3"/>
        <charset val="128"/>
      </rPr>
      <t>■</t>
    </r>
    <r>
      <rPr>
        <sz val="10"/>
        <rFont val="Arial"/>
        <family val="2"/>
      </rPr>
      <t xml:space="preserve"> </t>
    </r>
    <r>
      <rPr>
        <sz val="10"/>
        <rFont val="ＭＳ Ｐゴシック"/>
        <family val="3"/>
        <charset val="128"/>
      </rPr>
      <t>構造</t>
    </r>
    <rPh sb="2" eb="4">
      <t>コウゾウ</t>
    </rPh>
    <phoneticPr fontId="27"/>
  </si>
  <si>
    <r>
      <rPr>
        <b/>
        <sz val="10"/>
        <color indexed="9"/>
        <rFont val="ＭＳ Ｐゴシック"/>
        <family val="3"/>
        <charset val="128"/>
      </rPr>
      <t>②</t>
    </r>
    <r>
      <rPr>
        <b/>
        <sz val="10"/>
        <color indexed="9"/>
        <rFont val="Arial"/>
        <family val="2"/>
      </rPr>
      <t xml:space="preserve"> </t>
    </r>
    <r>
      <rPr>
        <b/>
        <sz val="10"/>
        <color indexed="9"/>
        <rFont val="ＭＳ Ｐゴシック"/>
        <family val="3"/>
        <charset val="128"/>
      </rPr>
      <t>評価対象概要</t>
    </r>
    <rPh sb="2" eb="4">
      <t>ヒョウカ</t>
    </rPh>
    <rPh sb="4" eb="6">
      <t>タイショウ</t>
    </rPh>
    <rPh sb="6" eb="8">
      <t>ガイヨウ</t>
    </rPh>
    <phoneticPr fontId="27"/>
  </si>
  <si>
    <r>
      <rPr>
        <sz val="10"/>
        <color theme="8" tint="-0.499984740745262"/>
        <rFont val="ＭＳ Ｐゴシック"/>
        <family val="3"/>
        <charset val="128"/>
      </rPr>
      <t>■</t>
    </r>
    <r>
      <rPr>
        <sz val="10"/>
        <color theme="8" tint="-0.499984740745262"/>
        <rFont val="Arial"/>
        <family val="2"/>
      </rPr>
      <t xml:space="preserve"> </t>
    </r>
    <r>
      <rPr>
        <sz val="10"/>
        <color theme="8" tint="-0.499984740745262"/>
        <rFont val="ＭＳ Ｐゴシック"/>
        <family val="3"/>
        <charset val="128"/>
      </rPr>
      <t>評価対象名称</t>
    </r>
    <rPh sb="2" eb="4">
      <t>ﾋｮｳｶ</t>
    </rPh>
    <rPh sb="4" eb="6">
      <t>ﾀｲｼｮｳ</t>
    </rPh>
    <rPh sb="6" eb="8">
      <t>ﾒｲｼｮｳ</t>
    </rPh>
    <phoneticPr fontId="39" type="noConversion"/>
  </si>
  <si>
    <r>
      <rPr>
        <sz val="10"/>
        <color theme="8" tint="-0.499984740745262"/>
        <rFont val="ＭＳ Ｐゴシック"/>
        <family val="3"/>
        <charset val="128"/>
      </rPr>
      <t>■</t>
    </r>
    <r>
      <rPr>
        <sz val="10"/>
        <color theme="8" tint="-0.499984740745262"/>
        <rFont val="Arial"/>
        <family val="2"/>
      </rPr>
      <t xml:space="preserve"> </t>
    </r>
    <r>
      <rPr>
        <sz val="10"/>
        <color theme="8" tint="-0.499984740745262"/>
        <rFont val="ＭＳ Ｐゴシック"/>
        <family val="3"/>
        <charset val="128"/>
      </rPr>
      <t>評価対象用途</t>
    </r>
    <rPh sb="2" eb="4">
      <t>ﾋｮｳｶ</t>
    </rPh>
    <rPh sb="4" eb="6">
      <t>ﾀｲｼｮｳ</t>
    </rPh>
    <rPh sb="6" eb="8">
      <t>ﾖｳﾄ</t>
    </rPh>
    <phoneticPr fontId="39" type="noConversion"/>
  </si>
  <si>
    <r>
      <rPr>
        <sz val="10"/>
        <color theme="8" tint="-0.499984740745262"/>
        <rFont val="ＭＳ Ｐゴシック"/>
        <family val="3"/>
        <charset val="128"/>
      </rPr>
      <t>■</t>
    </r>
    <r>
      <rPr>
        <sz val="10"/>
        <color theme="8" tint="-0.499984740745262"/>
        <rFont val="Arial"/>
        <family val="2"/>
      </rPr>
      <t xml:space="preserve"> </t>
    </r>
    <r>
      <rPr>
        <sz val="10"/>
        <color theme="8" tint="-0.499984740745262"/>
        <rFont val="ＭＳ Ｐゴシック"/>
        <family val="3"/>
        <charset val="128"/>
      </rPr>
      <t>使用開始</t>
    </r>
    <rPh sb="2" eb="4">
      <t>ｼﾖｳ</t>
    </rPh>
    <rPh sb="4" eb="6">
      <t>ｶｲｼ</t>
    </rPh>
    <phoneticPr fontId="39" type="noConversion"/>
  </si>
  <si>
    <r>
      <rPr>
        <sz val="10"/>
        <color theme="8" tint="-0.499984740745262"/>
        <rFont val="ＭＳ Ｐゴシック"/>
        <family val="3"/>
        <charset val="128"/>
      </rPr>
      <t>■</t>
    </r>
    <r>
      <rPr>
        <sz val="10"/>
        <color theme="8" tint="-0.499984740745262"/>
        <rFont val="Arial"/>
        <family val="2"/>
      </rPr>
      <t xml:space="preserve"> </t>
    </r>
    <r>
      <rPr>
        <sz val="10"/>
        <color theme="8" tint="-0.499984740745262"/>
        <rFont val="ＭＳ Ｐゴシック"/>
        <family val="3"/>
        <charset val="128"/>
      </rPr>
      <t>専用面積</t>
    </r>
    <rPh sb="2" eb="4">
      <t>ｾﾝﾖｳ</t>
    </rPh>
    <rPh sb="4" eb="6">
      <t>ﾒﾝｾｷ</t>
    </rPh>
    <phoneticPr fontId="39" type="noConversion"/>
  </si>
  <si>
    <r>
      <rPr>
        <sz val="10"/>
        <color theme="8" tint="-0.499984740745262"/>
        <rFont val="ＭＳ Ｐゴシック"/>
        <family val="3"/>
        <charset val="128"/>
      </rPr>
      <t>■</t>
    </r>
    <r>
      <rPr>
        <sz val="10"/>
        <color theme="8" tint="-0.499984740745262"/>
        <rFont val="Arial"/>
        <family val="2"/>
      </rPr>
      <t xml:space="preserve"> </t>
    </r>
    <r>
      <rPr>
        <sz val="10"/>
        <color theme="8" tint="-0.499984740745262"/>
        <rFont val="ＭＳ Ｐゴシック"/>
        <family val="3"/>
        <charset val="128"/>
      </rPr>
      <t>専用部の階</t>
    </r>
    <rPh sb="2" eb="4">
      <t>ｾﾝﾖｳ</t>
    </rPh>
    <rPh sb="4" eb="5">
      <t>ﾌﾞ</t>
    </rPh>
    <rPh sb="6" eb="7">
      <t>ｶｲ</t>
    </rPh>
    <phoneticPr fontId="39" type="noConversion"/>
  </si>
  <si>
    <r>
      <rPr>
        <sz val="10"/>
        <rFont val="ＭＳ Ｐゴシック"/>
        <family val="3"/>
        <charset val="128"/>
      </rPr>
      <t>■</t>
    </r>
    <r>
      <rPr>
        <sz val="10"/>
        <rFont val="Arial"/>
        <family val="2"/>
      </rPr>
      <t xml:space="preserve"> </t>
    </r>
    <r>
      <rPr>
        <sz val="10"/>
        <rFont val="ＭＳ Ｐゴシック"/>
        <family val="3"/>
        <charset val="128"/>
      </rPr>
      <t>平均居住人員</t>
    </r>
    <rPh sb="2" eb="4">
      <t>ﾍｲｷﾝ</t>
    </rPh>
    <rPh sb="4" eb="6">
      <t>ｷｮｼﾞｭｳ</t>
    </rPh>
    <rPh sb="6" eb="8">
      <t>ｼﾞﾝｲﾝ</t>
    </rPh>
    <phoneticPr fontId="39" type="noConversion"/>
  </si>
  <si>
    <r>
      <rPr>
        <sz val="10"/>
        <rFont val="ＭＳ Ｐゴシック"/>
        <family val="3"/>
        <charset val="128"/>
      </rPr>
      <t>■</t>
    </r>
    <r>
      <rPr>
        <sz val="10"/>
        <rFont val="Arial"/>
        <family val="2"/>
      </rPr>
      <t xml:space="preserve"> </t>
    </r>
    <r>
      <rPr>
        <sz val="10"/>
        <rFont val="ＭＳ Ｐゴシック"/>
        <family val="3"/>
        <charset val="128"/>
      </rPr>
      <t>年間使用時間</t>
    </r>
    <rPh sb="2" eb="4">
      <t>ﾈﾝｶﾝ</t>
    </rPh>
    <rPh sb="4" eb="6">
      <t>ｼﾖｳ</t>
    </rPh>
    <rPh sb="6" eb="8">
      <t>ｼﾞｶﾝ</t>
    </rPh>
    <phoneticPr fontId="39" type="noConversion"/>
  </si>
  <si>
    <r>
      <rPr>
        <sz val="10"/>
        <color indexed="10"/>
        <rFont val="ＭＳ Ｐゴシック"/>
        <family val="3"/>
        <charset val="128"/>
      </rPr>
      <t>■</t>
    </r>
    <r>
      <rPr>
        <sz val="10"/>
        <color indexed="10"/>
        <rFont val="Arial"/>
        <family val="2"/>
      </rPr>
      <t xml:space="preserve"> </t>
    </r>
    <r>
      <rPr>
        <sz val="10"/>
        <color indexed="10"/>
        <rFont val="ＭＳ Ｐゴシック"/>
        <family val="3"/>
        <charset val="128"/>
      </rPr>
      <t>日平均使用時間</t>
    </r>
    <rPh sb="2" eb="3">
      <t>ﾋ</t>
    </rPh>
    <rPh sb="3" eb="5">
      <t>ﾍｲｷﾝ</t>
    </rPh>
    <rPh sb="5" eb="7">
      <t>ｼﾖｳ</t>
    </rPh>
    <rPh sb="7" eb="9">
      <t>ｼﾞｶﾝ</t>
    </rPh>
    <phoneticPr fontId="39" type="noConversion"/>
  </si>
  <si>
    <r>
      <rPr>
        <b/>
        <sz val="10"/>
        <color indexed="9"/>
        <rFont val="ＭＳ Ｐゴシック"/>
        <family val="3"/>
        <charset val="128"/>
      </rPr>
      <t>②</t>
    </r>
    <r>
      <rPr>
        <b/>
        <sz val="10"/>
        <color indexed="9"/>
        <rFont val="Arial"/>
        <family val="2"/>
      </rPr>
      <t xml:space="preserve"> </t>
    </r>
    <r>
      <rPr>
        <b/>
        <sz val="10"/>
        <color indexed="9"/>
        <rFont val="ＭＳ Ｐゴシック"/>
        <family val="3"/>
        <charset val="128"/>
      </rPr>
      <t>評価の実施</t>
    </r>
    <rPh sb="2" eb="4">
      <t>ヒョウカ</t>
    </rPh>
    <rPh sb="5" eb="7">
      <t>ジッシ</t>
    </rPh>
    <phoneticPr fontId="27"/>
  </si>
  <si>
    <r>
      <rPr>
        <sz val="10"/>
        <rFont val="ＭＳ Ｐゴシック"/>
        <family val="3"/>
        <charset val="128"/>
      </rPr>
      <t>■</t>
    </r>
    <r>
      <rPr>
        <sz val="10"/>
        <rFont val="Arial"/>
        <family val="2"/>
      </rPr>
      <t xml:space="preserve"> </t>
    </r>
    <r>
      <rPr>
        <sz val="10"/>
        <rFont val="ＭＳ Ｐゴシック"/>
        <family val="3"/>
        <charset val="128"/>
      </rPr>
      <t>評価の実施</t>
    </r>
    <rPh sb="2" eb="4">
      <t>ヒョウカ</t>
    </rPh>
    <rPh sb="5" eb="7">
      <t>ジッシ</t>
    </rPh>
    <phoneticPr fontId="27"/>
  </si>
  <si>
    <r>
      <rPr>
        <sz val="10"/>
        <rFont val="ＭＳ Ｐゴシック"/>
        <family val="3"/>
        <charset val="128"/>
      </rPr>
      <t>■</t>
    </r>
    <r>
      <rPr>
        <sz val="10"/>
        <rFont val="Arial"/>
        <family val="2"/>
      </rPr>
      <t xml:space="preserve"> </t>
    </r>
    <r>
      <rPr>
        <sz val="10"/>
        <rFont val="ＭＳ Ｐゴシック"/>
        <family val="3"/>
        <charset val="128"/>
      </rPr>
      <t>作成者</t>
    </r>
    <rPh sb="2" eb="5">
      <t>サクセイシャ</t>
    </rPh>
    <phoneticPr fontId="27"/>
  </si>
  <si>
    <r>
      <rPr>
        <sz val="10"/>
        <rFont val="ＭＳ Ｐゴシック"/>
        <family val="3"/>
        <charset val="128"/>
      </rPr>
      <t>■</t>
    </r>
    <r>
      <rPr>
        <sz val="10"/>
        <rFont val="Arial"/>
        <family val="2"/>
      </rPr>
      <t xml:space="preserve"> </t>
    </r>
    <r>
      <rPr>
        <sz val="10"/>
        <rFont val="ＭＳ Ｐゴシック"/>
        <family val="3"/>
        <charset val="128"/>
      </rPr>
      <t>確認日</t>
    </r>
    <rPh sb="2" eb="4">
      <t>カクニン</t>
    </rPh>
    <rPh sb="4" eb="5">
      <t>ビ</t>
    </rPh>
    <phoneticPr fontId="27"/>
  </si>
  <si>
    <r>
      <rPr>
        <sz val="10"/>
        <rFont val="ＭＳ Ｐゴシック"/>
        <family val="3"/>
        <charset val="128"/>
      </rPr>
      <t>■</t>
    </r>
    <r>
      <rPr>
        <sz val="10"/>
        <rFont val="Arial"/>
        <family val="2"/>
      </rPr>
      <t xml:space="preserve"> </t>
    </r>
    <r>
      <rPr>
        <sz val="10"/>
        <rFont val="ＭＳ Ｐゴシック"/>
        <family val="3"/>
        <charset val="128"/>
      </rPr>
      <t>確認者</t>
    </r>
    <rPh sb="2" eb="4">
      <t>カクニン</t>
    </rPh>
    <rPh sb="4" eb="5">
      <t>シャ</t>
    </rPh>
    <phoneticPr fontId="27"/>
  </si>
  <si>
    <r>
      <rPr>
        <sz val="10"/>
        <rFont val="ＭＳ Ｐゴシック"/>
        <family val="3"/>
        <charset val="128"/>
      </rPr>
      <t>■</t>
    </r>
    <r>
      <rPr>
        <sz val="10"/>
        <rFont val="Arial"/>
        <family val="2"/>
      </rPr>
      <t>LCCO2</t>
    </r>
    <r>
      <rPr>
        <sz val="10"/>
        <rFont val="ＭＳ Ｐゴシック"/>
        <family val="3"/>
        <charset val="128"/>
      </rPr>
      <t>の計算</t>
    </r>
    <rPh sb="7" eb="9">
      <t>ケイサン</t>
    </rPh>
    <phoneticPr fontId="27"/>
  </si>
  <si>
    <r>
      <rPr>
        <b/>
        <sz val="9"/>
        <rFont val="ＭＳ Ｐゴシック"/>
        <family val="3"/>
        <charset val="128"/>
      </rPr>
      <t>バージョン</t>
    </r>
    <phoneticPr fontId="27"/>
  </si>
  <si>
    <r>
      <t>2016</t>
    </r>
    <r>
      <rPr>
        <sz val="10"/>
        <rFont val="ＭＳ Ｐゴシック"/>
        <family val="3"/>
        <charset val="128"/>
      </rPr>
      <t>年６月～８月</t>
    </r>
    <rPh sb="4" eb="5">
      <t>ネン</t>
    </rPh>
    <rPh sb="6" eb="7">
      <t>ガツ</t>
    </rPh>
    <rPh sb="9" eb="10">
      <t>ガツ</t>
    </rPh>
    <phoneticPr fontId="27"/>
  </si>
  <si>
    <r>
      <rPr>
        <sz val="9"/>
        <rFont val="ＭＳ Ｐゴシック"/>
        <family val="3"/>
        <charset val="128"/>
      </rPr>
      <t>㎡</t>
    </r>
    <phoneticPr fontId="27"/>
  </si>
  <si>
    <r>
      <rPr>
        <sz val="10"/>
        <rFont val="ＭＳ Ｐゴシック"/>
        <family val="3"/>
        <charset val="128"/>
      </rPr>
      <t>○○サービス</t>
    </r>
    <phoneticPr fontId="27"/>
  </si>
  <si>
    <r>
      <rPr>
        <sz val="9"/>
        <rFont val="ＭＳ Ｐゴシック"/>
        <family val="3"/>
        <charset val="128"/>
      </rPr>
      <t>㎡</t>
    </r>
    <phoneticPr fontId="27"/>
  </si>
  <si>
    <r>
      <rPr>
        <sz val="10"/>
        <rFont val="ＭＳ Ｐゴシック"/>
        <family val="3"/>
        <charset val="128"/>
      </rPr>
      <t>○○○</t>
    </r>
    <phoneticPr fontId="27"/>
  </si>
  <si>
    <r>
      <t xml:space="preserve">2) </t>
    </r>
    <r>
      <rPr>
        <b/>
        <sz val="11"/>
        <color indexed="17"/>
        <rFont val="ＭＳ Ｐゴシック"/>
        <family val="3"/>
        <charset val="128"/>
      </rPr>
      <t>個別用途入力</t>
    </r>
    <rPh sb="3" eb="5">
      <t>コベツ</t>
    </rPh>
    <rPh sb="5" eb="7">
      <t>ヨウト</t>
    </rPh>
    <rPh sb="7" eb="9">
      <t>ニュウリョク</t>
    </rPh>
    <phoneticPr fontId="27"/>
  </si>
  <si>
    <r>
      <rPr>
        <b/>
        <sz val="10"/>
        <color indexed="9"/>
        <rFont val="ＭＳ Ｐゴシック"/>
        <family val="3"/>
        <charset val="128"/>
      </rPr>
      <t>①用途別延床面積　　</t>
    </r>
    <rPh sb="1" eb="3">
      <t>ヨウト</t>
    </rPh>
    <rPh sb="3" eb="4">
      <t>ベツ</t>
    </rPh>
    <rPh sb="4" eb="5">
      <t>ノ</t>
    </rPh>
    <rPh sb="5" eb="6">
      <t>ユカ</t>
    </rPh>
    <rPh sb="6" eb="8">
      <t>メンセキ</t>
    </rPh>
    <phoneticPr fontId="27"/>
  </si>
  <si>
    <r>
      <t xml:space="preserve"> </t>
    </r>
    <r>
      <rPr>
        <sz val="10"/>
        <rFont val="ＭＳ Ｐゴシック"/>
        <family val="3"/>
        <charset val="128"/>
      </rPr>
      <t>事務所</t>
    </r>
    <phoneticPr fontId="27"/>
  </si>
  <si>
    <r>
      <rPr>
        <sz val="9"/>
        <rFont val="ＭＳ Ｐゴシック"/>
        <family val="3"/>
        <charset val="128"/>
      </rPr>
      <t>㎡</t>
    </r>
    <r>
      <rPr>
        <sz val="9"/>
        <rFont val="Arial"/>
        <family val="2"/>
      </rPr>
      <t xml:space="preserve">                  </t>
    </r>
    <r>
      <rPr>
        <sz val="9"/>
        <rFont val="ＭＳ Ｐゴシック"/>
        <family val="3"/>
        <charset val="128"/>
      </rPr>
      <t>事務所</t>
    </r>
    <phoneticPr fontId="27"/>
  </si>
  <si>
    <r>
      <rPr>
        <sz val="9"/>
        <rFont val="ＭＳ Ｐゴシック"/>
        <family val="3"/>
        <charset val="128"/>
      </rPr>
      <t>官公庁</t>
    </r>
    <phoneticPr fontId="27"/>
  </si>
  <si>
    <r>
      <t xml:space="preserve"> </t>
    </r>
    <r>
      <rPr>
        <sz val="10"/>
        <rFont val="ＭＳ Ｐゴシック"/>
        <family val="3"/>
        <charset val="128"/>
      </rPr>
      <t>学校</t>
    </r>
  </si>
  <si>
    <r>
      <rPr>
        <sz val="9"/>
        <rFont val="ＭＳ Ｐゴシック"/>
        <family val="3"/>
        <charset val="128"/>
      </rPr>
      <t>㎡</t>
    </r>
    <r>
      <rPr>
        <sz val="9"/>
        <rFont val="Arial"/>
        <family val="2"/>
      </rPr>
      <t xml:space="preserve">       </t>
    </r>
    <r>
      <rPr>
        <sz val="9"/>
        <rFont val="ＭＳ Ｐゴシック"/>
        <family val="3"/>
        <charset val="128"/>
      </rPr>
      <t>幼稚園・保育園</t>
    </r>
    <phoneticPr fontId="27"/>
  </si>
  <si>
    <r>
      <rPr>
        <sz val="9"/>
        <rFont val="ＭＳ Ｐゴシック"/>
        <family val="3"/>
        <charset val="128"/>
      </rPr>
      <t>㎡</t>
    </r>
    <phoneticPr fontId="27"/>
  </si>
  <si>
    <r>
      <t xml:space="preserve">                     </t>
    </r>
    <r>
      <rPr>
        <sz val="9"/>
        <rFont val="ＭＳ Ｐゴシック"/>
        <family val="3"/>
        <charset val="128"/>
      </rPr>
      <t>高校</t>
    </r>
    <phoneticPr fontId="27"/>
  </si>
  <si>
    <r>
      <t xml:space="preserve">         </t>
    </r>
    <r>
      <rPr>
        <sz val="9"/>
        <rFont val="ＭＳ Ｐゴシック"/>
        <family val="3"/>
        <charset val="128"/>
      </rPr>
      <t>大学・専門学校</t>
    </r>
    <phoneticPr fontId="27"/>
  </si>
  <si>
    <r>
      <t xml:space="preserve"> </t>
    </r>
    <r>
      <rPr>
        <sz val="10"/>
        <rFont val="ＭＳ Ｐゴシック"/>
        <family val="3"/>
        <charset val="128"/>
      </rPr>
      <t>物販店</t>
    </r>
  </si>
  <si>
    <r>
      <rPr>
        <sz val="9"/>
        <rFont val="ＭＳ Ｐゴシック"/>
        <family val="3"/>
        <charset val="128"/>
      </rPr>
      <t>㎡</t>
    </r>
    <r>
      <rPr>
        <sz val="9"/>
        <rFont val="Arial"/>
        <family val="2"/>
      </rPr>
      <t xml:space="preserve">   </t>
    </r>
    <r>
      <rPr>
        <sz val="9"/>
        <rFont val="ＭＳ Ｐゴシック"/>
        <family val="3"/>
        <charset val="128"/>
      </rPr>
      <t>デパート・スーパー</t>
    </r>
    <phoneticPr fontId="27"/>
  </si>
  <si>
    <r>
      <rPr>
        <sz val="9"/>
        <rFont val="ＭＳ Ｐゴシック"/>
        <family val="3"/>
        <charset val="128"/>
      </rPr>
      <t>その他物販</t>
    </r>
    <phoneticPr fontId="27"/>
  </si>
  <si>
    <r>
      <t xml:space="preserve"> </t>
    </r>
    <r>
      <rPr>
        <sz val="10"/>
        <rFont val="ＭＳ Ｐゴシック"/>
        <family val="3"/>
        <charset val="128"/>
      </rPr>
      <t>飲食店</t>
    </r>
  </si>
  <si>
    <r>
      <t xml:space="preserve"> </t>
    </r>
    <r>
      <rPr>
        <sz val="10"/>
        <rFont val="ＭＳ Ｐゴシック"/>
        <family val="3"/>
        <charset val="128"/>
      </rPr>
      <t>集会所</t>
    </r>
    <rPh sb="1" eb="3">
      <t>シュウカイ</t>
    </rPh>
    <rPh sb="3" eb="4">
      <t>ジョ</t>
    </rPh>
    <phoneticPr fontId="27"/>
  </si>
  <si>
    <r>
      <rPr>
        <sz val="9"/>
        <rFont val="ＭＳ Ｐゴシック"/>
        <family val="3"/>
        <charset val="128"/>
      </rPr>
      <t>㎡</t>
    </r>
    <r>
      <rPr>
        <sz val="9"/>
        <rFont val="Arial"/>
        <family val="2"/>
      </rPr>
      <t xml:space="preserve">          </t>
    </r>
    <r>
      <rPr>
        <sz val="9"/>
        <rFont val="ＭＳ Ｐゴシック"/>
        <family val="3"/>
        <charset val="128"/>
      </rPr>
      <t>劇場・ホール</t>
    </r>
    <phoneticPr fontId="27"/>
  </si>
  <si>
    <r>
      <rPr>
        <sz val="9"/>
        <rFont val="ＭＳ Ｐゴシック"/>
        <family val="3"/>
        <charset val="128"/>
      </rPr>
      <t>展示施設</t>
    </r>
    <phoneticPr fontId="27"/>
  </si>
  <si>
    <r>
      <rPr>
        <sz val="9"/>
        <rFont val="ＭＳ Ｐゴシック"/>
        <family val="3"/>
        <charset val="128"/>
      </rPr>
      <t>スポーツ施設</t>
    </r>
    <phoneticPr fontId="27"/>
  </si>
  <si>
    <r>
      <t xml:space="preserve"> </t>
    </r>
    <r>
      <rPr>
        <sz val="10"/>
        <rFont val="ＭＳ Ｐゴシック"/>
        <family val="3"/>
        <charset val="128"/>
      </rPr>
      <t>工場</t>
    </r>
    <rPh sb="1" eb="3">
      <t>コウジョウ</t>
    </rPh>
    <phoneticPr fontId="27"/>
  </si>
  <si>
    <r>
      <t xml:space="preserve"> </t>
    </r>
    <r>
      <rPr>
        <sz val="10"/>
        <rFont val="ＭＳ Ｐゴシック"/>
        <family val="3"/>
        <charset val="128"/>
      </rPr>
      <t>病院</t>
    </r>
  </si>
  <si>
    <r>
      <t xml:space="preserve"> </t>
    </r>
    <r>
      <rPr>
        <sz val="10"/>
        <rFont val="ＭＳ Ｐゴシック"/>
        <family val="3"/>
        <charset val="128"/>
      </rPr>
      <t>ホテル</t>
    </r>
  </si>
  <si>
    <r>
      <t xml:space="preserve"> </t>
    </r>
    <r>
      <rPr>
        <sz val="10"/>
        <rFont val="ＭＳ Ｐゴシック"/>
        <family val="3"/>
        <charset val="128"/>
      </rPr>
      <t>非住宅　小計</t>
    </r>
    <rPh sb="1" eb="2">
      <t>ヒ</t>
    </rPh>
    <rPh sb="2" eb="4">
      <t>ジュウタク</t>
    </rPh>
    <rPh sb="5" eb="7">
      <t>ショウケイ</t>
    </rPh>
    <phoneticPr fontId="27"/>
  </si>
  <si>
    <r>
      <t xml:space="preserve"> </t>
    </r>
    <r>
      <rPr>
        <sz val="10"/>
        <rFont val="ＭＳ Ｐゴシック"/>
        <family val="3"/>
        <charset val="128"/>
      </rPr>
      <t>集合住宅</t>
    </r>
  </si>
  <si>
    <r>
      <rPr>
        <sz val="9"/>
        <rFont val="ＭＳ Ｐゴシック"/>
        <family val="3"/>
        <charset val="128"/>
      </rPr>
      <t>㎡</t>
    </r>
    <phoneticPr fontId="27"/>
  </si>
  <si>
    <r>
      <rPr>
        <b/>
        <sz val="10"/>
        <color indexed="9"/>
        <rFont val="ＭＳ Ｐゴシック"/>
        <family val="3"/>
        <charset val="128"/>
      </rPr>
      <t>②</t>
    </r>
    <r>
      <rPr>
        <b/>
        <sz val="10"/>
        <color indexed="9"/>
        <rFont val="Arial"/>
        <family val="2"/>
      </rPr>
      <t xml:space="preserve"> </t>
    </r>
    <r>
      <rPr>
        <b/>
        <sz val="10"/>
        <color indexed="9"/>
        <rFont val="ＭＳ Ｐゴシック"/>
        <family val="3"/>
        <charset val="128"/>
      </rPr>
      <t>住居・宿泊部分の比率</t>
    </r>
    <rPh sb="2" eb="4">
      <t>ジュウキョ</t>
    </rPh>
    <rPh sb="5" eb="7">
      <t>シュクハク</t>
    </rPh>
    <rPh sb="7" eb="9">
      <t>ブブン</t>
    </rPh>
    <rPh sb="10" eb="12">
      <t>ヒリツ</t>
    </rPh>
    <phoneticPr fontId="27"/>
  </si>
  <si>
    <r>
      <rPr>
        <sz val="10"/>
        <rFont val="ＭＳ Ｐゴシック"/>
        <family val="3"/>
        <charset val="128"/>
      </rPr>
      <t>■病院の延床面積のうち、病室部分の床面積の比率</t>
    </r>
    <rPh sb="1" eb="3">
      <t>ビョウイン</t>
    </rPh>
    <rPh sb="4" eb="5">
      <t>ノ</t>
    </rPh>
    <rPh sb="5" eb="8">
      <t>ユカメンセキ</t>
    </rPh>
    <rPh sb="12" eb="14">
      <t>ビョウシツ</t>
    </rPh>
    <rPh sb="14" eb="16">
      <t>ブブン</t>
    </rPh>
    <rPh sb="17" eb="20">
      <t>ユカメンセキ</t>
    </rPh>
    <rPh sb="21" eb="23">
      <t>ヒリツ</t>
    </rPh>
    <phoneticPr fontId="27"/>
  </si>
  <si>
    <r>
      <rPr>
        <sz val="10"/>
        <rFont val="ＭＳ Ｐゴシック"/>
        <family val="3"/>
        <charset val="128"/>
      </rPr>
      <t>■ホテルの延床面積のうち、宿泊部分の床面積の比率</t>
    </r>
    <rPh sb="5" eb="6">
      <t>ノ</t>
    </rPh>
    <rPh sb="6" eb="9">
      <t>ユカメンセキ</t>
    </rPh>
    <rPh sb="13" eb="15">
      <t>シュクハク</t>
    </rPh>
    <rPh sb="15" eb="17">
      <t>ブブン</t>
    </rPh>
    <rPh sb="18" eb="21">
      <t>ユカメンセキ</t>
    </rPh>
    <rPh sb="22" eb="24">
      <t>ヒリツ</t>
    </rPh>
    <phoneticPr fontId="27"/>
  </si>
  <si>
    <r>
      <rPr>
        <sz val="10"/>
        <rFont val="ＭＳ Ｐゴシック"/>
        <family val="3"/>
        <charset val="128"/>
      </rPr>
      <t>■集合住宅の延床面積のうち、住戸部分の床面積の比率</t>
    </r>
    <rPh sb="1" eb="3">
      <t>シュウゴウ</t>
    </rPh>
    <rPh sb="3" eb="5">
      <t>ジュウタク</t>
    </rPh>
    <rPh sb="7" eb="10">
      <t>ユカメンセキ</t>
    </rPh>
    <rPh sb="14" eb="16">
      <t>ジュウコ</t>
    </rPh>
    <rPh sb="16" eb="18">
      <t>ブブン</t>
    </rPh>
    <rPh sb="19" eb="22">
      <t>ユカメンセキ</t>
    </rPh>
    <rPh sb="23" eb="25">
      <t>ヒリツ</t>
    </rPh>
    <phoneticPr fontId="27"/>
  </si>
  <si>
    <r>
      <t>3</t>
    </r>
    <r>
      <rPr>
        <b/>
        <sz val="11"/>
        <color indexed="17"/>
        <rFont val="ＭＳ Ｐゴシック"/>
        <family val="3"/>
        <charset val="128"/>
      </rPr>
      <t>）結果出力</t>
    </r>
    <rPh sb="2" eb="4">
      <t>ケッカ</t>
    </rPh>
    <rPh sb="4" eb="6">
      <t>シュツリョク</t>
    </rPh>
    <phoneticPr fontId="27"/>
  </si>
  <si>
    <r>
      <rPr>
        <b/>
        <sz val="10"/>
        <color indexed="9"/>
        <rFont val="ＭＳ Ｐゴシック"/>
        <family val="3"/>
        <charset val="128"/>
      </rPr>
      <t>スコアシート</t>
    </r>
    <phoneticPr fontId="27"/>
  </si>
  <si>
    <r>
      <rPr>
        <sz val="10"/>
        <color indexed="18"/>
        <rFont val="ＭＳ Ｐゴシック"/>
        <family val="3"/>
        <charset val="128"/>
      </rPr>
      <t>●スコア</t>
    </r>
    <phoneticPr fontId="27"/>
  </si>
  <si>
    <r>
      <rPr>
        <b/>
        <sz val="10"/>
        <color indexed="9"/>
        <rFont val="ＭＳ Ｐゴシック"/>
        <family val="3"/>
        <charset val="128"/>
      </rPr>
      <t>評価結果表示シート</t>
    </r>
    <rPh sb="0" eb="2">
      <t>ヒョウカ</t>
    </rPh>
    <rPh sb="2" eb="4">
      <t>ケッカ</t>
    </rPh>
    <rPh sb="4" eb="6">
      <t>ヒョウジ</t>
    </rPh>
    <phoneticPr fontId="27"/>
  </si>
  <si>
    <r>
      <rPr>
        <sz val="10"/>
        <color indexed="18"/>
        <rFont val="ＭＳ Ｐゴシック"/>
        <family val="3"/>
        <charset val="128"/>
      </rPr>
      <t>●結果　</t>
    </r>
    <rPh sb="1" eb="3">
      <t>ケッカ</t>
    </rPh>
    <phoneticPr fontId="27"/>
  </si>
  <si>
    <r>
      <rPr>
        <sz val="10"/>
        <color indexed="18"/>
        <rFont val="ＭＳ Ｐゴシック"/>
        <family val="3"/>
        <charset val="128"/>
      </rPr>
      <t>●</t>
    </r>
    <r>
      <rPr>
        <sz val="10"/>
        <color indexed="18"/>
        <rFont val="Arial"/>
        <family val="2"/>
      </rPr>
      <t>LCCO2</t>
    </r>
    <r>
      <rPr>
        <sz val="10"/>
        <color indexed="18"/>
        <rFont val="ＭＳ Ｐゴシック"/>
        <family val="3"/>
        <charset val="128"/>
      </rPr>
      <t>計算</t>
    </r>
    <rPh sb="6" eb="8">
      <t>ケイサン</t>
    </rPh>
    <phoneticPr fontId="27"/>
  </si>
  <si>
    <r>
      <t>LCCO2</t>
    </r>
    <r>
      <rPr>
        <b/>
        <sz val="10"/>
        <color indexed="9"/>
        <rFont val="ＭＳ Ｐゴシック"/>
        <family val="3"/>
        <charset val="128"/>
      </rPr>
      <t>算定条件シート</t>
    </r>
    <rPh sb="5" eb="7">
      <t>サンテイ</t>
    </rPh>
    <rPh sb="7" eb="9">
      <t>ジョウケン</t>
    </rPh>
    <phoneticPr fontId="27"/>
  </si>
  <si>
    <r>
      <rPr>
        <sz val="10"/>
        <color indexed="18"/>
        <rFont val="ＭＳ Ｐゴシック"/>
        <family val="3"/>
        <charset val="128"/>
      </rPr>
      <t>●標準計算</t>
    </r>
    <rPh sb="1" eb="3">
      <t>ヒョウジュン</t>
    </rPh>
    <rPh sb="3" eb="5">
      <t>ケイサン</t>
    </rPh>
    <phoneticPr fontId="27"/>
  </si>
  <si>
    <r>
      <rPr>
        <sz val="10"/>
        <color indexed="18"/>
        <rFont val="ＭＳ Ｐゴシック"/>
        <family val="3"/>
        <charset val="128"/>
      </rPr>
      <t>●個別計算</t>
    </r>
    <rPh sb="1" eb="3">
      <t>コベツ</t>
    </rPh>
    <rPh sb="3" eb="5">
      <t>ケイサン</t>
    </rPh>
    <phoneticPr fontId="27"/>
  </si>
  <si>
    <r>
      <rPr>
        <sz val="10"/>
        <rFont val="ＭＳ Ｐゴシック"/>
        <family val="3"/>
        <charset val="128"/>
      </rPr>
      <t>用途名</t>
    </r>
    <rPh sb="0" eb="2">
      <t>ヨウト</t>
    </rPh>
    <rPh sb="2" eb="3">
      <t>メイ</t>
    </rPh>
    <phoneticPr fontId="27"/>
  </si>
  <si>
    <r>
      <t xml:space="preserve"> </t>
    </r>
    <r>
      <rPr>
        <sz val="10"/>
        <rFont val="ＭＳ Ｐゴシック"/>
        <family val="3"/>
        <charset val="128"/>
      </rPr>
      <t>含まれる用途</t>
    </r>
    <rPh sb="1" eb="2">
      <t>フク</t>
    </rPh>
    <rPh sb="5" eb="7">
      <t>ヨウト</t>
    </rPh>
    <phoneticPr fontId="27"/>
  </si>
  <si>
    <r>
      <t xml:space="preserve"> </t>
    </r>
    <r>
      <rPr>
        <sz val="10"/>
        <rFont val="ＭＳ Ｐゴシック"/>
        <family val="3"/>
        <charset val="128"/>
      </rPr>
      <t>事務所</t>
    </r>
  </si>
  <si>
    <r>
      <t xml:space="preserve"> </t>
    </r>
    <r>
      <rPr>
        <sz val="10"/>
        <rFont val="ＭＳ Ｐゴシック"/>
        <family val="3"/>
        <charset val="128"/>
      </rPr>
      <t>事務所、庁舎、郵便局</t>
    </r>
    <r>
      <rPr>
        <sz val="10"/>
        <rFont val="Arial"/>
        <family val="2"/>
      </rPr>
      <t xml:space="preserve"> </t>
    </r>
    <r>
      <rPr>
        <sz val="10"/>
        <rFont val="ＭＳ Ｐゴシック"/>
        <family val="3"/>
        <charset val="128"/>
      </rPr>
      <t>など</t>
    </r>
    <rPh sb="1" eb="3">
      <t>ジム</t>
    </rPh>
    <rPh sb="3" eb="4">
      <t>ショ</t>
    </rPh>
    <rPh sb="5" eb="7">
      <t>チョウシャ</t>
    </rPh>
    <rPh sb="8" eb="11">
      <t>ユウビンキョク</t>
    </rPh>
    <phoneticPr fontId="27"/>
  </si>
  <si>
    <r>
      <t xml:space="preserve"> </t>
    </r>
    <r>
      <rPr>
        <sz val="10"/>
        <rFont val="ＭＳ Ｐゴシック"/>
        <family val="3"/>
        <charset val="128"/>
      </rPr>
      <t>小学校、中学校、高等学校、大学、高等専門学校、専修学校、各種学校</t>
    </r>
    <r>
      <rPr>
        <sz val="10"/>
        <rFont val="Arial"/>
        <family val="2"/>
      </rPr>
      <t xml:space="preserve"> </t>
    </r>
    <r>
      <rPr>
        <sz val="10"/>
        <rFont val="ＭＳ Ｐゴシック"/>
        <family val="3"/>
        <charset val="128"/>
      </rPr>
      <t>など</t>
    </r>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7"/>
  </si>
  <si>
    <r>
      <t xml:space="preserve"> </t>
    </r>
    <r>
      <rPr>
        <sz val="10"/>
        <rFont val="ＭＳ Ｐゴシック"/>
        <family val="3"/>
        <charset val="128"/>
      </rPr>
      <t>百貨店、マーケット</t>
    </r>
    <r>
      <rPr>
        <sz val="10"/>
        <rFont val="Arial"/>
        <family val="2"/>
      </rPr>
      <t xml:space="preserve"> </t>
    </r>
    <r>
      <rPr>
        <sz val="10"/>
        <rFont val="ＭＳ Ｐゴシック"/>
        <family val="3"/>
        <charset val="128"/>
      </rPr>
      <t>など</t>
    </r>
    <rPh sb="1" eb="4">
      <t>ヒャッカテン</t>
    </rPh>
    <phoneticPr fontId="27"/>
  </si>
  <si>
    <r>
      <t xml:space="preserve"> </t>
    </r>
    <r>
      <rPr>
        <sz val="10"/>
        <rFont val="ＭＳ Ｐゴシック"/>
        <family val="3"/>
        <charset val="128"/>
      </rPr>
      <t>飲食店、食堂、喫茶店</t>
    </r>
    <r>
      <rPr>
        <sz val="10"/>
        <rFont val="Arial"/>
        <family val="2"/>
      </rPr>
      <t xml:space="preserve"> </t>
    </r>
    <r>
      <rPr>
        <sz val="10"/>
        <rFont val="ＭＳ Ｐゴシック"/>
        <family val="3"/>
        <charset val="128"/>
      </rPr>
      <t>など</t>
    </r>
    <rPh sb="1" eb="3">
      <t>インショク</t>
    </rPh>
    <rPh sb="3" eb="4">
      <t>テン</t>
    </rPh>
    <rPh sb="5" eb="7">
      <t>ショクドウ</t>
    </rPh>
    <rPh sb="8" eb="11">
      <t>キッサテン</t>
    </rPh>
    <phoneticPr fontId="27"/>
  </si>
  <si>
    <r>
      <t xml:space="preserve"> </t>
    </r>
    <r>
      <rPr>
        <sz val="9"/>
        <rFont val="ＭＳ Ｐゴシック"/>
        <family val="3"/>
        <charset val="128"/>
      </rPr>
      <t>公会堂、集会場、図書館、博物館、ボーリング場、体育館、劇場、映画館、展示施設</t>
    </r>
    <r>
      <rPr>
        <sz val="9"/>
        <rFont val="Arial"/>
        <family val="2"/>
      </rPr>
      <t xml:space="preserve"> </t>
    </r>
    <r>
      <rPr>
        <sz val="9"/>
        <rFont val="ＭＳ Ｐゴシック"/>
        <family val="3"/>
        <charset val="128"/>
      </rPr>
      <t>など</t>
    </r>
    <rPh sb="1" eb="4">
      <t>コウカイドウ</t>
    </rPh>
    <rPh sb="5" eb="8">
      <t>シュウカイジョウ</t>
    </rPh>
    <rPh sb="22" eb="23">
      <t>ジョウ</t>
    </rPh>
    <rPh sb="24" eb="27">
      <t>タイイクカン</t>
    </rPh>
    <rPh sb="28" eb="30">
      <t>ゲキジョウ</t>
    </rPh>
    <rPh sb="31" eb="34">
      <t>エイガカン</t>
    </rPh>
    <rPh sb="35" eb="37">
      <t>テンジ</t>
    </rPh>
    <rPh sb="37" eb="39">
      <t>シセツ</t>
    </rPh>
    <phoneticPr fontId="27"/>
  </si>
  <si>
    <r>
      <t xml:space="preserve"> </t>
    </r>
    <r>
      <rPr>
        <sz val="10"/>
        <rFont val="ＭＳ Ｐゴシック"/>
        <family val="3"/>
        <charset val="128"/>
      </rPr>
      <t>工場、車庫、倉庫、観覧場、卸売市場</t>
    </r>
    <r>
      <rPr>
        <sz val="10"/>
        <rFont val="Arial"/>
        <family val="2"/>
      </rPr>
      <t xml:space="preserve"> </t>
    </r>
    <r>
      <rPr>
        <sz val="10"/>
        <rFont val="ＭＳ Ｐゴシック"/>
        <family val="3"/>
        <charset val="128"/>
      </rPr>
      <t>、電算室など</t>
    </r>
    <rPh sb="1" eb="3">
      <t>コウジョウ</t>
    </rPh>
    <rPh sb="4" eb="6">
      <t>シャコ</t>
    </rPh>
    <rPh sb="7" eb="9">
      <t>ソウコ</t>
    </rPh>
    <rPh sb="10" eb="12">
      <t>カンラン</t>
    </rPh>
    <rPh sb="12" eb="13">
      <t>バ</t>
    </rPh>
    <rPh sb="14" eb="16">
      <t>オロシウリ</t>
    </rPh>
    <rPh sb="16" eb="18">
      <t>シジョウ</t>
    </rPh>
    <rPh sb="20" eb="23">
      <t>デンサンシツ</t>
    </rPh>
    <phoneticPr fontId="27"/>
  </si>
  <si>
    <r>
      <t xml:space="preserve"> </t>
    </r>
    <r>
      <rPr>
        <sz val="10"/>
        <rFont val="ＭＳ Ｐゴシック"/>
        <family val="3"/>
        <charset val="128"/>
      </rPr>
      <t>病院、老人ホーム、身体障害者福祉ホームなど</t>
    </r>
    <rPh sb="1" eb="3">
      <t>ビョウイン</t>
    </rPh>
    <rPh sb="4" eb="6">
      <t>ロウジン</t>
    </rPh>
    <rPh sb="10" eb="12">
      <t>シンタイ</t>
    </rPh>
    <rPh sb="12" eb="15">
      <t>ショウガイシャ</t>
    </rPh>
    <rPh sb="15" eb="17">
      <t>フクシ</t>
    </rPh>
    <phoneticPr fontId="27"/>
  </si>
  <si>
    <r>
      <t xml:space="preserve"> </t>
    </r>
    <r>
      <rPr>
        <sz val="10"/>
        <rFont val="ＭＳ Ｐゴシック"/>
        <family val="3"/>
        <charset val="128"/>
      </rPr>
      <t>ホテル、旅館など</t>
    </r>
    <rPh sb="5" eb="7">
      <t>リョカン</t>
    </rPh>
    <phoneticPr fontId="27"/>
  </si>
  <si>
    <r>
      <t xml:space="preserve"> </t>
    </r>
    <r>
      <rPr>
        <sz val="10"/>
        <rFont val="ＭＳ Ｐゴシック"/>
        <family val="3"/>
        <charset val="128"/>
      </rPr>
      <t>集合住宅（戸建は対象外）</t>
    </r>
    <phoneticPr fontId="27"/>
  </si>
  <si>
    <t>※加点の場合は各項目の具体的な取組みを記入。</t>
    <rPh sb="19" eb="21">
      <t>キニュウ</t>
    </rPh>
    <phoneticPr fontId="27"/>
  </si>
  <si>
    <t>※レベル５は、ここに景観賞等を記入。加点の場合は各項目の具体的な取組みを記入。</t>
    <rPh sb="10" eb="12">
      <t>ケイカン</t>
    </rPh>
    <rPh sb="12" eb="13">
      <t>ショウ</t>
    </rPh>
    <rPh sb="13" eb="14">
      <t>トウ</t>
    </rPh>
    <rPh sb="15" eb="17">
      <t>キニュウ</t>
    </rPh>
    <rPh sb="36" eb="38">
      <t>キニュウ</t>
    </rPh>
    <phoneticPr fontId="27"/>
  </si>
  <si>
    <t>色欄について、プルダウンメニューから選択、または数値・コメント※を記入。</t>
    <rPh sb="0" eb="1">
      <t>イロ</t>
    </rPh>
    <rPh sb="1" eb="2">
      <t>ラン</t>
    </rPh>
    <rPh sb="18" eb="20">
      <t>センタク</t>
    </rPh>
    <rPh sb="24" eb="26">
      <t>スウチ</t>
    </rPh>
    <rPh sb="33" eb="35">
      <t>キニュウ</t>
    </rPh>
    <phoneticPr fontId="27"/>
  </si>
  <si>
    <t>具体的な取組み内容を環境配慮概要に要記述</t>
    <rPh sb="0" eb="3">
      <t>グタイテキ</t>
    </rPh>
    <rPh sb="4" eb="6">
      <t>トリク</t>
    </rPh>
    <rPh sb="7" eb="9">
      <t>ナイヨウ</t>
    </rPh>
    <rPh sb="10" eb="12">
      <t>カンキョウ</t>
    </rPh>
    <rPh sb="12" eb="14">
      <t>ハイリョ</t>
    </rPh>
    <rPh sb="14" eb="16">
      <t>ガイヨウ</t>
    </rPh>
    <rPh sb="17" eb="18">
      <t>ヨウ</t>
    </rPh>
    <rPh sb="18" eb="20">
      <t>キジュツ</t>
    </rPh>
    <phoneticPr fontId="27"/>
  </si>
  <si>
    <t>具体的な取組み内容を環境配慮概要に要記述</t>
    <phoneticPr fontId="27"/>
  </si>
  <si>
    <t>※日影規制が無い場合ここに記述</t>
  </si>
  <si>
    <t>レベル４に加え、シミュレーションの実施等により大幅な低減効果を確認するなど、より高度な取組みを行っている。</t>
    <phoneticPr fontId="27"/>
  </si>
  <si>
    <t>基準高さHb(m)</t>
    <rPh sb="0" eb="2">
      <t>キジュン</t>
    </rPh>
    <rPh sb="2" eb="3">
      <t>タカ</t>
    </rPh>
    <phoneticPr fontId="27"/>
  </si>
  <si>
    <t>卓越風向と直交する最大敷地幅Ws(m)</t>
    <rPh sb="0" eb="2">
      <t>タクエツ</t>
    </rPh>
    <rPh sb="2" eb="3">
      <t>フウ</t>
    </rPh>
    <rPh sb="3" eb="4">
      <t>コウ</t>
    </rPh>
    <rPh sb="5" eb="7">
      <t>チョッコウ</t>
    </rPh>
    <rPh sb="9" eb="11">
      <t>サイダイ</t>
    </rPh>
    <rPh sb="11" eb="13">
      <t>シキチ</t>
    </rPh>
    <rPh sb="13" eb="14">
      <t>ハバ</t>
    </rPh>
    <phoneticPr fontId="27"/>
  </si>
  <si>
    <t>見付面積Sb(m2)</t>
    <rPh sb="0" eb="2">
      <t>ミツ</t>
    </rPh>
    <rPh sb="2" eb="4">
      <t>メンセキ</t>
    </rPh>
    <phoneticPr fontId="27"/>
  </si>
  <si>
    <t>執務スペース(m2/人)</t>
    <rPh sb="0" eb="2">
      <t>シツム</t>
    </rPh>
    <rPh sb="10" eb="11">
      <t>ニン</t>
    </rPh>
    <phoneticPr fontId="27"/>
  </si>
  <si>
    <t>病床(m2/床)</t>
    <rPh sb="0" eb="2">
      <t>ビョウショウ</t>
    </rPh>
    <rPh sb="6" eb="7">
      <t>ユカ</t>
    </rPh>
    <phoneticPr fontId="27"/>
  </si>
  <si>
    <t>シングル(m2)</t>
    <phoneticPr fontId="27"/>
  </si>
  <si>
    <t>ツイン(m2)</t>
    <phoneticPr fontId="27"/>
  </si>
  <si>
    <t>天井高(m)</t>
    <rPh sb="0" eb="2">
      <t>テンジョウ</t>
    </rPh>
    <rPh sb="2" eb="3">
      <t>タカ</t>
    </rPh>
    <phoneticPr fontId="27"/>
  </si>
  <si>
    <r>
      <t xml:space="preserve">1.2.1 </t>
    </r>
    <r>
      <rPr>
        <b/>
        <sz val="10"/>
        <rFont val="ＭＳ Ｐゴシック"/>
        <family val="3"/>
        <charset val="128"/>
      </rPr>
      <t>広さ感・景観</t>
    </r>
    <phoneticPr fontId="27"/>
  </si>
  <si>
    <r>
      <t xml:space="preserve">1.2.2 </t>
    </r>
    <r>
      <rPr>
        <b/>
        <sz val="10"/>
        <rFont val="ＭＳ Ｐゴシック"/>
        <family val="3"/>
        <charset val="128"/>
      </rPr>
      <t>リフレッシュスペース</t>
    </r>
    <phoneticPr fontId="27"/>
  </si>
  <si>
    <r>
      <t xml:space="preserve">2.2.2 </t>
    </r>
    <r>
      <rPr>
        <b/>
        <sz val="10"/>
        <rFont val="ＭＳ Ｐゴシック"/>
        <family val="3"/>
        <charset val="128"/>
      </rPr>
      <t>外壁仕上げ材の補修必要間隔</t>
    </r>
    <phoneticPr fontId="27"/>
  </si>
  <si>
    <r>
      <t xml:space="preserve">2.2.3 </t>
    </r>
    <r>
      <rPr>
        <b/>
        <sz val="10"/>
        <rFont val="ＭＳ Ｐゴシック"/>
        <family val="3"/>
        <charset val="128"/>
      </rPr>
      <t>主要内装仕上げ材の更新必要間隔</t>
    </r>
    <phoneticPr fontId="27"/>
  </si>
  <si>
    <r>
      <t xml:space="preserve">2.4.5 </t>
    </r>
    <r>
      <rPr>
        <b/>
        <sz val="10"/>
        <rFont val="ＭＳ Ｐゴシック"/>
        <family val="3"/>
        <charset val="128"/>
      </rPr>
      <t>通信・情報設備</t>
    </r>
    <phoneticPr fontId="27"/>
  </si>
  <si>
    <r>
      <t xml:space="preserve">3.1.2 </t>
    </r>
    <r>
      <rPr>
        <b/>
        <sz val="10"/>
        <rFont val="ＭＳ Ｐゴシック"/>
        <family val="3"/>
        <charset val="128"/>
      </rPr>
      <t>空間の形状・自由さ</t>
    </r>
    <phoneticPr fontId="27"/>
  </si>
  <si>
    <r>
      <t xml:space="preserve">3.3.1 </t>
    </r>
    <r>
      <rPr>
        <b/>
        <sz val="10"/>
        <rFont val="ＭＳ Ｐゴシック"/>
        <family val="3"/>
        <charset val="128"/>
      </rPr>
      <t>空調配管の更新性</t>
    </r>
    <phoneticPr fontId="27"/>
  </si>
  <si>
    <t>外周壁の長さ（m）＋耐力壁の長さ（m）</t>
    <phoneticPr fontId="27"/>
  </si>
  <si>
    <t>階高(m)</t>
    <rPh sb="0" eb="2">
      <t>カイダカ</t>
    </rPh>
    <phoneticPr fontId="27"/>
  </si>
  <si>
    <t>床荷重(N/m2)</t>
    <rPh sb="0" eb="1">
      <t>ユカ</t>
    </rPh>
    <rPh sb="1" eb="3">
      <t>カジュウ</t>
    </rPh>
    <phoneticPr fontId="27"/>
  </si>
  <si>
    <t>※主な材料等を記述</t>
    <phoneticPr fontId="27"/>
  </si>
  <si>
    <t>年　※水セメント比やかぶり厚、防錆措置(S造)等記述</t>
    <rPh sb="0" eb="1">
      <t>ネン</t>
    </rPh>
    <rPh sb="3" eb="4">
      <t>ミズ</t>
    </rPh>
    <rPh sb="8" eb="9">
      <t>ヒ</t>
    </rPh>
    <rPh sb="13" eb="14">
      <t>アツ</t>
    </rPh>
    <rPh sb="15" eb="17">
      <t>ボウサビ</t>
    </rPh>
    <rPh sb="17" eb="19">
      <t>ソチ</t>
    </rPh>
    <rPh sb="21" eb="22">
      <t>ヅクリ</t>
    </rPh>
    <rPh sb="23" eb="24">
      <t>トウ</t>
    </rPh>
    <rPh sb="24" eb="26">
      <t>キジュツ</t>
    </rPh>
    <phoneticPr fontId="27"/>
  </si>
  <si>
    <t>①　清掃用資材を保管するスペースを計画している。</t>
    <phoneticPr fontId="27"/>
  </si>
  <si>
    <t>1)　建物の延床面積に対し、十分なスペースの清掃員控え室の設置をしている。</t>
    <rPh sb="3" eb="5">
      <t>タテモノ</t>
    </rPh>
    <phoneticPr fontId="27"/>
  </si>
  <si>
    <t>2)　建物の延床面積に対し、十分なスペースの清掃用具室と管理倉庫の設置をしている。</t>
    <rPh sb="3" eb="5">
      <t>タテモノ</t>
    </rPh>
    <rPh sb="28" eb="30">
      <t>カンリ</t>
    </rPh>
    <rPh sb="30" eb="32">
      <t>ソウコ</t>
    </rPh>
    <phoneticPr fontId="27"/>
  </si>
  <si>
    <t>3)　清掃用具室に洗い場を設置し、安全な排水設備への排水経路を確保している。</t>
    <phoneticPr fontId="27"/>
  </si>
  <si>
    <t>4)　衛生面からモップ、ウェスを洗濯・乾燥させるスペースを計画している。</t>
    <phoneticPr fontId="27"/>
  </si>
  <si>
    <t>5)　廃棄物・リサイクル・粗大ゴミのスペースを建物の延床面積に対し、十分に確保しており、かつ、搬出が容易な計画となっている。</t>
    <rPh sb="23" eb="25">
      <t>タテモノ</t>
    </rPh>
    <phoneticPr fontId="27"/>
  </si>
  <si>
    <t>6)　トイレ毎ないしはフロア毎に清掃用流しを設置している。</t>
    <phoneticPr fontId="27"/>
  </si>
  <si>
    <t>7)　床材に応じた清掃器具を想定し、それに合わせた数量、設置間隔で清掃作業用電源レイアウトの設計をしている。</t>
    <rPh sb="38" eb="40">
      <t>デンゲン</t>
    </rPh>
    <phoneticPr fontId="27"/>
  </si>
  <si>
    <t>8)　外部ガラスや外壁、給排気口、照明など高所の維持管理作業を安全に行える設計をしている。</t>
    <phoneticPr fontId="27"/>
  </si>
  <si>
    <t>9)　清掃時用の適度な照度の設定が可能である。</t>
    <phoneticPr fontId="27"/>
  </si>
  <si>
    <t>10)　バルブ等の日常的に調整が必要な機器は、操作が容易な位置に設定されている。</t>
    <phoneticPr fontId="27"/>
  </si>
  <si>
    <t>12)　専用部以外の諸設備は共用部での維持管理作業が可能となっている。</t>
    <phoneticPr fontId="27"/>
  </si>
  <si>
    <t>13)　上記以外に維持管理用機能の確保を考慮したポイントを明確にし、実施している。</t>
    <phoneticPr fontId="27"/>
  </si>
  <si>
    <t>※確認済みの建材種別を記述</t>
    <phoneticPr fontId="27"/>
  </si>
  <si>
    <t>通風を満たす住戸数の割合</t>
    <rPh sb="0" eb="2">
      <t>ツウフウ</t>
    </rPh>
    <rPh sb="3" eb="4">
      <t>ミ</t>
    </rPh>
    <rPh sb="6" eb="8">
      <t>ジュウコ</t>
    </rPh>
    <rPh sb="8" eb="9">
      <t>スウ</t>
    </rPh>
    <rPh sb="10" eb="12">
      <t>ワリアイ</t>
    </rPh>
    <phoneticPr fontId="27"/>
  </si>
  <si>
    <t>採光を満たす住戸数の割合</t>
    <rPh sb="0" eb="2">
      <t>サイコウ</t>
    </rPh>
    <rPh sb="3" eb="4">
      <t>ミ</t>
    </rPh>
    <rPh sb="6" eb="8">
      <t>ジュウコ</t>
    </rPh>
    <rPh sb="8" eb="9">
      <t>スウ</t>
    </rPh>
    <rPh sb="10" eb="12">
      <t>ワリアイ</t>
    </rPh>
    <phoneticPr fontId="27"/>
  </si>
  <si>
    <t>採光を満たす教室数の割合</t>
    <rPh sb="0" eb="2">
      <t>サイコウ</t>
    </rPh>
    <rPh sb="3" eb="4">
      <t>ミ</t>
    </rPh>
    <rPh sb="6" eb="8">
      <t>キョウシツ</t>
    </rPh>
    <rPh sb="8" eb="9">
      <t>スウ</t>
    </rPh>
    <rPh sb="10" eb="12">
      <t>ワリアイ</t>
    </rPh>
    <phoneticPr fontId="27"/>
  </si>
  <si>
    <t>通風を満たす教室数の割合</t>
    <rPh sb="0" eb="2">
      <t>ツウフウ</t>
    </rPh>
    <rPh sb="3" eb="4">
      <t>ミ</t>
    </rPh>
    <rPh sb="6" eb="8">
      <t>キョウシツ</t>
    </rPh>
    <rPh sb="8" eb="9">
      <t>スウ</t>
    </rPh>
    <rPh sb="10" eb="12">
      <t>ワリアイ</t>
    </rPh>
    <phoneticPr fontId="27"/>
  </si>
  <si>
    <t>※発泡剤不使用の場合は、ここに記述。</t>
    <rPh sb="1" eb="3">
      <t>ハッポウ</t>
    </rPh>
    <rPh sb="3" eb="4">
      <t>ザイ</t>
    </rPh>
    <rPh sb="4" eb="7">
      <t>フシヨウ</t>
    </rPh>
    <rPh sb="8" eb="10">
      <t>バアイ</t>
    </rPh>
    <rPh sb="15" eb="17">
      <t>キジュツ</t>
    </rPh>
    <phoneticPr fontId="27"/>
  </si>
  <si>
    <t>製材</t>
    <rPh sb="0" eb="2">
      <t>セイザイ</t>
    </rPh>
    <phoneticPr fontId="27"/>
  </si>
  <si>
    <t>骨材</t>
    <rPh sb="0" eb="2">
      <t>コツザイ</t>
    </rPh>
    <phoneticPr fontId="27"/>
  </si>
  <si>
    <t>セメント</t>
    <phoneticPr fontId="27"/>
  </si>
  <si>
    <t>資材名</t>
    <rPh sb="0" eb="2">
      <t>シザイ</t>
    </rPh>
    <rPh sb="2" eb="3">
      <t>メイ</t>
    </rPh>
    <phoneticPr fontId="27"/>
  </si>
  <si>
    <t>自治体指定の特定品目等</t>
    <rPh sb="0" eb="3">
      <t>ジチタイ</t>
    </rPh>
    <rPh sb="3" eb="5">
      <t>シテイ</t>
    </rPh>
    <rPh sb="6" eb="8">
      <t>トクテイ</t>
    </rPh>
    <rPh sb="8" eb="10">
      <t>ヒンモク</t>
    </rPh>
    <rPh sb="10" eb="11">
      <t>トウ</t>
    </rPh>
    <phoneticPr fontId="27"/>
  </si>
  <si>
    <t>※採用資材と採用部位を記述</t>
    <rPh sb="1" eb="3">
      <t>サイヨウ</t>
    </rPh>
    <rPh sb="3" eb="5">
      <t>シザイ</t>
    </rPh>
    <rPh sb="6" eb="8">
      <t>サイヨウ</t>
    </rPh>
    <rPh sb="8" eb="10">
      <t>ブイ</t>
    </rPh>
    <rPh sb="11" eb="13">
      <t>キジュツ</t>
    </rPh>
    <phoneticPr fontId="27"/>
  </si>
  <si>
    <t>※取組みの度合いを対策面積率等で記述</t>
    <phoneticPr fontId="27"/>
  </si>
  <si>
    <t>※消火剤種類等を記述</t>
    <rPh sb="1" eb="3">
      <t>ショウカ</t>
    </rPh>
    <rPh sb="3" eb="4">
      <t>ザイ</t>
    </rPh>
    <rPh sb="4" eb="6">
      <t>シュルイ</t>
    </rPh>
    <rPh sb="6" eb="7">
      <t>トウ</t>
    </rPh>
    <phoneticPr fontId="27"/>
  </si>
  <si>
    <t>※冷媒種別等を記述</t>
    <rPh sb="1" eb="3">
      <t>レイバイ</t>
    </rPh>
    <rPh sb="5" eb="6">
      <t>トウ</t>
    </rPh>
    <phoneticPr fontId="27"/>
  </si>
  <si>
    <t>※採用手法を記述</t>
    <rPh sb="1" eb="3">
      <t>サイヨウ</t>
    </rPh>
    <rPh sb="3" eb="5">
      <t>シュホウ</t>
    </rPh>
    <rPh sb="6" eb="8">
      <t>キジュツ</t>
    </rPh>
    <phoneticPr fontId="27"/>
  </si>
  <si>
    <t>その他(環境配慮概要に要記述)</t>
    <rPh sb="2" eb="3">
      <t>ホカ</t>
    </rPh>
    <rPh sb="4" eb="6">
      <t>カンキョウ</t>
    </rPh>
    <rPh sb="6" eb="8">
      <t>ハイリョ</t>
    </rPh>
    <rPh sb="8" eb="10">
      <t>ガイヨウ</t>
    </rPh>
    <rPh sb="11" eb="12">
      <t>ヨウ</t>
    </rPh>
    <rPh sb="12" eb="14">
      <t>キジュツ</t>
    </rPh>
    <phoneticPr fontId="27"/>
  </si>
  <si>
    <t>外皮UA値</t>
    <rPh sb="0" eb="2">
      <t>ガイヒ</t>
    </rPh>
    <rPh sb="4" eb="5">
      <t>チ</t>
    </rPh>
    <phoneticPr fontId="27"/>
  </si>
  <si>
    <t>ηAC</t>
  </si>
  <si>
    <t>ηAC</t>
    <phoneticPr fontId="27"/>
  </si>
  <si>
    <t>ηAH</t>
  </si>
  <si>
    <t>ηAH</t>
    <phoneticPr fontId="27"/>
  </si>
  <si>
    <t>窓の日射熱取得率（η）</t>
    <phoneticPr fontId="27"/>
  </si>
  <si>
    <t>窓システムU値</t>
    <rPh sb="0" eb="1">
      <t>マド</t>
    </rPh>
    <rPh sb="6" eb="7">
      <t>チ</t>
    </rPh>
    <phoneticPr fontId="27"/>
  </si>
  <si>
    <t>住戸部分</t>
    <rPh sb="0" eb="2">
      <t>ジュウコ</t>
    </rPh>
    <rPh sb="2" eb="4">
      <t>ブブン</t>
    </rPh>
    <phoneticPr fontId="27"/>
  </si>
  <si>
    <t>※計算法等を記述。住棟平均UAにより評価する場合は、ここに記述。</t>
    <rPh sb="1" eb="4">
      <t>ケイサンホウ</t>
    </rPh>
    <rPh sb="4" eb="5">
      <t>トウ</t>
    </rPh>
    <rPh sb="6" eb="8">
      <t>キジュツ</t>
    </rPh>
    <phoneticPr fontId="27"/>
  </si>
  <si>
    <t>相当</t>
    <rPh sb="0" eb="2">
      <t>そうとう</t>
    </rPh>
    <phoneticPr fontId="39" type="noConversion"/>
  </si>
  <si>
    <t>断熱等性能等級</t>
    <phoneticPr fontId="39" type="noConversion"/>
  </si>
  <si>
    <t>公共インフラ（広域）</t>
    <rPh sb="0" eb="2">
      <t>コウキョウ</t>
    </rPh>
    <rPh sb="7" eb="9">
      <t>コウイキ</t>
    </rPh>
    <phoneticPr fontId="27"/>
  </si>
  <si>
    <r>
      <t>202</t>
    </r>
    <r>
      <rPr>
        <sz val="10"/>
        <rFont val="ＭＳ Ｐゴシック"/>
        <family val="3"/>
        <charset val="128"/>
      </rPr>
      <t>●年●月●日</t>
    </r>
    <rPh sb="4" eb="5">
      <t>ネン</t>
    </rPh>
    <rPh sb="6" eb="7">
      <t>ガツ</t>
    </rPh>
    <rPh sb="8" eb="9">
      <t>ニチ</t>
    </rPh>
    <phoneticPr fontId="27"/>
  </si>
  <si>
    <t>II　夏期における日陰を形成し、敷地内歩行者空間等の暑熱環境を緩和する</t>
    <phoneticPr fontId="27"/>
  </si>
  <si>
    <t>III　敷地内に緑地や水面等を確保し、敷地内歩行者空間等の暑熱環境を緩和する</t>
    <phoneticPr fontId="27"/>
  </si>
  <si>
    <t>IV　建築外装材料に配慮し、敷地内歩行空間等の暑熱環境を緩和する</t>
    <phoneticPr fontId="27"/>
  </si>
  <si>
    <t>V　建築設備に伴う排熱の位置等に配慮し、敷地内歩行者空間等の暑熱環境を緩和する</t>
    <phoneticPr fontId="27"/>
  </si>
  <si>
    <t>※その他の取組み内容を記述。学・住は建築的工夫と影響範囲を記述（レベル４以上）。</t>
    <rPh sb="3" eb="4">
      <t>タ</t>
    </rPh>
    <rPh sb="5" eb="7">
      <t>トリク</t>
    </rPh>
    <rPh sb="8" eb="10">
      <t>ナイヨウ</t>
    </rPh>
    <rPh sb="11" eb="13">
      <t>キジュツ</t>
    </rPh>
    <rPh sb="14" eb="15">
      <t>ガク</t>
    </rPh>
    <rPh sb="16" eb="17">
      <t>ジュウ</t>
    </rPh>
    <rPh sb="18" eb="21">
      <t>ケンチクテキ</t>
    </rPh>
    <rPh sb="21" eb="23">
      <t>クフウ</t>
    </rPh>
    <rPh sb="24" eb="26">
      <t>エイキョウ</t>
    </rPh>
    <rPh sb="26" eb="28">
      <t>ハンイ</t>
    </rPh>
    <rPh sb="29" eb="31">
      <t>キジュツ</t>
    </rPh>
    <rPh sb="36" eb="38">
      <t>イジョウ</t>
    </rPh>
    <phoneticPr fontId="27"/>
  </si>
  <si>
    <t>太陽光発電</t>
    <rPh sb="0" eb="3">
      <t>タイヨウコウ</t>
    </rPh>
    <rPh sb="3" eb="5">
      <t>ハツデン</t>
    </rPh>
    <phoneticPr fontId="27"/>
  </si>
  <si>
    <t>kW　　　蓄電池</t>
    <rPh sb="5" eb="8">
      <t>チクデンチ</t>
    </rPh>
    <phoneticPr fontId="27"/>
  </si>
  <si>
    <t>太陽光</t>
    <rPh sb="0" eb="3">
      <t>タイヨウコウ</t>
    </rPh>
    <phoneticPr fontId="27"/>
  </si>
  <si>
    <t>太陽熱等</t>
    <rPh sb="0" eb="3">
      <t>タイヨウネツ</t>
    </rPh>
    <rPh sb="3" eb="4">
      <t>トウ</t>
    </rPh>
    <phoneticPr fontId="27"/>
  </si>
  <si>
    <t>雑用水</t>
    <rPh sb="0" eb="3">
      <t>ザツヨウスイ</t>
    </rPh>
    <phoneticPr fontId="27"/>
  </si>
  <si>
    <t>敷地（区画）内</t>
    <rPh sb="0" eb="2">
      <t>シキチ</t>
    </rPh>
    <rPh sb="3" eb="5">
      <t>クカク</t>
    </rPh>
    <rPh sb="6" eb="7">
      <t>ナイ</t>
    </rPh>
    <phoneticPr fontId="27"/>
  </si>
  <si>
    <t>汚水</t>
    <rPh sb="0" eb="2">
      <t>オスイ</t>
    </rPh>
    <phoneticPr fontId="27"/>
  </si>
  <si>
    <t>工業用水</t>
    <rPh sb="0" eb="2">
      <t>コウギョウ</t>
    </rPh>
    <rPh sb="2" eb="4">
      <t>ヨウスイ</t>
    </rPh>
    <phoneticPr fontId="27"/>
  </si>
  <si>
    <t>区域</t>
    <rPh sb="0" eb="2">
      <t>クイキ</t>
    </rPh>
    <phoneticPr fontId="27"/>
  </si>
  <si>
    <t>　雨水を循環利用しない</t>
    <rPh sb="1" eb="3">
      <t>ウスイ</t>
    </rPh>
    <rPh sb="4" eb="6">
      <t>ジュンカン</t>
    </rPh>
    <rPh sb="6" eb="8">
      <t>リヨウ</t>
    </rPh>
    <phoneticPr fontId="27"/>
  </si>
  <si>
    <t>　雨水を循環利用する</t>
    <rPh sb="1" eb="3">
      <t>ウスイ</t>
    </rPh>
    <rPh sb="4" eb="6">
      <t>ジュンカン</t>
    </rPh>
    <rPh sb="6" eb="8">
      <t>リヨウ</t>
    </rPh>
    <phoneticPr fontId="27"/>
  </si>
  <si>
    <t>　再生水、中水</t>
    <rPh sb="1" eb="4">
      <t>サイセイスイ</t>
    </rPh>
    <rPh sb="5" eb="7">
      <t>チュウスイ</t>
    </rPh>
    <phoneticPr fontId="27"/>
  </si>
  <si>
    <t>　工業用水（再生水、中水を除く）</t>
    <rPh sb="1" eb="3">
      <t>コウギョウ</t>
    </rPh>
    <rPh sb="3" eb="5">
      <t>ヨウスイ</t>
    </rPh>
    <rPh sb="6" eb="9">
      <t>サイセイスイ</t>
    </rPh>
    <rPh sb="10" eb="12">
      <t>チュウスイ</t>
    </rPh>
    <rPh sb="13" eb="14">
      <t>ノゾ</t>
    </rPh>
    <phoneticPr fontId="27"/>
  </si>
  <si>
    <t>kW　　太陽熱等</t>
    <rPh sb="4" eb="7">
      <t>タイヨウネツ</t>
    </rPh>
    <rPh sb="7" eb="8">
      <t>トウ</t>
    </rPh>
    <phoneticPr fontId="27"/>
  </si>
  <si>
    <t>建築環境SDGsチェックリスト</t>
    <rPh sb="0" eb="2">
      <t>ケンチク</t>
    </rPh>
    <rPh sb="2" eb="4">
      <t>カンキョウ</t>
    </rPh>
    <phoneticPr fontId="27"/>
  </si>
  <si>
    <t>本チェックリストの実施有無：</t>
    <phoneticPr fontId="27"/>
  </si>
  <si>
    <t>SDGsの
ゴール/
ターゲット</t>
    <phoneticPr fontId="27"/>
  </si>
  <si>
    <t>建築環境SDGsチェックリストの評価項目</t>
    <phoneticPr fontId="27"/>
  </si>
  <si>
    <t>大項目</t>
    <phoneticPr fontId="27"/>
  </si>
  <si>
    <t>小項目</t>
    <phoneticPr fontId="27"/>
  </si>
  <si>
    <r>
      <rPr>
        <b/>
        <sz val="10"/>
        <color theme="1"/>
        <rFont val="游ゴシック"/>
        <family val="3"/>
        <charset val="128"/>
      </rPr>
      <t>ゴール 1.</t>
    </r>
    <r>
      <rPr>
        <b/>
        <sz val="9"/>
        <color theme="1"/>
        <rFont val="游ゴシック"/>
        <family val="3"/>
        <charset val="128"/>
      </rPr>
      <t xml:space="preserve">
</t>
    </r>
    <r>
      <rPr>
        <b/>
        <sz val="7"/>
        <color theme="1"/>
        <rFont val="游ゴシック"/>
        <family val="3"/>
        <charset val="128"/>
      </rPr>
      <t>貧困をなくそう</t>
    </r>
    <rPh sb="7" eb="9">
      <t>ヒンコン</t>
    </rPh>
    <phoneticPr fontId="214"/>
  </si>
  <si>
    <r>
      <rPr>
        <b/>
        <sz val="10"/>
        <color theme="1"/>
        <rFont val="游ゴシック"/>
        <family val="3"/>
        <charset val="128"/>
      </rPr>
      <t>ゴール 2.</t>
    </r>
    <r>
      <rPr>
        <b/>
        <sz val="9"/>
        <color theme="1"/>
        <rFont val="游ゴシック"/>
        <family val="3"/>
        <charset val="128"/>
      </rPr>
      <t xml:space="preserve">
</t>
    </r>
    <r>
      <rPr>
        <b/>
        <sz val="7"/>
        <color theme="1"/>
        <rFont val="游ゴシック"/>
        <family val="3"/>
        <charset val="128"/>
      </rPr>
      <t>飢餓をゼロに</t>
    </r>
    <rPh sb="7" eb="9">
      <t>キガ</t>
    </rPh>
    <phoneticPr fontId="214"/>
  </si>
  <si>
    <t>ゴール1の内容はゴール12 等に集約されています</t>
    <phoneticPr fontId="214"/>
  </si>
  <si>
    <t>ゴール2の内容はゴール12 等に集約されています</t>
    <phoneticPr fontId="214"/>
  </si>
  <si>
    <r>
      <rPr>
        <b/>
        <sz val="10"/>
        <color theme="1"/>
        <rFont val="游ゴシック"/>
        <family val="3"/>
        <charset val="128"/>
      </rPr>
      <t>ゴール 3.</t>
    </r>
    <r>
      <rPr>
        <b/>
        <sz val="9"/>
        <color theme="1"/>
        <rFont val="游ゴシック"/>
        <family val="3"/>
        <charset val="128"/>
      </rPr>
      <t xml:space="preserve">
</t>
    </r>
    <r>
      <rPr>
        <b/>
        <sz val="7"/>
        <color theme="1"/>
        <rFont val="游ゴシック"/>
        <family val="3"/>
        <charset val="128"/>
      </rPr>
      <t>すべての人に健康と福祉を</t>
    </r>
    <phoneticPr fontId="214"/>
  </si>
  <si>
    <t>温熱環境</t>
    <phoneticPr fontId="27"/>
  </si>
  <si>
    <t>3.1.1</t>
    <phoneticPr fontId="214"/>
  </si>
  <si>
    <t>快適な室温を確保する</t>
    <rPh sb="0" eb="2">
      <t>カイテキ</t>
    </rPh>
    <rPh sb="3" eb="5">
      <t>シツオン</t>
    </rPh>
    <rPh sb="6" eb="8">
      <t>カクホ</t>
    </rPh>
    <phoneticPr fontId="214"/>
  </si>
  <si>
    <t>ピーク負荷時においても快適な室温を実現できるような空調システムを導入している</t>
  </si>
  <si>
    <t>3.1.2</t>
    <phoneticPr fontId="214"/>
  </si>
  <si>
    <t>断熱性能を高める</t>
    <rPh sb="0" eb="2">
      <t>ダンネツ</t>
    </rPh>
    <rPh sb="2" eb="4">
      <t>セイノウ</t>
    </rPh>
    <rPh sb="5" eb="6">
      <t>タカ</t>
    </rPh>
    <phoneticPr fontId="214"/>
  </si>
  <si>
    <t>室外からの熱の侵入あるいは室外への熱の流出の抑制に取り組んでいる</t>
    <phoneticPr fontId="27"/>
  </si>
  <si>
    <t>3.1.3</t>
    <phoneticPr fontId="214"/>
  </si>
  <si>
    <t>均質な温熱環境を作る</t>
    <rPh sb="0" eb="2">
      <t>キンシツ</t>
    </rPh>
    <rPh sb="3" eb="5">
      <t>オンネツ</t>
    </rPh>
    <rPh sb="5" eb="7">
      <t>カンキョウ</t>
    </rPh>
    <rPh sb="8" eb="9">
      <t>ツク</t>
    </rPh>
    <phoneticPr fontId="214"/>
  </si>
  <si>
    <t>室内空間の温度むらを無くし、快適環境を作るための細かなゾーニング空調を採用している</t>
    <rPh sb="0" eb="2">
      <t>シツナイ</t>
    </rPh>
    <rPh sb="2" eb="4">
      <t>クウカン</t>
    </rPh>
    <rPh sb="5" eb="7">
      <t>オンド</t>
    </rPh>
    <rPh sb="10" eb="11">
      <t>ナ</t>
    </rPh>
    <rPh sb="14" eb="16">
      <t>カイテキ</t>
    </rPh>
    <rPh sb="16" eb="18">
      <t>カンキョウ</t>
    </rPh>
    <rPh sb="19" eb="20">
      <t>ツク</t>
    </rPh>
    <rPh sb="24" eb="25">
      <t>コマ</t>
    </rPh>
    <rPh sb="32" eb="34">
      <t>クウチョウ</t>
    </rPh>
    <rPh sb="35" eb="37">
      <t>サイヨウ</t>
    </rPh>
    <phoneticPr fontId="214"/>
  </si>
  <si>
    <t>居住域の上下温度差や気流速度（残風速）を軽減するための空調方式を採用している</t>
    <phoneticPr fontId="27"/>
  </si>
  <si>
    <t>光・視環境</t>
    <rPh sb="2" eb="3">
      <t>シ</t>
    </rPh>
    <phoneticPr fontId="214"/>
  </si>
  <si>
    <t>建物外壁に設けられる窓だけでなく積極的に昼光を利用するための設備を導入している</t>
  </si>
  <si>
    <t>窓面のまぶしさを抑える</t>
    <rPh sb="0" eb="1">
      <t>マド</t>
    </rPh>
    <rPh sb="1" eb="2">
      <t>メン</t>
    </rPh>
    <rPh sb="8" eb="9">
      <t>オサ</t>
    </rPh>
    <phoneticPr fontId="214"/>
  </si>
  <si>
    <t>適切な照明を備える</t>
    <rPh sb="0" eb="2">
      <t>テキセツ</t>
    </rPh>
    <rPh sb="3" eb="5">
      <t>ショウメイ</t>
    </rPh>
    <rPh sb="6" eb="7">
      <t>ソナ</t>
    </rPh>
    <phoneticPr fontId="214"/>
  </si>
  <si>
    <t>対象空間の照明を細かく制御する、自動で制御する等の取組みをしている</t>
  </si>
  <si>
    <t>空気・衛生環境</t>
    <rPh sb="3" eb="5">
      <t>エイセイ</t>
    </rPh>
    <phoneticPr fontId="214"/>
  </si>
  <si>
    <t>適切な換気対策をする</t>
    <rPh sb="0" eb="2">
      <t>テキセツ</t>
    </rPh>
    <rPh sb="3" eb="5">
      <t>カンキ</t>
    </rPh>
    <rPh sb="5" eb="7">
      <t>タイサク</t>
    </rPh>
    <phoneticPr fontId="214"/>
  </si>
  <si>
    <t>空気質を高めるために建築基準法や建築物衛生法、学校環境衛生基準の換気量を上回る努力をしている</t>
  </si>
  <si>
    <t>適切な湿度制御をする</t>
    <rPh sb="0" eb="2">
      <t>テキセツ</t>
    </rPh>
    <rPh sb="3" eb="5">
      <t>シツド</t>
    </rPh>
    <rPh sb="5" eb="7">
      <t>セイギョ</t>
    </rPh>
    <phoneticPr fontId="214"/>
  </si>
  <si>
    <t>快適性、健康面を考慮した加湿、除湿が可能な工夫をしている</t>
  </si>
  <si>
    <t>室内の空気質について対策する</t>
    <rPh sb="0" eb="2">
      <t>シツナイ</t>
    </rPh>
    <rPh sb="3" eb="5">
      <t>クウキ</t>
    </rPh>
    <rPh sb="5" eb="6">
      <t>シツ</t>
    </rPh>
    <rPh sb="10" eb="12">
      <t>タイサク</t>
    </rPh>
    <phoneticPr fontId="214"/>
  </si>
  <si>
    <t>化学汚染物質による空気質汚染を回避するための対策を十分に行っている</t>
  </si>
  <si>
    <t>禁煙または喫煙ブースの設置等、非喫煙者が煙に曝されないような工夫をしている</t>
  </si>
  <si>
    <t>水回りの衛生を維持する</t>
    <phoneticPr fontId="214"/>
  </si>
  <si>
    <t>水回りを含め清掃のしやすさ及び汚れが付きにくい素材の使用等、維持管理への配慮をしている</t>
    <phoneticPr fontId="214"/>
  </si>
  <si>
    <t>3.4.1</t>
    <phoneticPr fontId="214"/>
  </si>
  <si>
    <t>遮音・吸音性能を確保する</t>
    <rPh sb="0" eb="2">
      <t>シャオン</t>
    </rPh>
    <rPh sb="3" eb="5">
      <t>キュウオン</t>
    </rPh>
    <rPh sb="5" eb="7">
      <t>セイノウ</t>
    </rPh>
    <rPh sb="8" eb="10">
      <t>カクホ</t>
    </rPh>
    <phoneticPr fontId="214"/>
  </si>
  <si>
    <t>3.5.1</t>
    <phoneticPr fontId="27"/>
  </si>
  <si>
    <t>建物の防犯対策を施す</t>
    <phoneticPr fontId="214"/>
  </si>
  <si>
    <t>3.6.1</t>
    <phoneticPr fontId="27"/>
  </si>
  <si>
    <t>バリアフリー対策を施す</t>
    <phoneticPr fontId="214"/>
  </si>
  <si>
    <t>建築物移動等円滑化基準を満たした上で、全ての人が不自由なく建築物を利用することができる工夫をしている</t>
  </si>
  <si>
    <t>院内感染予防に配慮した環境整備</t>
    <phoneticPr fontId="214"/>
  </si>
  <si>
    <t>3.7.1</t>
    <phoneticPr fontId="27"/>
  </si>
  <si>
    <t>3.8.1</t>
    <phoneticPr fontId="214"/>
  </si>
  <si>
    <t>騒音・振動・悪臭を低減する</t>
    <rPh sb="3" eb="5">
      <t>シンドウ</t>
    </rPh>
    <rPh sb="6" eb="8">
      <t>アクシュウ</t>
    </rPh>
    <rPh sb="10" eb="12">
      <t>テイゲン</t>
    </rPh>
    <phoneticPr fontId="214"/>
  </si>
  <si>
    <t>騒音規制法または大規模小売店舗立地法、地域の条例等に定める現行の規制基準を大幅に下回る工夫をしている</t>
  </si>
  <si>
    <t>振動規制法や地域の条例等に定める現行の規制基準を大幅に下回る工夫をしている</t>
  </si>
  <si>
    <t>悪臭防止法や地域の条例等に定める特定悪臭物質の濃度の許容限度の値を満たす工夫をしている</t>
  </si>
  <si>
    <t>3.8.2</t>
    <phoneticPr fontId="214"/>
  </si>
  <si>
    <t>風害・日照阻害を低減する</t>
    <rPh sb="8" eb="10">
      <t>テイゲン</t>
    </rPh>
    <phoneticPr fontId="214"/>
  </si>
  <si>
    <t>風害を抑制するための工夫をしている</t>
  </si>
  <si>
    <t>日照阻害を抑制するための工夫をしている</t>
  </si>
  <si>
    <t>3.8.3</t>
    <phoneticPr fontId="214"/>
  </si>
  <si>
    <t>光害を低減する</t>
    <rPh sb="0" eb="2">
      <t>コウガイ</t>
    </rPh>
    <rPh sb="3" eb="5">
      <t>テイゲン</t>
    </rPh>
    <phoneticPr fontId="214"/>
  </si>
  <si>
    <t>3.8.4</t>
    <phoneticPr fontId="214"/>
  </si>
  <si>
    <t>ヒートアイランド化の抑制対策等、敷地外の熱的負荷の低減に資する取組みを行っている</t>
  </si>
  <si>
    <t>3.8.5</t>
    <phoneticPr fontId="214"/>
  </si>
  <si>
    <t>周辺への化学物質の飛散を低減する</t>
    <rPh sb="4" eb="6">
      <t>カガク</t>
    </rPh>
    <rPh sb="6" eb="8">
      <t>ブッシツ</t>
    </rPh>
    <rPh sb="9" eb="11">
      <t>ヒサン</t>
    </rPh>
    <rPh sb="12" eb="14">
      <t>テイゲン</t>
    </rPh>
    <phoneticPr fontId="214"/>
  </si>
  <si>
    <t>全用途</t>
    <rPh sb="0" eb="1">
      <t>ゼン</t>
    </rPh>
    <rPh sb="1" eb="3">
      <t>ヨウト</t>
    </rPh>
    <phoneticPr fontId="27"/>
  </si>
  <si>
    <t>Q1.2.1.1室温</t>
  </si>
  <si>
    <t>Q1.2.1.2外皮性能</t>
  </si>
  <si>
    <t>学校、集合
住宅以外の
全用途</t>
    <rPh sb="0" eb="2">
      <t>ガッコウ</t>
    </rPh>
    <rPh sb="3" eb="5">
      <t>シュウゴウ</t>
    </rPh>
    <rPh sb="6" eb="8">
      <t>ジュウタク</t>
    </rPh>
    <phoneticPr fontId="27"/>
  </si>
  <si>
    <t>Q1.2.1.3ゾーン別制御性</t>
  </si>
  <si>
    <t>Q1.2.3空調方式</t>
  </si>
  <si>
    <t>Q1.3.1.3昼光利用設備</t>
    <rPh sb="8" eb="10">
      <t>チュウコウ</t>
    </rPh>
    <rPh sb="10" eb="12">
      <t>リヨウ</t>
    </rPh>
    <rPh sb="12" eb="14">
      <t>セツビ</t>
    </rPh>
    <phoneticPr fontId="214"/>
  </si>
  <si>
    <t>Q1.3.2.1昼光制御</t>
    <rPh sb="8" eb="10">
      <t>チュウコウ</t>
    </rPh>
    <rPh sb="10" eb="12">
      <t>セイギョ</t>
    </rPh>
    <phoneticPr fontId="214"/>
  </si>
  <si>
    <t>飲食店以外
の全用途</t>
    <rPh sb="0" eb="2">
      <t>インショク</t>
    </rPh>
    <rPh sb="2" eb="3">
      <t>テン</t>
    </rPh>
    <phoneticPr fontId="27"/>
  </si>
  <si>
    <t>Q1.3.4照明制御</t>
    <rPh sb="6" eb="8">
      <t>ショウメイ</t>
    </rPh>
    <rPh sb="8" eb="10">
      <t>セイギョ</t>
    </rPh>
    <phoneticPr fontId="214"/>
  </si>
  <si>
    <t>Q1.4.2換気</t>
    <phoneticPr fontId="214"/>
  </si>
  <si>
    <t>Q1.2.2湿度制御</t>
    <rPh sb="6" eb="8">
      <t>シツド</t>
    </rPh>
    <rPh sb="8" eb="10">
      <t>セイギョ</t>
    </rPh>
    <phoneticPr fontId="214"/>
  </si>
  <si>
    <t>Q1.4.1.1化学汚染物質</t>
    <rPh sb="8" eb="10">
      <t>カガク</t>
    </rPh>
    <rPh sb="10" eb="12">
      <t>オセン</t>
    </rPh>
    <rPh sb="12" eb="14">
      <t>ブッシツ</t>
    </rPh>
    <phoneticPr fontId="214"/>
  </si>
  <si>
    <t>Q1.4.3.2喫煙の制御</t>
    <phoneticPr fontId="214"/>
  </si>
  <si>
    <t>Q2.1.3.2維持管理用機能の確保</t>
    <rPh sb="8" eb="10">
      <t>イジ</t>
    </rPh>
    <rPh sb="10" eb="12">
      <t>カンリ</t>
    </rPh>
    <rPh sb="12" eb="13">
      <t>ヨウ</t>
    </rPh>
    <rPh sb="13" eb="15">
      <t>キノウ</t>
    </rPh>
    <rPh sb="16" eb="18">
      <t>カクホ</t>
    </rPh>
    <phoneticPr fontId="214"/>
  </si>
  <si>
    <t>Q1.1音環境</t>
    <rPh sb="4" eb="5">
      <t>オト</t>
    </rPh>
    <rPh sb="5" eb="7">
      <t>カンキョウ</t>
    </rPh>
    <phoneticPr fontId="214"/>
  </si>
  <si>
    <t>建築環境SDGs独自</t>
  </si>
  <si>
    <t>Q2.1.1.3バリアフリー計画</t>
  </si>
  <si>
    <t>病院</t>
    <rPh sb="0" eb="2">
      <t>ビョウイン</t>
    </rPh>
    <phoneticPr fontId="214"/>
  </si>
  <si>
    <t>LR3.3.1.1騒音</t>
  </si>
  <si>
    <t>LR3.3.1.2振動</t>
  </si>
  <si>
    <t>LR3.3.1.3悪臭</t>
  </si>
  <si>
    <t>LR3.3.2.1風害の抑制</t>
    <rPh sb="12" eb="14">
      <t>ヨクセイ</t>
    </rPh>
    <phoneticPr fontId="214"/>
  </si>
  <si>
    <t>LR3.3.2.3日照阻害の抑制</t>
  </si>
  <si>
    <t>LR3.3.3光害の抑制</t>
  </si>
  <si>
    <t>LR3.2.2温熱環境悪化の改善</t>
  </si>
  <si>
    <t>LR2.3.1有害物質を含まない材料の使用</t>
    <rPh sb="7" eb="9">
      <t>ユウガイ</t>
    </rPh>
    <rPh sb="9" eb="11">
      <t>ブッシツ</t>
    </rPh>
    <rPh sb="12" eb="13">
      <t>フク</t>
    </rPh>
    <rPh sb="16" eb="18">
      <t>ザイリョウ</t>
    </rPh>
    <rPh sb="19" eb="21">
      <t>シヨウ</t>
    </rPh>
    <phoneticPr fontId="214"/>
  </si>
  <si>
    <t>居住者のニーズに合わせて間取り等の変更が可能な設計上の工夫</t>
    <phoneticPr fontId="27"/>
  </si>
  <si>
    <t>家庭の学習スペースを整える</t>
    <rPh sb="0" eb="2">
      <t>カテイ</t>
    </rPh>
    <rPh sb="3" eb="5">
      <t>ガクシュウ</t>
    </rPh>
    <rPh sb="10" eb="11">
      <t>トトノ</t>
    </rPh>
    <phoneticPr fontId="214"/>
  </si>
  <si>
    <t>以下の取組みに取り組んでいない（該当項目なし）、取り組んでいる（該当項目1つ）、積極的に取り組んでいる（該当項目2つ以上）
〇集合住宅の住戸において、独立した学習スペースがある
〇集合住宅の住戸において、共用スペースの中に学習スペース・学習コーナーを配置している
〇集合住宅の住戸において、家族のステージ変化に合わせて活用できる学習スペースの工夫がある
〇集合住宅の共用部に学習スペース・学習コーナーがある</t>
    <rPh sb="24" eb="25">
      <t>ト</t>
    </rPh>
    <rPh sb="26" eb="27">
      <t>ク</t>
    </rPh>
    <phoneticPr fontId="27"/>
  </si>
  <si>
    <t>学習に適した温熱、空気、光、音環境の整備</t>
  </si>
  <si>
    <t>ピーク負荷時においても快適な室温を実現できるような空調システムを導入している</t>
    <phoneticPr fontId="27"/>
  </si>
  <si>
    <t>Q1.4.2換気</t>
  </si>
  <si>
    <t>4.2.5</t>
    <phoneticPr fontId="27"/>
  </si>
  <si>
    <t>4.2.6</t>
    <phoneticPr fontId="27"/>
  </si>
  <si>
    <t>学習環境の整備</t>
    <phoneticPr fontId="27"/>
  </si>
  <si>
    <t>学校の学習スペースを整える</t>
    <rPh sb="0" eb="2">
      <t>ガッコウ</t>
    </rPh>
    <rPh sb="3" eb="5">
      <t>ガクシュウ</t>
    </rPh>
    <phoneticPr fontId="214"/>
  </si>
  <si>
    <t>ユニバーサルデザイン</t>
    <phoneticPr fontId="214"/>
  </si>
  <si>
    <t>4.4.1</t>
    <phoneticPr fontId="27"/>
  </si>
  <si>
    <t>5.1.1</t>
    <phoneticPr fontId="27"/>
  </si>
  <si>
    <t>空間のゆとりを作る</t>
    <rPh sb="0" eb="2">
      <t>クウカン</t>
    </rPh>
    <rPh sb="7" eb="8">
      <t>ツク</t>
    </rPh>
    <phoneticPr fontId="214"/>
  </si>
  <si>
    <t>集会所以外
の全用途</t>
    <rPh sb="0" eb="2">
      <t>シュウカイ</t>
    </rPh>
    <rPh sb="2" eb="3">
      <t>ジョ</t>
    </rPh>
    <phoneticPr fontId="27"/>
  </si>
  <si>
    <t>Q2.3.1空間のゆとり</t>
  </si>
  <si>
    <t>バリアフリー対策を施す</t>
    <rPh sb="6" eb="8">
      <t>タイサク</t>
    </rPh>
    <rPh sb="9" eb="10">
      <t>ホドコ</t>
    </rPh>
    <phoneticPr fontId="214"/>
  </si>
  <si>
    <t>5.2.1</t>
    <phoneticPr fontId="27"/>
  </si>
  <si>
    <t>集合住宅</t>
    <rPh sb="0" eb="2">
      <t>シュウゴウ</t>
    </rPh>
    <phoneticPr fontId="214"/>
  </si>
  <si>
    <t>LGBT等に対応した設計上の工夫</t>
    <phoneticPr fontId="214"/>
  </si>
  <si>
    <t>5.3.1</t>
    <phoneticPr fontId="27"/>
  </si>
  <si>
    <t>LGBTに配慮する</t>
    <rPh sb="5" eb="7">
      <t>ハイリョ</t>
    </rPh>
    <phoneticPr fontId="214"/>
  </si>
  <si>
    <t>温冷感評価に対する性差に対応した設計上の工夫</t>
  </si>
  <si>
    <t>5.4.1</t>
    <phoneticPr fontId="27"/>
  </si>
  <si>
    <t>事務所</t>
    <rPh sb="0" eb="2">
      <t>ジム</t>
    </rPh>
    <phoneticPr fontId="214"/>
  </si>
  <si>
    <t>節水</t>
    <phoneticPr fontId="27"/>
  </si>
  <si>
    <t>6.1.1</t>
    <phoneticPr fontId="27"/>
  </si>
  <si>
    <t>LR2.1.1節水</t>
  </si>
  <si>
    <t>雨水・雑排水の利用</t>
    <phoneticPr fontId="27"/>
  </si>
  <si>
    <t>6.2.1</t>
    <phoneticPr fontId="27"/>
  </si>
  <si>
    <t>雨水、雑排水の利用に関する取組みをしている</t>
  </si>
  <si>
    <t>LR2.1.2雨水利用・雑排水等の利用</t>
    <rPh sb="7" eb="9">
      <t>ウスイ</t>
    </rPh>
    <rPh sb="9" eb="11">
      <t>リヨウ</t>
    </rPh>
    <rPh sb="12" eb="15">
      <t>ザッパイスイ</t>
    </rPh>
    <rPh sb="15" eb="16">
      <t>トウ</t>
    </rPh>
    <phoneticPr fontId="220"/>
  </si>
  <si>
    <t>6.3.1</t>
    <phoneticPr fontId="27"/>
  </si>
  <si>
    <t>地下水系に配慮する</t>
  </si>
  <si>
    <t>6.4.1</t>
    <phoneticPr fontId="27"/>
  </si>
  <si>
    <t>雨水の地下浸透対策を実施している</t>
    <phoneticPr fontId="27"/>
  </si>
  <si>
    <t>土壌汚染を防ぐ</t>
    <phoneticPr fontId="214"/>
  </si>
  <si>
    <t>汚水浄化</t>
    <phoneticPr fontId="27"/>
  </si>
  <si>
    <t>6.5.1</t>
    <phoneticPr fontId="27"/>
  </si>
  <si>
    <t>LR3.2.3.2汚水処理負荷抑制</t>
  </si>
  <si>
    <t>衛生的な水回り環境を維持可能とする設計上の工夫</t>
    <phoneticPr fontId="27"/>
  </si>
  <si>
    <t>6.6.1</t>
    <phoneticPr fontId="27"/>
  </si>
  <si>
    <t>6.7.1</t>
    <phoneticPr fontId="27"/>
  </si>
  <si>
    <t>給排水・衛生設備の信頼性向上に向けた取組みを行っている</t>
    <phoneticPr fontId="27"/>
  </si>
  <si>
    <t>Q2.2.4.2給排水・衛生設備</t>
    <rPh sb="8" eb="11">
      <t>キュウハイスイ</t>
    </rPh>
    <rPh sb="12" eb="14">
      <t>エイセイ</t>
    </rPh>
    <rPh sb="14" eb="16">
      <t>セツビ</t>
    </rPh>
    <phoneticPr fontId="214"/>
  </si>
  <si>
    <t>省エネルギーに資する設計上の工夫</t>
    <phoneticPr fontId="214"/>
  </si>
  <si>
    <t>7.1.1</t>
    <phoneticPr fontId="27"/>
  </si>
  <si>
    <t>熱負荷の削減に取り組む</t>
    <phoneticPr fontId="214"/>
  </si>
  <si>
    <t>冷暖房の使用エネルギー量削減に資する熱負荷抑制に関する取組みを行っている</t>
    <phoneticPr fontId="27"/>
  </si>
  <si>
    <t>LR1.1建物外皮の熱負荷抑制</t>
    <rPh sb="5" eb="7">
      <t>タテモノ</t>
    </rPh>
    <rPh sb="13" eb="15">
      <t>ヨクセイ</t>
    </rPh>
    <phoneticPr fontId="214"/>
  </si>
  <si>
    <t>7.1.2</t>
    <phoneticPr fontId="27"/>
  </si>
  <si>
    <t>自然エネルギーの直接利用に取り組む</t>
    <phoneticPr fontId="214"/>
  </si>
  <si>
    <t>7.1.3</t>
  </si>
  <si>
    <t>省エネ性能の高い設備機器・システムを採用する</t>
    <phoneticPr fontId="214"/>
  </si>
  <si>
    <t>エネルギー消費を大幅に削減することが可能な設備機器・システムを導入している</t>
    <phoneticPr fontId="27"/>
  </si>
  <si>
    <t>LR1.3設備システムの高効率化</t>
    <rPh sb="5" eb="7">
      <t>セツビ</t>
    </rPh>
    <rPh sb="12" eb="16">
      <t>コウコウリツカ</t>
    </rPh>
    <phoneticPr fontId="27"/>
  </si>
  <si>
    <t>創エネルギーに資する設計上の工夫</t>
    <phoneticPr fontId="214"/>
  </si>
  <si>
    <t>7.2.1</t>
    <phoneticPr fontId="27"/>
  </si>
  <si>
    <t>創エネに取り組む</t>
    <phoneticPr fontId="27"/>
  </si>
  <si>
    <t>以下の取組みに取り組んでいない（該当項目なし）、取り組んでいる（該当項目1つ）、積極的に取り組んでいる（該当項目2つ以上）
〇太陽熱利用（温水利用）等
〇太陽光利用（電力利用）等
〇未利用熱利用（地中熱利用/井水利用/河川水利用ヒートポンプ）等
〇その他（バイオマス、他）</t>
    <phoneticPr fontId="27"/>
  </si>
  <si>
    <t>蓄エネルギーに資する設計上の工夫</t>
    <phoneticPr fontId="27"/>
  </si>
  <si>
    <t>7.3.1</t>
    <phoneticPr fontId="27"/>
  </si>
  <si>
    <t>分散型エネルギーシステムとの連携</t>
    <phoneticPr fontId="27"/>
  </si>
  <si>
    <t>7.4.1</t>
    <phoneticPr fontId="27"/>
  </si>
  <si>
    <t>エネルギーマネジメントシステムの導入</t>
    <phoneticPr fontId="214"/>
  </si>
  <si>
    <t>7.5.1</t>
    <phoneticPr fontId="27"/>
  </si>
  <si>
    <t>LR1.4効率的運用</t>
    <rPh sb="5" eb="8">
      <t>コウリツテキ</t>
    </rPh>
    <rPh sb="8" eb="10">
      <t>ウンヨウ</t>
    </rPh>
    <phoneticPr fontId="220"/>
  </si>
  <si>
    <t>LCP、BCP、非常用エネルギーの確保</t>
    <phoneticPr fontId="27"/>
  </si>
  <si>
    <t>7.6.1</t>
    <phoneticPr fontId="27"/>
  </si>
  <si>
    <t>非常時（停電時）の電源確保に向けた取組みを行っている（非常用発電設備・無停電電源設備を備えているか、地下空間への設置を避けているか等）</t>
    <phoneticPr fontId="27"/>
  </si>
  <si>
    <t>Q2.2.4.3電気設備</t>
    <rPh sb="8" eb="10">
      <t>デンキ</t>
    </rPh>
    <rPh sb="10" eb="12">
      <t>セツビ</t>
    </rPh>
    <phoneticPr fontId="220"/>
  </si>
  <si>
    <r>
      <t>建物のライフサイクルCO</t>
    </r>
    <r>
      <rPr>
        <vertAlign val="subscript"/>
        <sz val="9"/>
        <rFont val="游ゴシック"/>
        <family val="3"/>
        <charset val="128"/>
      </rPr>
      <t>2</t>
    </r>
    <r>
      <rPr>
        <sz val="9"/>
        <rFont val="游ゴシック"/>
        <family val="3"/>
        <charset val="128"/>
      </rPr>
      <t>を削減する取組みを行っている</t>
    </r>
    <phoneticPr fontId="214"/>
  </si>
  <si>
    <t>LR3.1地球温暖化への配慮</t>
    <rPh sb="5" eb="7">
      <t>チキュウ</t>
    </rPh>
    <rPh sb="7" eb="10">
      <t>オンダンカ</t>
    </rPh>
    <rPh sb="12" eb="14">
      <t>ハイリョ</t>
    </rPh>
    <phoneticPr fontId="214"/>
  </si>
  <si>
    <t>8.1.1</t>
    <phoneticPr fontId="27"/>
  </si>
  <si>
    <t>快適な室温を確保する</t>
    <rPh sb="0" eb="2">
      <t>カイテキ</t>
    </rPh>
    <phoneticPr fontId="214"/>
  </si>
  <si>
    <t>断熱性能を高める</t>
    <phoneticPr fontId="214"/>
  </si>
  <si>
    <t>適切な換気対策をする</t>
    <phoneticPr fontId="214"/>
  </si>
  <si>
    <t>室内の空気質について対策する</t>
    <phoneticPr fontId="214"/>
  </si>
  <si>
    <t>Q1.4.1.1化学汚染物質</t>
  </si>
  <si>
    <t>遮音・吸音性能を確保する</t>
    <rPh sb="3" eb="5">
      <t>キュウオン</t>
    </rPh>
    <rPh sb="5" eb="7">
      <t>セイノウ</t>
    </rPh>
    <phoneticPr fontId="214"/>
  </si>
  <si>
    <t>住宅、建築物の生産、廃棄の各段階における廃棄物の発生量軽減に向けた工夫</t>
  </si>
  <si>
    <t>8.3.1</t>
    <phoneticPr fontId="27"/>
  </si>
  <si>
    <t>材料使用量を削減する</t>
    <phoneticPr fontId="214"/>
  </si>
  <si>
    <t>8.3.2</t>
    <phoneticPr fontId="27"/>
  </si>
  <si>
    <t>建築躯体等を継続して使用する</t>
    <phoneticPr fontId="214"/>
  </si>
  <si>
    <t>既存建築躯体を再利用している</t>
  </si>
  <si>
    <t>LR2.2.2既存建築躯体等の継続使用</t>
    <rPh sb="7" eb="9">
      <t>キゾン</t>
    </rPh>
    <rPh sb="9" eb="11">
      <t>ケンチク</t>
    </rPh>
    <rPh sb="11" eb="13">
      <t>クタイ</t>
    </rPh>
    <rPh sb="13" eb="14">
      <t>トウ</t>
    </rPh>
    <rPh sb="15" eb="17">
      <t>ケイゾク</t>
    </rPh>
    <phoneticPr fontId="220"/>
  </si>
  <si>
    <t>8.3.3</t>
    <phoneticPr fontId="27"/>
  </si>
  <si>
    <t>躯体材料においてリサイクル材を使用する</t>
    <phoneticPr fontId="214"/>
  </si>
  <si>
    <t>LR2.2.3躯体材料におけるリサイクル材の使用</t>
  </si>
  <si>
    <t>8.3.4</t>
    <phoneticPr fontId="27"/>
  </si>
  <si>
    <t>躯体材料以外においてリサイクル材を使用する</t>
    <phoneticPr fontId="214"/>
  </si>
  <si>
    <t>躯体材料以外の部分にリサイクル材資材を用いている</t>
  </si>
  <si>
    <t>LR2.2.4躯体材料以外におけるリサイクル材の使用</t>
  </si>
  <si>
    <t>8.3.5</t>
    <phoneticPr fontId="27"/>
  </si>
  <si>
    <t>持続可能な森林から産出された木材を使用する</t>
    <phoneticPr fontId="214"/>
  </si>
  <si>
    <t>8.3.6</t>
    <phoneticPr fontId="27"/>
  </si>
  <si>
    <t>部材の再利用可能性向上へ取り組む</t>
    <phoneticPr fontId="214"/>
  </si>
  <si>
    <t>解体廃棄時におけるリサイクルを促進する対策として、分別の容易性などの取組みをしている</t>
  </si>
  <si>
    <t>LR2.2.6部材の再利用可能性向上への取組み</t>
  </si>
  <si>
    <t>住宅・建築物の長寿命化に対する工夫</t>
  </si>
  <si>
    <t>8.4.1</t>
    <phoneticPr fontId="27"/>
  </si>
  <si>
    <t>躯体材料を長く使う</t>
  </si>
  <si>
    <t>Q2.2.2.1躯体材料の耐用年数</t>
    <rPh sb="8" eb="10">
      <t>クタイ</t>
    </rPh>
    <rPh sb="10" eb="12">
      <t>ザイリョウ</t>
    </rPh>
    <rPh sb="13" eb="15">
      <t>タイヨウ</t>
    </rPh>
    <rPh sb="15" eb="17">
      <t>ネンスウ</t>
    </rPh>
    <phoneticPr fontId="214"/>
  </si>
  <si>
    <t>8.4.2</t>
    <phoneticPr fontId="27"/>
  </si>
  <si>
    <t>外装仕上げ材を長く使う</t>
    <phoneticPr fontId="214"/>
  </si>
  <si>
    <t>外壁仕上げ材の補修必要間隔を長くするための工夫をしている</t>
  </si>
  <si>
    <t>Q2.2.2.2外壁仕上げ材の補修必要間隔</t>
    <rPh sb="8" eb="10">
      <t>ガイヘキ</t>
    </rPh>
    <rPh sb="15" eb="17">
      <t>ホシュウ</t>
    </rPh>
    <rPh sb="17" eb="19">
      <t>ヒツヨウ</t>
    </rPh>
    <rPh sb="19" eb="21">
      <t>カンカク</t>
    </rPh>
    <phoneticPr fontId="214"/>
  </si>
  <si>
    <t>8.4.3</t>
    <phoneticPr fontId="27"/>
  </si>
  <si>
    <t>内装仕上げ材を長く使う</t>
    <phoneticPr fontId="214"/>
  </si>
  <si>
    <t>自然災害に耐える</t>
  </si>
  <si>
    <t>防火性能を向上させる</t>
    <phoneticPr fontId="214"/>
  </si>
  <si>
    <t>以下の取組みに取り組んでいない（該当項目なし）、積極的に取り組んでいる（該当項目あり）
○火災に耐えうる先進的な取組みをしている</t>
    <phoneticPr fontId="27"/>
  </si>
  <si>
    <t>8.5.1</t>
    <phoneticPr fontId="27"/>
  </si>
  <si>
    <t>現場における最先端技術や建材の積極的活用を通じた新技術開発の機運の醸成</t>
    <phoneticPr fontId="27"/>
  </si>
  <si>
    <t>9.1.1</t>
    <phoneticPr fontId="27"/>
  </si>
  <si>
    <t>9.1.2</t>
    <phoneticPr fontId="27"/>
  </si>
  <si>
    <t>9.2.1</t>
    <phoneticPr fontId="27"/>
  </si>
  <si>
    <t>快適なオフィス生活に必要なリフレッシュスペース等の工夫をしている</t>
  </si>
  <si>
    <t>事務所、物
販店、工場</t>
    <rPh sb="0" eb="2">
      <t>ジム</t>
    </rPh>
    <rPh sb="2" eb="3">
      <t>ショ</t>
    </rPh>
    <rPh sb="4" eb="5">
      <t>モノ</t>
    </rPh>
    <rPh sb="6" eb="7">
      <t>ハン</t>
    </rPh>
    <rPh sb="7" eb="8">
      <t>テン</t>
    </rPh>
    <rPh sb="9" eb="11">
      <t>コウジョウ</t>
    </rPh>
    <phoneticPr fontId="27"/>
  </si>
  <si>
    <t>Q2.1.2.2リフレッシュスペース</t>
  </si>
  <si>
    <t>9.2.2</t>
    <phoneticPr fontId="27"/>
  </si>
  <si>
    <t>快適な通信環境設備を導入している</t>
  </si>
  <si>
    <t>9.3.1</t>
    <phoneticPr fontId="27"/>
  </si>
  <si>
    <t>Q2.2.4.1空調・換気設備</t>
  </si>
  <si>
    <t>Q2.2.4.2給排水・衛生設備</t>
  </si>
  <si>
    <t>非常時（停電時）の電源確保に向けた取組みを行っている（非常用発電設備・無停電電源設備を備えているか、地下空間への設置を避けているか等）</t>
    <rPh sb="0" eb="2">
      <t>ヒジョウ</t>
    </rPh>
    <rPh sb="2" eb="3">
      <t>ジ</t>
    </rPh>
    <rPh sb="4" eb="6">
      <t>テイデン</t>
    </rPh>
    <rPh sb="6" eb="7">
      <t>ジ</t>
    </rPh>
    <rPh sb="9" eb="11">
      <t>デンゲン</t>
    </rPh>
    <rPh sb="11" eb="13">
      <t>カクホ</t>
    </rPh>
    <rPh sb="14" eb="15">
      <t>ム</t>
    </rPh>
    <rPh sb="17" eb="19">
      <t>トリク</t>
    </rPh>
    <rPh sb="21" eb="22">
      <t>オコナ</t>
    </rPh>
    <rPh sb="27" eb="30">
      <t>ヒジョウヨウ</t>
    </rPh>
    <rPh sb="30" eb="32">
      <t>ハツデン</t>
    </rPh>
    <rPh sb="32" eb="34">
      <t>セツビ</t>
    </rPh>
    <rPh sb="35" eb="38">
      <t>ムテイデン</t>
    </rPh>
    <rPh sb="38" eb="40">
      <t>デンゲン</t>
    </rPh>
    <rPh sb="40" eb="42">
      <t>セツビ</t>
    </rPh>
    <rPh sb="43" eb="44">
      <t>ソナ</t>
    </rPh>
    <rPh sb="50" eb="52">
      <t>チカ</t>
    </rPh>
    <rPh sb="52" eb="54">
      <t>クウカン</t>
    </rPh>
    <rPh sb="56" eb="58">
      <t>セッチ</t>
    </rPh>
    <rPh sb="59" eb="60">
      <t>サ</t>
    </rPh>
    <rPh sb="65" eb="66">
      <t>ナド</t>
    </rPh>
    <phoneticPr fontId="9"/>
  </si>
  <si>
    <t>Q2.2.4.3電気設備</t>
  </si>
  <si>
    <t>敷地のハザードを確認し、情報を共有する</t>
    <phoneticPr fontId="214"/>
  </si>
  <si>
    <t>地震・火災・風水害等に耐えうる性能の確保</t>
    <phoneticPr fontId="214"/>
  </si>
  <si>
    <t>9.5.1</t>
    <phoneticPr fontId="27"/>
  </si>
  <si>
    <t>防災に関する最新の技術を採用する</t>
    <phoneticPr fontId="214"/>
  </si>
  <si>
    <t>ゴール10の内容はゴール5 等に集約されています</t>
    <phoneticPr fontId="214"/>
  </si>
  <si>
    <r>
      <rPr>
        <b/>
        <sz val="10"/>
        <color theme="1"/>
        <rFont val="游ゴシック"/>
        <family val="3"/>
        <charset val="128"/>
      </rPr>
      <t xml:space="preserve">ゴール 4. </t>
    </r>
    <r>
      <rPr>
        <b/>
        <sz val="9"/>
        <color theme="1"/>
        <rFont val="游ゴシック"/>
        <family val="3"/>
        <charset val="128"/>
      </rPr>
      <t xml:space="preserve">
</t>
    </r>
    <r>
      <rPr>
        <b/>
        <sz val="7"/>
        <color theme="1"/>
        <rFont val="游ゴシック"/>
        <family val="3"/>
        <charset val="128"/>
      </rPr>
      <t>質の高い教育をみんなに</t>
    </r>
    <phoneticPr fontId="214"/>
  </si>
  <si>
    <r>
      <rPr>
        <b/>
        <sz val="10"/>
        <color theme="1"/>
        <rFont val="游ゴシック"/>
        <family val="3"/>
        <charset val="128"/>
      </rPr>
      <t xml:space="preserve">ゴール 5. </t>
    </r>
    <r>
      <rPr>
        <b/>
        <sz val="9"/>
        <color theme="1"/>
        <rFont val="游ゴシック"/>
        <family val="3"/>
        <charset val="128"/>
      </rPr>
      <t xml:space="preserve">
</t>
    </r>
    <r>
      <rPr>
        <b/>
        <sz val="7"/>
        <color theme="1"/>
        <rFont val="游ゴシック"/>
        <family val="3"/>
        <charset val="128"/>
      </rPr>
      <t>ジェンダー平等を実現しよう</t>
    </r>
    <phoneticPr fontId="214"/>
  </si>
  <si>
    <r>
      <rPr>
        <b/>
        <sz val="10"/>
        <color theme="1"/>
        <rFont val="游ゴシック"/>
        <family val="3"/>
        <charset val="128"/>
      </rPr>
      <t>ゴール 6.</t>
    </r>
    <r>
      <rPr>
        <b/>
        <sz val="9"/>
        <color theme="1"/>
        <rFont val="游ゴシック"/>
        <family val="3"/>
        <charset val="128"/>
      </rPr>
      <t xml:space="preserve">
</t>
    </r>
    <r>
      <rPr>
        <b/>
        <sz val="7"/>
        <color theme="1"/>
        <rFont val="游ゴシック"/>
        <family val="3"/>
        <charset val="128"/>
      </rPr>
      <t>安全な水とトイレを世界中に</t>
    </r>
    <phoneticPr fontId="214"/>
  </si>
  <si>
    <r>
      <rPr>
        <b/>
        <sz val="10"/>
        <color theme="1"/>
        <rFont val="游ゴシック"/>
        <family val="3"/>
        <charset val="128"/>
      </rPr>
      <t>ゴール 7.</t>
    </r>
    <r>
      <rPr>
        <b/>
        <sz val="9"/>
        <color theme="1"/>
        <rFont val="游ゴシック"/>
        <family val="3"/>
        <charset val="128"/>
      </rPr>
      <t xml:space="preserve">
</t>
    </r>
    <r>
      <rPr>
        <b/>
        <sz val="7"/>
        <color theme="1"/>
        <rFont val="游ゴシック"/>
        <family val="3"/>
        <charset val="128"/>
      </rPr>
      <t>エネルギーをみんなに そしてクリーンに</t>
    </r>
    <phoneticPr fontId="214"/>
  </si>
  <si>
    <r>
      <rPr>
        <b/>
        <sz val="10"/>
        <color theme="1"/>
        <rFont val="游ゴシック"/>
        <family val="3"/>
        <charset val="128"/>
      </rPr>
      <t>ゴール 8.</t>
    </r>
    <r>
      <rPr>
        <b/>
        <sz val="9"/>
        <color theme="1"/>
        <rFont val="游ゴシック"/>
        <family val="3"/>
        <charset val="128"/>
      </rPr>
      <t xml:space="preserve">
</t>
    </r>
    <r>
      <rPr>
        <b/>
        <sz val="7"/>
        <color theme="1"/>
        <rFont val="游ゴシック"/>
        <family val="3"/>
        <charset val="128"/>
      </rPr>
      <t>働きがいも経済成長も</t>
    </r>
    <phoneticPr fontId="214"/>
  </si>
  <si>
    <r>
      <rPr>
        <b/>
        <sz val="10"/>
        <color theme="1"/>
        <rFont val="游ゴシック"/>
        <family val="3"/>
        <charset val="128"/>
      </rPr>
      <t>ゴール 9.</t>
    </r>
    <r>
      <rPr>
        <b/>
        <sz val="9"/>
        <color theme="1"/>
        <rFont val="游ゴシック"/>
        <family val="3"/>
        <charset val="128"/>
      </rPr>
      <t xml:space="preserve">
</t>
    </r>
    <r>
      <rPr>
        <b/>
        <sz val="7"/>
        <color theme="1"/>
        <rFont val="游ゴシック"/>
        <family val="3"/>
        <charset val="128"/>
      </rPr>
      <t>産業と技術革新の基盤をつくろう</t>
    </r>
    <rPh sb="10" eb="12">
      <t>ギジュツ</t>
    </rPh>
    <phoneticPr fontId="214"/>
  </si>
  <si>
    <r>
      <rPr>
        <b/>
        <sz val="10"/>
        <color theme="1"/>
        <rFont val="游ゴシック"/>
        <family val="3"/>
        <charset val="128"/>
      </rPr>
      <t>ゴール 10.</t>
    </r>
    <r>
      <rPr>
        <b/>
        <sz val="8"/>
        <color theme="1"/>
        <rFont val="游ゴシック"/>
        <family val="3"/>
        <charset val="128"/>
      </rPr>
      <t xml:space="preserve">
</t>
    </r>
    <r>
      <rPr>
        <b/>
        <sz val="7"/>
        <color theme="1"/>
        <rFont val="游ゴシック"/>
        <family val="3"/>
        <charset val="128"/>
      </rPr>
      <t>人や国の不平等をなくそう</t>
    </r>
    <phoneticPr fontId="214"/>
  </si>
  <si>
    <r>
      <rPr>
        <b/>
        <sz val="10"/>
        <color theme="1"/>
        <rFont val="游ゴシック"/>
        <family val="3"/>
        <charset val="128"/>
      </rPr>
      <t>ゴール 11.</t>
    </r>
    <r>
      <rPr>
        <b/>
        <sz val="9"/>
        <color theme="1"/>
        <rFont val="游ゴシック"/>
        <family val="3"/>
        <charset val="128"/>
      </rPr>
      <t xml:space="preserve">
</t>
    </r>
    <r>
      <rPr>
        <b/>
        <sz val="7"/>
        <color theme="1"/>
        <rFont val="游ゴシック"/>
        <family val="3"/>
        <charset val="128"/>
      </rPr>
      <t>住み続けられるまちづくりを</t>
    </r>
    <rPh sb="8" eb="9">
      <t>ス</t>
    </rPh>
    <rPh sb="10" eb="11">
      <t>ツヅ</t>
    </rPh>
    <phoneticPr fontId="214"/>
  </si>
  <si>
    <r>
      <rPr>
        <b/>
        <sz val="10"/>
        <color theme="1"/>
        <rFont val="游ゴシック"/>
        <family val="3"/>
        <charset val="128"/>
      </rPr>
      <t>ゴール 12.</t>
    </r>
    <r>
      <rPr>
        <b/>
        <sz val="9"/>
        <color theme="1"/>
        <rFont val="游ゴシック"/>
        <family val="3"/>
        <charset val="128"/>
      </rPr>
      <t xml:space="preserve">
</t>
    </r>
    <r>
      <rPr>
        <b/>
        <sz val="7"/>
        <color theme="1"/>
        <rFont val="游ゴシック"/>
        <family val="3"/>
        <charset val="128"/>
      </rPr>
      <t>つくる責任
つかう責任</t>
    </r>
    <phoneticPr fontId="214"/>
  </si>
  <si>
    <r>
      <rPr>
        <b/>
        <sz val="10"/>
        <color theme="1"/>
        <rFont val="游ゴシック"/>
        <family val="3"/>
        <charset val="128"/>
      </rPr>
      <t>ゴール 13.</t>
    </r>
    <r>
      <rPr>
        <b/>
        <sz val="9"/>
        <color theme="1"/>
        <rFont val="游ゴシック"/>
        <family val="3"/>
        <charset val="128"/>
      </rPr>
      <t xml:space="preserve">
</t>
    </r>
    <r>
      <rPr>
        <b/>
        <sz val="7"/>
        <color theme="1"/>
        <rFont val="游ゴシック"/>
        <family val="3"/>
        <charset val="128"/>
      </rPr>
      <t>気候変動に具体的な対策を</t>
    </r>
    <phoneticPr fontId="214"/>
  </si>
  <si>
    <r>
      <rPr>
        <b/>
        <sz val="10"/>
        <color theme="1"/>
        <rFont val="游ゴシック"/>
        <family val="3"/>
        <charset val="128"/>
      </rPr>
      <t>ゴール 14.</t>
    </r>
    <r>
      <rPr>
        <b/>
        <sz val="9"/>
        <color theme="1"/>
        <rFont val="游ゴシック"/>
        <family val="3"/>
        <charset val="128"/>
      </rPr>
      <t xml:space="preserve">
</t>
    </r>
    <r>
      <rPr>
        <b/>
        <sz val="7"/>
        <color theme="1"/>
        <rFont val="游ゴシック"/>
        <family val="3"/>
        <charset val="128"/>
      </rPr>
      <t>海の豊かさを守ろう</t>
    </r>
    <phoneticPr fontId="214"/>
  </si>
  <si>
    <r>
      <rPr>
        <b/>
        <sz val="10"/>
        <color theme="1"/>
        <rFont val="游ゴシック"/>
        <family val="3"/>
        <charset val="128"/>
      </rPr>
      <t>ゴール 15.</t>
    </r>
    <r>
      <rPr>
        <b/>
        <sz val="9"/>
        <color theme="1"/>
        <rFont val="游ゴシック"/>
        <family val="3"/>
        <charset val="128"/>
      </rPr>
      <t xml:space="preserve">
</t>
    </r>
    <r>
      <rPr>
        <b/>
        <sz val="7"/>
        <color theme="1"/>
        <rFont val="游ゴシック"/>
        <family val="3"/>
        <charset val="128"/>
      </rPr>
      <t>陸の豊かさも守ろう</t>
    </r>
    <phoneticPr fontId="214"/>
  </si>
  <si>
    <r>
      <rPr>
        <b/>
        <sz val="10"/>
        <color theme="1"/>
        <rFont val="游ゴシック"/>
        <family val="3"/>
        <charset val="128"/>
      </rPr>
      <t>ゴール 16.</t>
    </r>
    <r>
      <rPr>
        <b/>
        <sz val="9"/>
        <color theme="1"/>
        <rFont val="游ゴシック"/>
        <family val="3"/>
        <charset val="128"/>
      </rPr>
      <t xml:space="preserve">
</t>
    </r>
    <r>
      <rPr>
        <b/>
        <sz val="7"/>
        <color theme="1"/>
        <rFont val="游ゴシック"/>
        <family val="3"/>
        <charset val="128"/>
      </rPr>
      <t>平和と公正をすべての人に</t>
    </r>
    <phoneticPr fontId="214"/>
  </si>
  <si>
    <r>
      <rPr>
        <b/>
        <sz val="10"/>
        <color theme="1"/>
        <rFont val="游ゴシック"/>
        <family val="3"/>
        <charset val="128"/>
      </rPr>
      <t>ゴール 17.</t>
    </r>
    <r>
      <rPr>
        <b/>
        <sz val="9"/>
        <color theme="1"/>
        <rFont val="游ゴシック"/>
        <family val="3"/>
        <charset val="128"/>
      </rPr>
      <t xml:space="preserve">
</t>
    </r>
    <r>
      <rPr>
        <b/>
        <sz val="7"/>
        <color theme="1"/>
        <rFont val="游ゴシック"/>
        <family val="3"/>
        <charset val="128"/>
      </rPr>
      <t>パートナーシップで目標を達成しよう</t>
    </r>
    <phoneticPr fontId="214"/>
  </si>
  <si>
    <t>11.1.1</t>
    <phoneticPr fontId="214"/>
  </si>
  <si>
    <t>室外からの熱の侵入あるいは室外への熱の流出を抑制する工夫をしている</t>
  </si>
  <si>
    <t>交通事故防止、公共交通との連携</t>
  </si>
  <si>
    <t>11.2.1</t>
    <phoneticPr fontId="27"/>
  </si>
  <si>
    <t>自動車利用による交通量や事故を減らす</t>
    <phoneticPr fontId="214"/>
  </si>
  <si>
    <t>LR3.2.3.3交通負荷抑制</t>
    <rPh sb="9" eb="11">
      <t>コウツウ</t>
    </rPh>
    <rPh sb="11" eb="13">
      <t>フカ</t>
    </rPh>
    <rPh sb="13" eb="15">
      <t>ヨクセイ</t>
    </rPh>
    <phoneticPr fontId="214"/>
  </si>
  <si>
    <t>パブリックインボルブメント</t>
    <phoneticPr fontId="214"/>
  </si>
  <si>
    <t>11.3.1</t>
    <phoneticPr fontId="27"/>
  </si>
  <si>
    <t>Q3.3.1地域性への配慮、快適性の向上-V</t>
    <rPh sb="6" eb="8">
      <t xml:space="preserve">チイキ </t>
    </rPh>
    <rPh sb="8" eb="9">
      <t xml:space="preserve">セイ </t>
    </rPh>
    <rPh sb="11" eb="13">
      <t xml:space="preserve">ハイリョ </t>
    </rPh>
    <rPh sb="14" eb="17">
      <t xml:space="preserve">カイテキセイ </t>
    </rPh>
    <rPh sb="18" eb="20">
      <t xml:space="preserve">コウジョウ </t>
    </rPh>
    <phoneticPr fontId="220"/>
  </si>
  <si>
    <t>11.4.1</t>
    <phoneticPr fontId="27"/>
  </si>
  <si>
    <t>大気汚染防止に貢献する</t>
    <phoneticPr fontId="214"/>
  </si>
  <si>
    <t>LR3.2.1大気汚染防止</t>
    <rPh sb="7" eb="9">
      <t>タイキ</t>
    </rPh>
    <rPh sb="9" eb="11">
      <t>オセン</t>
    </rPh>
    <rPh sb="11" eb="13">
      <t>ボウシ</t>
    </rPh>
    <phoneticPr fontId="220"/>
  </si>
  <si>
    <t>11.4.2</t>
    <phoneticPr fontId="27"/>
  </si>
  <si>
    <t>汚水を正しく処理する</t>
    <phoneticPr fontId="214"/>
  </si>
  <si>
    <t>LR3.2.3.2汚水処理負荷抑制</t>
    <rPh sb="9" eb="11">
      <t>オスイ</t>
    </rPh>
    <rPh sb="11" eb="13">
      <t>ショリ</t>
    </rPh>
    <rPh sb="13" eb="15">
      <t>フカ</t>
    </rPh>
    <rPh sb="15" eb="17">
      <t>ヨクセイ</t>
    </rPh>
    <phoneticPr fontId="220"/>
  </si>
  <si>
    <t>11.4.3</t>
  </si>
  <si>
    <t>雨水の流出を抑制する</t>
    <phoneticPr fontId="27"/>
  </si>
  <si>
    <t>雨水の一次貯留や地下浸透など、流出抑制対策を行っている</t>
    <phoneticPr fontId="27"/>
  </si>
  <si>
    <t>11.4.4</t>
  </si>
  <si>
    <t>11.5.1</t>
    <phoneticPr fontId="27"/>
  </si>
  <si>
    <t>11.5.2</t>
    <phoneticPr fontId="27"/>
  </si>
  <si>
    <t>11.5.3</t>
  </si>
  <si>
    <t>11.5.4</t>
  </si>
  <si>
    <t>11.5.5</t>
  </si>
  <si>
    <t>11.5.6</t>
  </si>
  <si>
    <t>敷地・外構の防犯対策を施す</t>
    <phoneticPr fontId="27"/>
  </si>
  <si>
    <t>敷地・外構において、防犯性能を高めるための対策を行っている</t>
    <phoneticPr fontId="27"/>
  </si>
  <si>
    <t>Q3.3.1地域性への配慮、快適性の向上-Ⅳ</t>
    <rPh sb="6" eb="8">
      <t>チイキ</t>
    </rPh>
    <rPh sb="8" eb="9">
      <t>セイ</t>
    </rPh>
    <rPh sb="11" eb="13">
      <t>ハイリョ</t>
    </rPh>
    <rPh sb="14" eb="17">
      <t>カイテキセイ</t>
    </rPh>
    <rPh sb="18" eb="20">
      <t>コウジョウ</t>
    </rPh>
    <phoneticPr fontId="214"/>
  </si>
  <si>
    <t>まちなみ・景観への配慮した建築計画</t>
  </si>
  <si>
    <t>11.6.1</t>
    <phoneticPr fontId="27"/>
  </si>
  <si>
    <t>Q3.2まちなみ・景観への配慮</t>
  </si>
  <si>
    <t>11.7.1</t>
    <phoneticPr fontId="27"/>
  </si>
  <si>
    <t>生物環境の保全と創出に関する配慮をしている</t>
  </si>
  <si>
    <t>Q3.1生物環境の保全と創出</t>
  </si>
  <si>
    <t>騒音・振動・悪臭を低減する</t>
    <rPh sb="9" eb="11">
      <t>テイゲン</t>
    </rPh>
    <phoneticPr fontId="214"/>
  </si>
  <si>
    <t>日照阻害を抑制するための工夫をしている</t>
    <rPh sb="0" eb="2">
      <t>ニッショウ</t>
    </rPh>
    <rPh sb="2" eb="4">
      <t>ソガイ</t>
    </rPh>
    <rPh sb="5" eb="7">
      <t>ヨクセイ</t>
    </rPh>
    <phoneticPr fontId="9"/>
  </si>
  <si>
    <t>コミュニケーションスペースの確保</t>
    <phoneticPr fontId="214"/>
  </si>
  <si>
    <t>11.9.1</t>
    <phoneticPr fontId="27"/>
  </si>
  <si>
    <t>空間・施設機能を提供する</t>
    <rPh sb="0" eb="2">
      <t>クウカン</t>
    </rPh>
    <rPh sb="3" eb="5">
      <t>シセツ</t>
    </rPh>
    <rPh sb="5" eb="7">
      <t>キノウ</t>
    </rPh>
    <rPh sb="8" eb="10">
      <t>テイキョウ</t>
    </rPh>
    <phoneticPr fontId="214"/>
  </si>
  <si>
    <t>Q3.3.1地域性への配慮、快適性の向上 Ⅱ</t>
  </si>
  <si>
    <t>11.11.1</t>
    <phoneticPr fontId="27"/>
  </si>
  <si>
    <t>11.12</t>
    <phoneticPr fontId="27"/>
  </si>
  <si>
    <t>住宅・建築物の環境性能評価・認証</t>
  </si>
  <si>
    <t>11.12.1</t>
    <phoneticPr fontId="27"/>
  </si>
  <si>
    <t>環境配慮建築のラベリング・認証を活用する</t>
    <rPh sb="0" eb="2">
      <t>カンキョウ</t>
    </rPh>
    <rPh sb="2" eb="4">
      <t>ハイリョ</t>
    </rPh>
    <rPh sb="4" eb="6">
      <t>ケンチク</t>
    </rPh>
    <rPh sb="13" eb="15">
      <t>ニンショウ</t>
    </rPh>
    <rPh sb="16" eb="18">
      <t>カツヨウ</t>
    </rPh>
    <phoneticPr fontId="214"/>
  </si>
  <si>
    <t>12.1</t>
    <phoneticPr fontId="214"/>
  </si>
  <si>
    <t>住宅・建築物の長寿命化に資する性能、取組み</t>
    <rPh sb="18" eb="19">
      <t>ト</t>
    </rPh>
    <rPh sb="19" eb="20">
      <t>ク</t>
    </rPh>
    <phoneticPr fontId="214"/>
  </si>
  <si>
    <t>12.1.1</t>
    <phoneticPr fontId="27"/>
  </si>
  <si>
    <t>12.1.2</t>
    <phoneticPr fontId="27"/>
  </si>
  <si>
    <t>12.1.3</t>
    <phoneticPr fontId="27"/>
  </si>
  <si>
    <t>12.1.4</t>
  </si>
  <si>
    <t>空調換気ダクトを長く使う</t>
    <phoneticPr fontId="27"/>
  </si>
  <si>
    <t>空調及び空調換気ダクトの更新必要間隔を長くするための工夫をしている</t>
    <phoneticPr fontId="27"/>
  </si>
  <si>
    <t>Q2.2.2.4空調換気ダクトの更新必要間隔</t>
    <rPh sb="8" eb="10">
      <t>クウチョウ</t>
    </rPh>
    <rPh sb="10" eb="12">
      <t>カンキ</t>
    </rPh>
    <rPh sb="16" eb="18">
      <t>コウシン</t>
    </rPh>
    <rPh sb="18" eb="20">
      <t>ヒツヨウ</t>
    </rPh>
    <rPh sb="20" eb="22">
      <t>カンカク</t>
    </rPh>
    <phoneticPr fontId="214"/>
  </si>
  <si>
    <t>12.1.5</t>
  </si>
  <si>
    <t>空調・給排水配管を長く使う</t>
    <phoneticPr fontId="27"/>
  </si>
  <si>
    <t>空調・給排水配管の更新必要間隔を長くするための工夫をしている</t>
    <phoneticPr fontId="27"/>
  </si>
  <si>
    <t>Q2.2.2.5空調・給排水配管の更新必要間隔</t>
  </si>
  <si>
    <t>12.1.6</t>
  </si>
  <si>
    <t>主要設備機器を長く使う</t>
    <phoneticPr fontId="27"/>
  </si>
  <si>
    <t>主要設備機器の更新・交換などの必要間隔を長くするための工夫をしている</t>
    <phoneticPr fontId="27"/>
  </si>
  <si>
    <t>Q2.2.2.6主要設備機器の更新必要間隔</t>
    <rPh sb="8" eb="10">
      <t>シュヨウ</t>
    </rPh>
    <rPh sb="10" eb="12">
      <t>セツビ</t>
    </rPh>
    <rPh sb="12" eb="14">
      <t>キキ</t>
    </rPh>
    <rPh sb="15" eb="17">
      <t>コウシン</t>
    </rPh>
    <rPh sb="17" eb="19">
      <t>ヒツヨウ</t>
    </rPh>
    <rPh sb="19" eb="21">
      <t>カンカク</t>
    </rPh>
    <phoneticPr fontId="214"/>
  </si>
  <si>
    <t>12.1.7</t>
  </si>
  <si>
    <t>12.1.8</t>
    <phoneticPr fontId="27"/>
  </si>
  <si>
    <t>以下の取組みに取り組んでいない（該当項目なし）、積極的に取り組んでいる（該当項目あり）
○火災に耐える先進的な取組みをしている</t>
    <phoneticPr fontId="27"/>
  </si>
  <si>
    <t>12.2</t>
    <phoneticPr fontId="214"/>
  </si>
  <si>
    <t>12.2.1</t>
    <phoneticPr fontId="27"/>
  </si>
  <si>
    <t>12.3</t>
    <phoneticPr fontId="27"/>
  </si>
  <si>
    <t>12.3.1</t>
    <phoneticPr fontId="27"/>
  </si>
  <si>
    <t>空調配管を維持管理する</t>
    <phoneticPr fontId="214"/>
  </si>
  <si>
    <t>Q2.3.3.1空調配管の更新性</t>
    <rPh sb="8" eb="10">
      <t>クウチョウ</t>
    </rPh>
    <rPh sb="10" eb="12">
      <t>ハイカン</t>
    </rPh>
    <rPh sb="13" eb="16">
      <t>コウシンセイ</t>
    </rPh>
    <phoneticPr fontId="214"/>
  </si>
  <si>
    <t>12.3.2</t>
    <phoneticPr fontId="27"/>
  </si>
  <si>
    <t>給排水管の更新・修繕を考慮した工夫をしている</t>
    <rPh sb="0" eb="3">
      <t>キュウハイスイ</t>
    </rPh>
    <rPh sb="3" eb="4">
      <t>カン</t>
    </rPh>
    <rPh sb="5" eb="7">
      <t>コウシン</t>
    </rPh>
    <rPh sb="8" eb="10">
      <t>シュウゼン</t>
    </rPh>
    <rPh sb="11" eb="13">
      <t>コウリョ</t>
    </rPh>
    <rPh sb="15" eb="17">
      <t>クフウ</t>
    </rPh>
    <phoneticPr fontId="9"/>
  </si>
  <si>
    <t>Q2.3.3.2給排水管の更新性</t>
    <rPh sb="8" eb="11">
      <t>キュウハイスイ</t>
    </rPh>
    <rPh sb="11" eb="12">
      <t>カン</t>
    </rPh>
    <rPh sb="13" eb="16">
      <t>コウシンセイ</t>
    </rPh>
    <phoneticPr fontId="214"/>
  </si>
  <si>
    <t>12.3.3</t>
  </si>
  <si>
    <t>電気配線を維持管理する</t>
    <phoneticPr fontId="214"/>
  </si>
  <si>
    <t>電気配線の更新・修繕を考慮した工夫をしている</t>
    <rPh sb="0" eb="2">
      <t>デンキ</t>
    </rPh>
    <rPh sb="2" eb="4">
      <t>ハイセン</t>
    </rPh>
    <rPh sb="5" eb="7">
      <t>コウシン</t>
    </rPh>
    <rPh sb="8" eb="10">
      <t>シュウゼン</t>
    </rPh>
    <rPh sb="11" eb="13">
      <t>コウリョ</t>
    </rPh>
    <rPh sb="15" eb="17">
      <t>クフウ</t>
    </rPh>
    <phoneticPr fontId="9"/>
  </si>
  <si>
    <t>Q2.3.3.3電気配線の更新性</t>
    <rPh sb="8" eb="10">
      <t>デンキ</t>
    </rPh>
    <rPh sb="10" eb="12">
      <t>ハイセン</t>
    </rPh>
    <rPh sb="13" eb="16">
      <t>コウシンセイ</t>
    </rPh>
    <phoneticPr fontId="214"/>
  </si>
  <si>
    <t>12.3.4</t>
  </si>
  <si>
    <t>通信配線を維持管理する</t>
    <phoneticPr fontId="214"/>
  </si>
  <si>
    <t>通信配線の更新・修繕を考慮した工夫をしている</t>
    <rPh sb="0" eb="2">
      <t>ツウシン</t>
    </rPh>
    <rPh sb="2" eb="4">
      <t>ハイセン</t>
    </rPh>
    <rPh sb="5" eb="7">
      <t>コウシン</t>
    </rPh>
    <rPh sb="8" eb="10">
      <t>シュウゼン</t>
    </rPh>
    <rPh sb="11" eb="13">
      <t>コウリョ</t>
    </rPh>
    <rPh sb="15" eb="17">
      <t>クフウ</t>
    </rPh>
    <phoneticPr fontId="9"/>
  </si>
  <si>
    <t>Q2.3.3.4通信配線の更新性</t>
    <rPh sb="8" eb="10">
      <t>ツウシン</t>
    </rPh>
    <rPh sb="10" eb="12">
      <t>ハイセン</t>
    </rPh>
    <rPh sb="13" eb="16">
      <t>コウシンセイ</t>
    </rPh>
    <phoneticPr fontId="214"/>
  </si>
  <si>
    <t>12.3.5</t>
  </si>
  <si>
    <t>設備機器を維持管理する</t>
    <phoneticPr fontId="214"/>
  </si>
  <si>
    <t>建物機能を維持したまま更新・修繕ができる工夫をしている</t>
    <rPh sb="0" eb="2">
      <t>タテモノ</t>
    </rPh>
    <rPh sb="2" eb="4">
      <t>キノウ</t>
    </rPh>
    <rPh sb="5" eb="7">
      <t>イジ</t>
    </rPh>
    <rPh sb="11" eb="13">
      <t>コウシン</t>
    </rPh>
    <rPh sb="14" eb="16">
      <t>シュウゼン</t>
    </rPh>
    <rPh sb="20" eb="22">
      <t>クフウ</t>
    </rPh>
    <phoneticPr fontId="9"/>
  </si>
  <si>
    <t>Q2.3.3.5設備機器の更新性</t>
    <rPh sb="8" eb="10">
      <t>セツビ</t>
    </rPh>
    <rPh sb="10" eb="12">
      <t>キキ</t>
    </rPh>
    <rPh sb="13" eb="16">
      <t>コウシンセイ</t>
    </rPh>
    <phoneticPr fontId="214"/>
  </si>
  <si>
    <t>12.3.6</t>
  </si>
  <si>
    <t>バックアップスペースを確保する</t>
    <phoneticPr fontId="214"/>
  </si>
  <si>
    <t>Q2.3.3.6バックアップスペースの確保</t>
    <rPh sb="19" eb="21">
      <t>カクホ</t>
    </rPh>
    <phoneticPr fontId="214"/>
  </si>
  <si>
    <t>12.4.3</t>
  </si>
  <si>
    <t>土壌汚染を防ぐ</t>
  </si>
  <si>
    <t>12.4.4</t>
  </si>
  <si>
    <t>以下の取組みに取り組んでいない（該当項目なし）、積極的に取り組んでいる（該当項目1つ以上）
○トレーサビリティの確保
○BIMを用いた数量管理の実施</t>
    <phoneticPr fontId="27"/>
  </si>
  <si>
    <t>12.4.5</t>
  </si>
  <si>
    <t>12.4.6</t>
  </si>
  <si>
    <t>12.5</t>
    <phoneticPr fontId="214"/>
  </si>
  <si>
    <t>12.5.1</t>
    <phoneticPr fontId="27"/>
  </si>
  <si>
    <t>節水可能な仕組みを取り入れている</t>
  </si>
  <si>
    <t>12.5.2</t>
    <phoneticPr fontId="27"/>
  </si>
  <si>
    <t>12.5.3</t>
  </si>
  <si>
    <t>LR3.2.3.4廃棄物処理負荷抑制</t>
  </si>
  <si>
    <t>12.5.4</t>
  </si>
  <si>
    <t>12.6</t>
    <phoneticPr fontId="214"/>
  </si>
  <si>
    <t>12.6.1</t>
    <phoneticPr fontId="27"/>
  </si>
  <si>
    <t>周辺への化学物質の飛散を低減する</t>
    <phoneticPr fontId="214"/>
  </si>
  <si>
    <t>LR2.3.1有害物質を含まない材料の使用</t>
  </si>
  <si>
    <t>12.7</t>
    <phoneticPr fontId="214"/>
  </si>
  <si>
    <t>12.7.1</t>
    <phoneticPr fontId="27"/>
  </si>
  <si>
    <t>12.8</t>
    <phoneticPr fontId="214"/>
  </si>
  <si>
    <t>サプライチェーンを意識した資材調達</t>
    <rPh sb="9" eb="11">
      <t>イシキ</t>
    </rPh>
    <rPh sb="13" eb="15">
      <t>シザイ</t>
    </rPh>
    <rPh sb="15" eb="17">
      <t>チョウタツ</t>
    </rPh>
    <phoneticPr fontId="214"/>
  </si>
  <si>
    <t>12.8.1</t>
    <phoneticPr fontId="27"/>
  </si>
  <si>
    <t>13.1</t>
    <phoneticPr fontId="27"/>
  </si>
  <si>
    <t>建物のライフサイクルCO2の低減</t>
  </si>
  <si>
    <t>13.1.1</t>
    <phoneticPr fontId="27"/>
  </si>
  <si>
    <t>建物のライフサイクルCO2を削減する取組みを行っている</t>
  </si>
  <si>
    <t>13.2</t>
    <phoneticPr fontId="214"/>
  </si>
  <si>
    <t>13.2.1</t>
    <phoneticPr fontId="27"/>
  </si>
  <si>
    <t>LR3.2.2温熱環境悪化の改善</t>
    <rPh sb="7" eb="9">
      <t xml:space="preserve">オンネツ </t>
    </rPh>
    <rPh sb="9" eb="11">
      <t>カンキョウ</t>
    </rPh>
    <rPh sb="11" eb="13">
      <t xml:space="preserve">アッカ </t>
    </rPh>
    <rPh sb="14" eb="16">
      <t>カイゼン</t>
    </rPh>
    <phoneticPr fontId="220"/>
  </si>
  <si>
    <t>以下の取組みに取り組んでいない（該当項目なし）、取り組んでいる（該当項目1つ）、積極的に取り組んでいる（該当項目2つ以上）
○今後増大する可能性のある強風被害に対する備えを行っている（建築基準法以上の設計、合わせガラス・雨戸・シャッター等の開口部の飛来物対策）
○今後増大する可能性のあるの水害に対する備えを行っている（被災の可能性が低い地域、電気設備等の配慮、避難方法の確認）
○今後増大する可能性のある土砂災害に対する備えを行っている（被災の可能性が低い地域、避難方法の確認）
○災害時の高齢者等弱者の避難への対応（余裕を持った避難勧告の実施、移動方法、薬等の準備 等）</t>
    <rPh sb="260" eb="262">
      <t>ヨユウ</t>
    </rPh>
    <rPh sb="263" eb="264">
      <t>モ</t>
    </rPh>
    <rPh sb="266" eb="268">
      <t>ヒナン</t>
    </rPh>
    <rPh sb="268" eb="270">
      <t>カンコク</t>
    </rPh>
    <rPh sb="271" eb="273">
      <t>ジッシ</t>
    </rPh>
    <rPh sb="274" eb="276">
      <t>イドウ</t>
    </rPh>
    <rPh sb="276" eb="278">
      <t>ホウホウ</t>
    </rPh>
    <rPh sb="285" eb="286">
      <t>トウ</t>
    </rPh>
    <phoneticPr fontId="214"/>
  </si>
  <si>
    <t>13.4.3</t>
  </si>
  <si>
    <t>ゴール14の内容はゴール12 等に集約されています</t>
    <phoneticPr fontId="27"/>
  </si>
  <si>
    <t>15.1</t>
    <phoneticPr fontId="214"/>
  </si>
  <si>
    <t>15.1.1</t>
    <phoneticPr fontId="27"/>
  </si>
  <si>
    <t>15.2</t>
    <phoneticPr fontId="214"/>
  </si>
  <si>
    <t>15.2.1</t>
    <phoneticPr fontId="27"/>
  </si>
  <si>
    <t>15.3</t>
    <phoneticPr fontId="214"/>
  </si>
  <si>
    <t>15.3.1</t>
    <phoneticPr fontId="27"/>
  </si>
  <si>
    <t>持続可能な森林から産出された木材を使用している</t>
    <phoneticPr fontId="27"/>
  </si>
  <si>
    <t>LR2.2.5持続可能な森林から産出された木材の使用</t>
  </si>
  <si>
    <t>15.4</t>
    <phoneticPr fontId="214"/>
  </si>
  <si>
    <t>建物解体時に発生する木材の再利用</t>
    <rPh sb="0" eb="2">
      <t>タテモノ</t>
    </rPh>
    <phoneticPr fontId="214"/>
  </si>
  <si>
    <t>15.4.1</t>
    <phoneticPr fontId="27"/>
  </si>
  <si>
    <t>以下の取組みに取り組んでいない（該当項目なし）、積極的に取り組んでいる（該当項目あり）
○国産古材の再利用</t>
    <phoneticPr fontId="27"/>
  </si>
  <si>
    <t>ゴール16の内容はゴール12 等に集約されています</t>
    <phoneticPr fontId="214"/>
  </si>
  <si>
    <t>17.1</t>
    <phoneticPr fontId="214"/>
  </si>
  <si>
    <t>資材調達時における調達先への配慮</t>
    <rPh sb="0" eb="2">
      <t>シザイ</t>
    </rPh>
    <rPh sb="2" eb="4">
      <t>チョウタツ</t>
    </rPh>
    <rPh sb="4" eb="5">
      <t>ジ</t>
    </rPh>
    <rPh sb="9" eb="11">
      <t>チョウタツ</t>
    </rPh>
    <rPh sb="11" eb="12">
      <t>サキ</t>
    </rPh>
    <rPh sb="14" eb="16">
      <t>ハイリョ</t>
    </rPh>
    <phoneticPr fontId="214"/>
  </si>
  <si>
    <t>17.1.1</t>
    <phoneticPr fontId="27"/>
  </si>
  <si>
    <t>17.2</t>
    <phoneticPr fontId="214"/>
  </si>
  <si>
    <t>コミュニケーションを取りやすい建築計画</t>
    <rPh sb="15" eb="17">
      <t>ケンチク</t>
    </rPh>
    <rPh sb="17" eb="19">
      <t>ケイカク</t>
    </rPh>
    <phoneticPr fontId="27"/>
  </si>
  <si>
    <t>17.2.1</t>
    <phoneticPr fontId="27"/>
  </si>
  <si>
    <t>17.3</t>
    <phoneticPr fontId="27"/>
  </si>
  <si>
    <t>サプライチェーンマネジメント、共有価値の創出</t>
  </si>
  <si>
    <t>17.3.1</t>
    <phoneticPr fontId="27"/>
  </si>
  <si>
    <t>17.4</t>
    <phoneticPr fontId="214"/>
  </si>
  <si>
    <t>17.4.1</t>
    <phoneticPr fontId="27"/>
  </si>
  <si>
    <t>Q3.2まちなみ・景観への配慮</t>
    <rPh sb="9" eb="11">
      <t>ケイカン</t>
    </rPh>
    <rPh sb="13" eb="15">
      <t>ハイリョ</t>
    </rPh>
    <phoneticPr fontId="220"/>
  </si>
  <si>
    <t>17.5</t>
    <phoneticPr fontId="214"/>
  </si>
  <si>
    <t>コミュニケーションを促進するICT環境の整備</t>
    <phoneticPr fontId="214"/>
  </si>
  <si>
    <t>17.5.1</t>
    <phoneticPr fontId="27"/>
  </si>
  <si>
    <t>ICT環境を整備する</t>
    <phoneticPr fontId="27"/>
  </si>
  <si>
    <t>以下の取組みに取り組んでいない（該当項目なし）、積極的に取り組んでいる（該当項目あり）
○ICT技術を活用した地域コミュニケーションサービスの導入（防災情報、エネルギーマネジメント、地域見守りサービス、コミュニティ活動 等）</t>
    <phoneticPr fontId="27"/>
  </si>
  <si>
    <t>CASBEE評価の点数</t>
    <rPh sb="6" eb="8">
      <t>ヒョウカ</t>
    </rPh>
    <rPh sb="9" eb="11">
      <t>テンスウ</t>
    </rPh>
    <phoneticPr fontId="27"/>
  </si>
  <si>
    <t>建物用途名</t>
    <rPh sb="0" eb="2">
      <t>タテモノ</t>
    </rPh>
    <rPh sb="2" eb="4">
      <t>ヨウト</t>
    </rPh>
    <rPh sb="4" eb="5">
      <t>メイ</t>
    </rPh>
    <phoneticPr fontId="27"/>
  </si>
  <si>
    <t>評価
対象
判定</t>
    <rPh sb="0" eb="2">
      <t>ヒョウカ</t>
    </rPh>
    <rPh sb="3" eb="5">
      <t>タイショウ</t>
    </rPh>
    <rPh sb="6" eb="8">
      <t>ハンテイ</t>
    </rPh>
    <phoneticPr fontId="27"/>
  </si>
  <si>
    <t>CASBEE
評価結果</t>
    <rPh sb="7" eb="9">
      <t>ヒョウカ</t>
    </rPh>
    <rPh sb="9" eb="11">
      <t>ケッカ</t>
    </rPh>
    <phoneticPr fontId="214"/>
  </si>
  <si>
    <t>CASBEE
評価素点</t>
    <rPh sb="7" eb="9">
      <t>ヒョウカ</t>
    </rPh>
    <rPh sb="9" eb="11">
      <t>ソテン</t>
    </rPh>
    <phoneticPr fontId="27"/>
  </si>
  <si>
    <t>素点
対象外or
1～3点</t>
    <rPh sb="0" eb="2">
      <t>ソテン</t>
    </rPh>
    <rPh sb="3" eb="5">
      <t>タイショウ</t>
    </rPh>
    <rPh sb="5" eb="6">
      <t>ガイ</t>
    </rPh>
    <rPh sb="12" eb="13">
      <t>テン</t>
    </rPh>
    <phoneticPr fontId="214"/>
  </si>
  <si>
    <t>加点
チェック
判定</t>
    <rPh sb="0" eb="2">
      <t>カテン</t>
    </rPh>
    <rPh sb="8" eb="10">
      <t>ハンテイ</t>
    </rPh>
    <phoneticPr fontId="27"/>
  </si>
  <si>
    <t>小項目別
点数</t>
    <rPh sb="0" eb="3">
      <t>ショウコウモク</t>
    </rPh>
    <rPh sb="3" eb="4">
      <t>ベツ</t>
    </rPh>
    <rPh sb="5" eb="7">
      <t>テンスウ</t>
    </rPh>
    <phoneticPr fontId="214"/>
  </si>
  <si>
    <t>大項目別
点数</t>
    <rPh sb="0" eb="3">
      <t>ダイコウモク</t>
    </rPh>
    <rPh sb="3" eb="4">
      <t>ベツ</t>
    </rPh>
    <rPh sb="5" eb="7">
      <t>テンスウ</t>
    </rPh>
    <phoneticPr fontId="214"/>
  </si>
  <si>
    <t>事</t>
    <phoneticPr fontId="27"/>
  </si>
  <si>
    <t>飲</t>
    <rPh sb="0" eb="1">
      <t>イン</t>
    </rPh>
    <phoneticPr fontId="27"/>
  </si>
  <si>
    <t>会</t>
    <rPh sb="0" eb="1">
      <t>カイ</t>
    </rPh>
    <phoneticPr fontId="27"/>
  </si>
  <si>
    <t>工</t>
    <rPh sb="0" eb="1">
      <t>コウ</t>
    </rPh>
    <phoneticPr fontId="27"/>
  </si>
  <si>
    <t>病</t>
    <rPh sb="0" eb="1">
      <t>ヤマイ</t>
    </rPh>
    <phoneticPr fontId="27"/>
  </si>
  <si>
    <t>住</t>
    <rPh sb="0" eb="1">
      <t>シュウジュウ</t>
    </rPh>
    <phoneticPr fontId="27"/>
  </si>
  <si>
    <t>1～3点</t>
    <rPh sb="3" eb="4">
      <t>テン</t>
    </rPh>
    <phoneticPr fontId="27"/>
  </si>
  <si>
    <t>1～5点</t>
    <rPh sb="3" eb="4">
      <t>テン</t>
    </rPh>
    <phoneticPr fontId="27"/>
  </si>
  <si>
    <t>5点満点換算</t>
    <rPh sb="1" eb="2">
      <t>テン</t>
    </rPh>
    <rPh sb="2" eb="4">
      <t>マンテン</t>
    </rPh>
    <rPh sb="4" eb="6">
      <t>カンサン</t>
    </rPh>
    <phoneticPr fontId="214"/>
  </si>
  <si>
    <t>総合点</t>
    <rPh sb="0" eb="2">
      <t>ソウゴウ</t>
    </rPh>
    <rPh sb="2" eb="3">
      <t>テン</t>
    </rPh>
    <phoneticPr fontId="214"/>
  </si>
  <si>
    <t>→</t>
    <phoneticPr fontId="214"/>
  </si>
  <si>
    <t>ゴール3</t>
    <phoneticPr fontId="214"/>
  </si>
  <si>
    <t>ゴール4</t>
  </si>
  <si>
    <t>ゴール5</t>
  </si>
  <si>
    <t>ゴール6</t>
  </si>
  <si>
    <t>ゴール7</t>
  </si>
  <si>
    <t>ゴール8</t>
  </si>
  <si>
    <t>ゴール9</t>
  </si>
  <si>
    <t>ゴール11</t>
    <phoneticPr fontId="214"/>
  </si>
  <si>
    <t>ゴール12</t>
  </si>
  <si>
    <t>ゴール13</t>
  </si>
  <si>
    <t>ゴール15</t>
  </si>
  <si>
    <t>ゴール17</t>
  </si>
  <si>
    <t>建築環境
SDGs
評価素点</t>
    <rPh sb="0" eb="2">
      <t>ケンチク</t>
    </rPh>
    <rPh sb="2" eb="4">
      <t>カンキョウ</t>
    </rPh>
    <rPh sb="10" eb="12">
      <t>ヒョウカ</t>
    </rPh>
    <rPh sb="12" eb="14">
      <t>ソテン</t>
    </rPh>
    <phoneticPr fontId="27"/>
  </si>
  <si>
    <t>点数</t>
    <rPh sb="0" eb="2">
      <t>テンスウ</t>
    </rPh>
    <phoneticPr fontId="27"/>
  </si>
  <si>
    <t>加点
対象</t>
    <rPh sb="0" eb="2">
      <t>カテン</t>
    </rPh>
    <rPh sb="3" eb="5">
      <t>タイショウ</t>
    </rPh>
    <phoneticPr fontId="27"/>
  </si>
  <si>
    <t>特筆事項</t>
    <rPh sb="0" eb="2">
      <t>トクヒツ</t>
    </rPh>
    <rPh sb="2" eb="4">
      <t>ジコウ</t>
    </rPh>
    <phoneticPr fontId="27"/>
  </si>
  <si>
    <t>取り組んで
いない
（1点）</t>
    <rPh sb="0" eb="1">
      <t>ト</t>
    </rPh>
    <rPh sb="2" eb="3">
      <t>ク</t>
    </rPh>
    <rPh sb="12" eb="13">
      <t>テン</t>
    </rPh>
    <phoneticPr fontId="27"/>
  </si>
  <si>
    <t>取り組んで
いる
（2点）</t>
    <rPh sb="0" eb="1">
      <t>ト</t>
    </rPh>
    <rPh sb="2" eb="3">
      <t>ク</t>
    </rPh>
    <rPh sb="11" eb="12">
      <t>テン</t>
    </rPh>
    <phoneticPr fontId="27"/>
  </si>
  <si>
    <t>積極的に
取り組んで
いる（3点）</t>
    <rPh sb="0" eb="3">
      <t>セッキョクテキ</t>
    </rPh>
    <rPh sb="5" eb="6">
      <t>ト</t>
    </rPh>
    <rPh sb="7" eb="8">
      <t>ク</t>
    </rPh>
    <rPh sb="15" eb="16">
      <t>テン</t>
    </rPh>
    <phoneticPr fontId="27"/>
  </si>
  <si>
    <t>備考
（援用項目）</t>
    <phoneticPr fontId="27"/>
  </si>
  <si>
    <t>対象
用途</t>
    <phoneticPr fontId="27"/>
  </si>
  <si>
    <t>化学汚染物質による空気質汚染を回避するための対策を十分に行っている</t>
    <rPh sb="0" eb="2">
      <t>カガク</t>
    </rPh>
    <rPh sb="2" eb="4">
      <t>オセン</t>
    </rPh>
    <rPh sb="4" eb="6">
      <t>ブッシツ</t>
    </rPh>
    <rPh sb="9" eb="11">
      <t>クウキ</t>
    </rPh>
    <rPh sb="11" eb="12">
      <t>シツ</t>
    </rPh>
    <rPh sb="12" eb="14">
      <t>オセン</t>
    </rPh>
    <rPh sb="15" eb="17">
      <t>カイヒ</t>
    </rPh>
    <rPh sb="22" eb="24">
      <t>タイサク</t>
    </rPh>
    <phoneticPr fontId="4"/>
  </si>
  <si>
    <t>節水機器を採用する</t>
    <rPh sb="0" eb="1">
      <t>セツ</t>
    </rPh>
    <rPh sb="1" eb="2">
      <t>スイ</t>
    </rPh>
    <rPh sb="2" eb="4">
      <t>キキ</t>
    </rPh>
    <rPh sb="5" eb="7">
      <t>サイヨウ</t>
    </rPh>
    <phoneticPr fontId="4"/>
  </si>
  <si>
    <t>節水可能な仕組みを取り入れている</t>
    <rPh sb="9" eb="10">
      <t>ト</t>
    </rPh>
    <rPh sb="11" eb="12">
      <t>イ</t>
    </rPh>
    <phoneticPr fontId="4"/>
  </si>
  <si>
    <t>スコア</t>
    <phoneticPr fontId="27"/>
  </si>
  <si>
    <t>ゴール3</t>
    <phoneticPr fontId="27"/>
  </si>
  <si>
    <t>ゴール11</t>
  </si>
  <si>
    <t>ゴール17</t>
    <phoneticPr fontId="27"/>
  </si>
  <si>
    <r>
      <t>* SDG1,2,10,14,16</t>
    </r>
    <r>
      <rPr>
        <sz val="8"/>
        <rFont val="ＭＳ Ｐゴシック"/>
        <family val="3"/>
        <charset val="128"/>
        <scheme val="minor"/>
      </rPr>
      <t>は他のゴールに集約されています</t>
    </r>
    <phoneticPr fontId="27"/>
  </si>
  <si>
    <t>SDGsRank</t>
  </si>
  <si>
    <t>SDGsRank(Ring)</t>
  </si>
  <si>
    <t>(BlankRing)</t>
  </si>
  <si>
    <t>蓄エネに取り組む</t>
    <rPh sb="0" eb="1">
      <t>チク</t>
    </rPh>
    <rPh sb="4" eb="5">
      <t>ト</t>
    </rPh>
    <rPh sb="6" eb="7">
      <t>ク</t>
    </rPh>
    <phoneticPr fontId="3"/>
  </si>
  <si>
    <t>エネルギーを管理する</t>
    <rPh sb="6" eb="8">
      <t>カンリ</t>
    </rPh>
    <phoneticPr fontId="3"/>
  </si>
  <si>
    <t>建物外壁に設けられる窓だけでなく積極的に昼光を利用するための設備を導入している</t>
    <rPh sb="0" eb="2">
      <t>タテモノ</t>
    </rPh>
    <rPh sb="2" eb="4">
      <t>ガイヘキ</t>
    </rPh>
    <rPh sb="5" eb="6">
      <t>モウ</t>
    </rPh>
    <rPh sb="10" eb="11">
      <t>マド</t>
    </rPh>
    <rPh sb="16" eb="19">
      <t>セッキョクテキ</t>
    </rPh>
    <rPh sb="20" eb="22">
      <t>チュウコウ</t>
    </rPh>
    <rPh sb="23" eb="25">
      <t>リヨウ</t>
    </rPh>
    <rPh sb="30" eb="32">
      <t>セツビ</t>
    </rPh>
    <phoneticPr fontId="3"/>
  </si>
  <si>
    <t>空気質を高めるために建築基準法や建築物衛生法、学校環境衛生基準の換気量を上回る努力をしている</t>
    <rPh sb="0" eb="2">
      <t>クウキ</t>
    </rPh>
    <rPh sb="2" eb="3">
      <t>シツ</t>
    </rPh>
    <rPh sb="4" eb="5">
      <t>タカ</t>
    </rPh>
    <rPh sb="10" eb="12">
      <t>ケンチク</t>
    </rPh>
    <rPh sb="12" eb="15">
      <t>キジュンホウ</t>
    </rPh>
    <rPh sb="16" eb="19">
      <t>ケンチクブツ</t>
    </rPh>
    <rPh sb="19" eb="22">
      <t>エイセイホウ</t>
    </rPh>
    <rPh sb="23" eb="25">
      <t>ガッコウ</t>
    </rPh>
    <rPh sb="25" eb="27">
      <t>カンキョウ</t>
    </rPh>
    <rPh sb="27" eb="29">
      <t>エイセイ</t>
    </rPh>
    <rPh sb="29" eb="31">
      <t>キジュン</t>
    </rPh>
    <rPh sb="32" eb="34">
      <t>カンキ</t>
    </rPh>
    <rPh sb="34" eb="35">
      <t>リョウ</t>
    </rPh>
    <rPh sb="36" eb="38">
      <t>ウワマワ</t>
    </rPh>
    <rPh sb="39" eb="41">
      <t>ドリョク</t>
    </rPh>
    <phoneticPr fontId="3"/>
  </si>
  <si>
    <t>化学汚染物質による空気質汚染を回避するための対策を十分に行っている</t>
    <rPh sb="0" eb="2">
      <t>カガク</t>
    </rPh>
    <rPh sb="2" eb="4">
      <t>オセン</t>
    </rPh>
    <rPh sb="4" eb="6">
      <t>ブッシツ</t>
    </rPh>
    <rPh sb="9" eb="11">
      <t>クウキ</t>
    </rPh>
    <rPh sb="11" eb="12">
      <t>シツ</t>
    </rPh>
    <rPh sb="12" eb="14">
      <t>オセン</t>
    </rPh>
    <rPh sb="15" eb="17">
      <t>カイヒ</t>
    </rPh>
    <rPh sb="22" eb="24">
      <t>タイサク</t>
    </rPh>
    <phoneticPr fontId="3"/>
  </si>
  <si>
    <t>知的生産性を高める場を創る</t>
    <rPh sb="9" eb="10">
      <t>バ</t>
    </rPh>
    <rPh sb="11" eb="12">
      <t>ツク</t>
    </rPh>
    <phoneticPr fontId="3"/>
  </si>
  <si>
    <t>構造耐力上主要な部分にリサイクル材資材を用いている</t>
    <rPh sb="0" eb="2">
      <t>コウゾウ</t>
    </rPh>
    <rPh sb="2" eb="4">
      <t>タイリョク</t>
    </rPh>
    <rPh sb="4" eb="5">
      <t>ジョウ</t>
    </rPh>
    <rPh sb="5" eb="7">
      <t>シュヨウ</t>
    </rPh>
    <rPh sb="8" eb="10">
      <t>ブブン</t>
    </rPh>
    <rPh sb="16" eb="17">
      <t>ザイ</t>
    </rPh>
    <rPh sb="17" eb="19">
      <t>シザイ</t>
    </rPh>
    <phoneticPr fontId="3"/>
  </si>
  <si>
    <t>持続可能な森林から産出された木材を使用している</t>
    <rPh sb="0" eb="2">
      <t>ジゾク</t>
    </rPh>
    <rPh sb="2" eb="4">
      <t>カノウ</t>
    </rPh>
    <rPh sb="5" eb="7">
      <t>シンリン</t>
    </rPh>
    <rPh sb="9" eb="11">
      <t>サンシュツ</t>
    </rPh>
    <rPh sb="14" eb="16">
      <t>モクザイ</t>
    </rPh>
    <phoneticPr fontId="3"/>
  </si>
  <si>
    <t>大規模な改修工事を必要とするまでの期間を伸長させるための必要な対策を講じている</t>
    <rPh sb="0" eb="3">
      <t>ダイキボ</t>
    </rPh>
    <rPh sb="4" eb="6">
      <t>カイシュウ</t>
    </rPh>
    <rPh sb="6" eb="8">
      <t>コウジ</t>
    </rPh>
    <rPh sb="9" eb="11">
      <t>ヒツヨウ</t>
    </rPh>
    <rPh sb="17" eb="19">
      <t>キカン</t>
    </rPh>
    <rPh sb="20" eb="22">
      <t>シンチョウ</t>
    </rPh>
    <rPh sb="28" eb="30">
      <t>ヒツヨウ</t>
    </rPh>
    <phoneticPr fontId="3"/>
  </si>
  <si>
    <t>リフレッシュスペースを確保する</t>
    <rPh sb="11" eb="13">
      <t>カクホ</t>
    </rPh>
    <phoneticPr fontId="3"/>
  </si>
  <si>
    <t>先進的な通信技術を採用する</t>
    <rPh sb="0" eb="3">
      <t>センシンテキ</t>
    </rPh>
    <rPh sb="4" eb="6">
      <t>ツウシン</t>
    </rPh>
    <rPh sb="6" eb="8">
      <t>ギジュツ</t>
    </rPh>
    <rPh sb="9" eb="11">
      <t>サイヨウ</t>
    </rPh>
    <phoneticPr fontId="3"/>
  </si>
  <si>
    <t>内部設備を守る</t>
    <rPh sb="0" eb="2">
      <t>ナイブ</t>
    </rPh>
    <rPh sb="2" eb="4">
      <t>セツビ</t>
    </rPh>
    <rPh sb="5" eb="6">
      <t>マモ</t>
    </rPh>
    <phoneticPr fontId="3"/>
  </si>
  <si>
    <t>空調・換気設備の信頼性向上に向けた取組みを行っている</t>
    <rPh sb="0" eb="2">
      <t>クウチョウ</t>
    </rPh>
    <rPh sb="3" eb="5">
      <t>カンキ</t>
    </rPh>
    <rPh sb="5" eb="7">
      <t>セツビ</t>
    </rPh>
    <rPh sb="8" eb="11">
      <t>シンライセイ</t>
    </rPh>
    <rPh sb="11" eb="13">
      <t>コウジョウ</t>
    </rPh>
    <rPh sb="14" eb="15">
      <t>ム</t>
    </rPh>
    <rPh sb="17" eb="19">
      <t>トリク</t>
    </rPh>
    <rPh sb="21" eb="22">
      <t>オコナ</t>
    </rPh>
    <phoneticPr fontId="3"/>
  </si>
  <si>
    <t>機械・配管支持の信頼性向上に向けた取組みを行っている</t>
    <rPh sb="0" eb="2">
      <t>キカイ</t>
    </rPh>
    <rPh sb="3" eb="5">
      <t>ハイカン</t>
    </rPh>
    <rPh sb="5" eb="7">
      <t>シジ</t>
    </rPh>
    <rPh sb="8" eb="11">
      <t>シンライセイ</t>
    </rPh>
    <rPh sb="11" eb="13">
      <t>コウジョウ</t>
    </rPh>
    <rPh sb="14" eb="15">
      <t>ム</t>
    </rPh>
    <rPh sb="17" eb="19">
      <t>トリク</t>
    </rPh>
    <rPh sb="21" eb="22">
      <t>オコナ</t>
    </rPh>
    <phoneticPr fontId="3"/>
  </si>
  <si>
    <t>通信情報設備の信頼性向上に向けた取組みを行っている</t>
    <phoneticPr fontId="3"/>
  </si>
  <si>
    <t>地域住民の参加を促す</t>
    <rPh sb="0" eb="2">
      <t>チイキ</t>
    </rPh>
    <rPh sb="2" eb="4">
      <t>ジュウミン</t>
    </rPh>
    <rPh sb="5" eb="7">
      <t>サンカ</t>
    </rPh>
    <rPh sb="8" eb="9">
      <t>ウナガ</t>
    </rPh>
    <phoneticPr fontId="3"/>
  </si>
  <si>
    <t>大気汚染防止法、低NOx型小規模燃焼機器の推奨ガイドラインまたは地域の条例等で定める排出基準を大幅に下回る工夫をしている</t>
    <rPh sb="0" eb="2">
      <t>タイキ</t>
    </rPh>
    <rPh sb="2" eb="4">
      <t>オセン</t>
    </rPh>
    <rPh sb="4" eb="7">
      <t>ボウシホウ</t>
    </rPh>
    <rPh sb="8" eb="9">
      <t>テイ</t>
    </rPh>
    <rPh sb="12" eb="13">
      <t>ガタ</t>
    </rPh>
    <rPh sb="13" eb="16">
      <t>ショウキボ</t>
    </rPh>
    <rPh sb="16" eb="18">
      <t>ネンショウ</t>
    </rPh>
    <rPh sb="18" eb="20">
      <t>キキ</t>
    </rPh>
    <rPh sb="21" eb="23">
      <t>スイショウ</t>
    </rPh>
    <rPh sb="32" eb="34">
      <t>チイキ</t>
    </rPh>
    <rPh sb="35" eb="37">
      <t>ジョウレイ</t>
    </rPh>
    <rPh sb="37" eb="38">
      <t>トウ</t>
    </rPh>
    <rPh sb="39" eb="40">
      <t>サダ</t>
    </rPh>
    <rPh sb="42" eb="44">
      <t>ハイシュツ</t>
    </rPh>
    <rPh sb="44" eb="46">
      <t>キジュン</t>
    </rPh>
    <rPh sb="47" eb="49">
      <t>オオハバ</t>
    </rPh>
    <rPh sb="50" eb="52">
      <t>シタマワ</t>
    </rPh>
    <rPh sb="53" eb="55">
      <t>クフウ</t>
    </rPh>
    <phoneticPr fontId="3"/>
  </si>
  <si>
    <t>敷地のハザードを確認し、情報を共有する</t>
    <rPh sb="0" eb="2">
      <t>シキチ</t>
    </rPh>
    <rPh sb="8" eb="10">
      <t>カクニン</t>
    </rPh>
    <rPh sb="12" eb="14">
      <t>ジョウホウ</t>
    </rPh>
    <rPh sb="15" eb="17">
      <t>キョウユウ</t>
    </rPh>
    <phoneticPr fontId="3"/>
  </si>
  <si>
    <t>良好なまちなみ・景観形成に取り組む</t>
    <phoneticPr fontId="3"/>
  </si>
  <si>
    <t>生物環境を守る</t>
    <rPh sb="0" eb="2">
      <t>セイブツ</t>
    </rPh>
    <rPh sb="2" eb="4">
      <t>カンキョウ</t>
    </rPh>
    <rPh sb="5" eb="6">
      <t>マモ</t>
    </rPh>
    <phoneticPr fontId="3"/>
  </si>
  <si>
    <t>振動規制法や地域の条例等に定める現行の規制基準を大幅に下回る工夫をしている</t>
    <rPh sb="0" eb="2">
      <t>シンドウ</t>
    </rPh>
    <rPh sb="2" eb="5">
      <t>キセイホウ</t>
    </rPh>
    <rPh sb="6" eb="8">
      <t>チイキ</t>
    </rPh>
    <rPh sb="9" eb="11">
      <t>ジョウレイ</t>
    </rPh>
    <rPh sb="11" eb="12">
      <t>トウ</t>
    </rPh>
    <rPh sb="13" eb="14">
      <t>サダ</t>
    </rPh>
    <rPh sb="16" eb="18">
      <t>ゲンコウ</t>
    </rPh>
    <rPh sb="19" eb="21">
      <t>キセイ</t>
    </rPh>
    <rPh sb="21" eb="23">
      <t>キジュン</t>
    </rPh>
    <rPh sb="24" eb="26">
      <t>オオハバ</t>
    </rPh>
    <rPh sb="27" eb="29">
      <t>シタマワ</t>
    </rPh>
    <rPh sb="30" eb="32">
      <t>クフウ</t>
    </rPh>
    <phoneticPr fontId="3"/>
  </si>
  <si>
    <t>風害を抑制するための工夫をしている</t>
    <rPh sb="10" eb="12">
      <t>クフウ</t>
    </rPh>
    <phoneticPr fontId="3"/>
  </si>
  <si>
    <t>躯体材料を長く使う</t>
    <rPh sb="0" eb="2">
      <t>クタイ</t>
    </rPh>
    <rPh sb="2" eb="4">
      <t>ザイリョウ</t>
    </rPh>
    <rPh sb="5" eb="6">
      <t>ナガ</t>
    </rPh>
    <rPh sb="7" eb="8">
      <t>ツカ</t>
    </rPh>
    <phoneticPr fontId="3"/>
  </si>
  <si>
    <t>外装仕上げ材を長く使う</t>
    <rPh sb="7" eb="8">
      <t>ナガ</t>
    </rPh>
    <rPh sb="9" eb="10">
      <t>ツカ</t>
    </rPh>
    <phoneticPr fontId="3"/>
  </si>
  <si>
    <t>内装仕上げ材を長く使う</t>
    <rPh sb="0" eb="2">
      <t>ナイソウ</t>
    </rPh>
    <rPh sb="2" eb="4">
      <t>シア</t>
    </rPh>
    <rPh sb="5" eb="6">
      <t>ザイ</t>
    </rPh>
    <rPh sb="7" eb="8">
      <t>ナガ</t>
    </rPh>
    <rPh sb="9" eb="10">
      <t>ツカ</t>
    </rPh>
    <phoneticPr fontId="3"/>
  </si>
  <si>
    <t>空調配管の更新・修繕を考慮した工夫をしている</t>
    <rPh sb="0" eb="2">
      <t>クウチョウ</t>
    </rPh>
    <rPh sb="2" eb="4">
      <t>ハイカン</t>
    </rPh>
    <rPh sb="5" eb="7">
      <t>コウシン</t>
    </rPh>
    <rPh sb="8" eb="10">
      <t>シュウゼン</t>
    </rPh>
    <rPh sb="11" eb="13">
      <t>コウリョ</t>
    </rPh>
    <rPh sb="15" eb="17">
      <t>クフウ</t>
    </rPh>
    <phoneticPr fontId="3"/>
  </si>
  <si>
    <t>給排水管を維持管理する</t>
    <rPh sb="5" eb="7">
      <t>イジ</t>
    </rPh>
    <rPh sb="7" eb="9">
      <t>カンリ</t>
    </rPh>
    <phoneticPr fontId="3"/>
  </si>
  <si>
    <t>材料使用量を削減する</t>
    <rPh sb="0" eb="2">
      <t>ザイリョウ</t>
    </rPh>
    <rPh sb="2" eb="4">
      <t>シヨウ</t>
    </rPh>
    <rPh sb="4" eb="5">
      <t>リョウ</t>
    </rPh>
    <rPh sb="6" eb="8">
      <t>サクゲン</t>
    </rPh>
    <phoneticPr fontId="3"/>
  </si>
  <si>
    <t>建築躯体等を継続して使用する</t>
    <rPh sb="0" eb="2">
      <t>ケンチク</t>
    </rPh>
    <rPh sb="2" eb="4">
      <t>クタイ</t>
    </rPh>
    <rPh sb="4" eb="5">
      <t>トウ</t>
    </rPh>
    <rPh sb="6" eb="8">
      <t>ケイゾク</t>
    </rPh>
    <phoneticPr fontId="3"/>
  </si>
  <si>
    <t>躯体材料においてリサイクル材を
使用する</t>
    <rPh sb="17" eb="19">
      <t>シヨウ</t>
    </rPh>
    <phoneticPr fontId="3"/>
  </si>
  <si>
    <t>躯体材料以外においてリサイクル材を使用する</t>
    <rPh sb="0" eb="2">
      <t>ユウガイ</t>
    </rPh>
    <rPh sb="2" eb="4">
      <t>ブッシツ</t>
    </rPh>
    <phoneticPr fontId="3"/>
  </si>
  <si>
    <t>部材の再利用可能性向上へ取り組む</t>
    <rPh sb="12" eb="13">
      <t>ト</t>
    </rPh>
    <rPh sb="14" eb="15">
      <t>ク</t>
    </rPh>
    <phoneticPr fontId="3"/>
  </si>
  <si>
    <t>節水機器を採用する</t>
    <rPh sb="0" eb="2">
      <t>セッスイ</t>
    </rPh>
    <rPh sb="2" eb="4">
      <t>キキ</t>
    </rPh>
    <rPh sb="5" eb="7">
      <t>サイヨウ</t>
    </rPh>
    <phoneticPr fontId="3"/>
  </si>
  <si>
    <t>廃棄物の発生を抑える</t>
    <rPh sb="0" eb="3">
      <t>ハイキブツ</t>
    </rPh>
    <rPh sb="4" eb="6">
      <t>ハッセイ</t>
    </rPh>
    <rPh sb="7" eb="8">
      <t>オサ</t>
    </rPh>
    <phoneticPr fontId="3"/>
  </si>
  <si>
    <t>環境影響を及ぼす可能性のある化学物質の使用削減に関する取組みをしている</t>
    <rPh sb="24" eb="25">
      <t>カン</t>
    </rPh>
    <phoneticPr fontId="3"/>
  </si>
  <si>
    <r>
      <t>建物のライフサイクルCO</t>
    </r>
    <r>
      <rPr>
        <vertAlign val="subscript"/>
        <sz val="9"/>
        <rFont val="游ゴシック"/>
        <family val="3"/>
        <charset val="128"/>
      </rPr>
      <t>2</t>
    </r>
    <r>
      <rPr>
        <sz val="9"/>
        <rFont val="游ゴシック"/>
        <family val="3"/>
        <charset val="128"/>
      </rPr>
      <t>を削減する取組みを行っている</t>
    </r>
    <rPh sb="0" eb="2">
      <t>タテモノ</t>
    </rPh>
    <rPh sb="14" eb="16">
      <t>サクゲン</t>
    </rPh>
    <rPh sb="22" eb="23">
      <t>オコナ</t>
    </rPh>
    <phoneticPr fontId="3"/>
  </si>
  <si>
    <t>快適な室温を確保する</t>
    <rPh sb="0" eb="2">
      <t>カイテキ</t>
    </rPh>
    <rPh sb="3" eb="5">
      <t>シツオン</t>
    </rPh>
    <rPh sb="6" eb="8">
      <t>カクホ</t>
    </rPh>
    <phoneticPr fontId="2"/>
  </si>
  <si>
    <t>断熱性能を高める</t>
    <rPh sb="0" eb="2">
      <t>ダンネツ</t>
    </rPh>
    <rPh sb="2" eb="4">
      <t>セイノウ</t>
    </rPh>
    <rPh sb="5" eb="6">
      <t>タカ</t>
    </rPh>
    <phoneticPr fontId="2"/>
  </si>
  <si>
    <t>内部設備を守る</t>
    <rPh sb="0" eb="2">
      <t>ナイブ</t>
    </rPh>
    <rPh sb="2" eb="4">
      <t>セツビ</t>
    </rPh>
    <rPh sb="5" eb="6">
      <t>マモ</t>
    </rPh>
    <phoneticPr fontId="2"/>
  </si>
  <si>
    <t>空調・換気設備の信頼性向上に向けた取組みを行っている</t>
    <rPh sb="0" eb="2">
      <t>クウチョウ</t>
    </rPh>
    <rPh sb="3" eb="5">
      <t>カンキ</t>
    </rPh>
    <rPh sb="5" eb="7">
      <t>セツビ</t>
    </rPh>
    <rPh sb="8" eb="11">
      <t>シンライセイ</t>
    </rPh>
    <rPh sb="11" eb="13">
      <t>コウジョウ</t>
    </rPh>
    <rPh sb="14" eb="15">
      <t>ム</t>
    </rPh>
    <rPh sb="17" eb="19">
      <t>トリク</t>
    </rPh>
    <rPh sb="21" eb="22">
      <t>オコナ</t>
    </rPh>
    <phoneticPr fontId="2"/>
  </si>
  <si>
    <t>機械・配管支持の信頼性向上に向けた取組みを行っている</t>
    <rPh sb="0" eb="2">
      <t>キカイ</t>
    </rPh>
    <rPh sb="3" eb="5">
      <t>ハイカン</t>
    </rPh>
    <rPh sb="5" eb="7">
      <t>シジ</t>
    </rPh>
    <rPh sb="8" eb="11">
      <t>シンライセイ</t>
    </rPh>
    <rPh sb="11" eb="13">
      <t>コウジョウ</t>
    </rPh>
    <rPh sb="14" eb="15">
      <t>ム</t>
    </rPh>
    <rPh sb="17" eb="19">
      <t>トリク</t>
    </rPh>
    <rPh sb="21" eb="22">
      <t>オコナ</t>
    </rPh>
    <phoneticPr fontId="2"/>
  </si>
  <si>
    <t>通信情報設備の信頼性向上に向けた取組みを行っている</t>
    <phoneticPr fontId="2"/>
  </si>
  <si>
    <t>敷地のハザードを確認し、情報を共有する</t>
    <rPh sb="0" eb="2">
      <t>シキチ</t>
    </rPh>
    <rPh sb="8" eb="10">
      <t>カクニン</t>
    </rPh>
    <rPh sb="12" eb="14">
      <t>ジョウホウ</t>
    </rPh>
    <rPh sb="15" eb="17">
      <t>キョウユウ</t>
    </rPh>
    <phoneticPr fontId="2"/>
  </si>
  <si>
    <t>敷地内を積極的に緑化する</t>
    <rPh sb="0" eb="2">
      <t>シキチ</t>
    </rPh>
    <rPh sb="2" eb="3">
      <t>ナイ</t>
    </rPh>
    <rPh sb="4" eb="7">
      <t>セッキョクテキ</t>
    </rPh>
    <rPh sb="8" eb="10">
      <t>リョッカ</t>
    </rPh>
    <phoneticPr fontId="2"/>
  </si>
  <si>
    <t>持続可能な森林から木材を調達する</t>
    <rPh sb="0" eb="2">
      <t>ジゾク</t>
    </rPh>
    <rPh sb="2" eb="4">
      <t>カノウ</t>
    </rPh>
    <rPh sb="5" eb="7">
      <t>シンリン</t>
    </rPh>
    <rPh sb="9" eb="11">
      <t>モクザイ</t>
    </rPh>
    <rPh sb="12" eb="14">
      <t>チョウタツ</t>
    </rPh>
    <phoneticPr fontId="2"/>
  </si>
  <si>
    <t>古材を再利用する</t>
    <rPh sb="0" eb="2">
      <t>コザイ</t>
    </rPh>
    <rPh sb="3" eb="6">
      <t>サイリヨウ</t>
    </rPh>
    <phoneticPr fontId="2"/>
  </si>
  <si>
    <t>良好なまちなみ・景観形成に取り組む</t>
    <phoneticPr fontId="2"/>
  </si>
  <si>
    <t>物販店、飲食
店、集合所
以外の全用途</t>
    <rPh sb="0" eb="3">
      <t>ブッパンテン</t>
    </rPh>
    <rPh sb="4" eb="5">
      <t>イン</t>
    </rPh>
    <rPh sb="5" eb="6">
      <t>ショク</t>
    </rPh>
    <rPh sb="7" eb="8">
      <t>テン</t>
    </rPh>
    <rPh sb="9" eb="11">
      <t>シュウゴウ</t>
    </rPh>
    <rPh sb="11" eb="12">
      <t>ジョ</t>
    </rPh>
    <phoneticPr fontId="27"/>
  </si>
  <si>
    <t>重合住宅
以外の
全用途</t>
    <rPh sb="0" eb="2">
      <t>ジュウゴウ</t>
    </rPh>
    <rPh sb="2" eb="4">
      <t>ジュウタク</t>
    </rPh>
    <phoneticPr fontId="27"/>
  </si>
  <si>
    <t>事務所、工
場、ホテル
、集合住宅</t>
    <rPh sb="0" eb="2">
      <t>ジム</t>
    </rPh>
    <rPh sb="2" eb="3">
      <t>ショ</t>
    </rPh>
    <rPh sb="4" eb="5">
      <t>コウ</t>
    </rPh>
    <rPh sb="6" eb="7">
      <t>ジョウ</t>
    </rPh>
    <rPh sb="13" eb="14">
      <t>シュウ</t>
    </rPh>
    <rPh sb="14" eb="15">
      <t>ゴウ</t>
    </rPh>
    <rPh sb="15" eb="17">
      <t>ジュウタク</t>
    </rPh>
    <phoneticPr fontId="27"/>
  </si>
  <si>
    <t>LR1.2自然エネルギー利用</t>
    <rPh sb="12" eb="14">
      <t>リヨウ</t>
    </rPh>
    <phoneticPr fontId="27"/>
  </si>
  <si>
    <t>LR2.2.4躯体材料以外におけるリサイクル材の使用</t>
    <phoneticPr fontId="27"/>
  </si>
  <si>
    <t>LR2.2.5持続可能な森林から産出された木材</t>
    <rPh sb="7" eb="9">
      <t>ジゾク</t>
    </rPh>
    <rPh sb="9" eb="11">
      <t>カノウ</t>
    </rPh>
    <rPh sb="12" eb="14">
      <t>シンリン</t>
    </rPh>
    <rPh sb="16" eb="18">
      <t>サンシュツ</t>
    </rPh>
    <rPh sb="21" eb="23">
      <t>モクザイ</t>
    </rPh>
    <phoneticPr fontId="214"/>
  </si>
  <si>
    <t>Q2.2.2.3主要内装仕上げ材の更新必要間隔</t>
    <rPh sb="8" eb="10">
      <t>シュヨウ</t>
    </rPh>
    <rPh sb="10" eb="12">
      <t>ナイソウ</t>
    </rPh>
    <rPh sb="17" eb="19">
      <t>コウシン</t>
    </rPh>
    <rPh sb="19" eb="21">
      <t>ヒツヨウ</t>
    </rPh>
    <rPh sb="21" eb="23">
      <t>カンカク</t>
    </rPh>
    <phoneticPr fontId="214"/>
  </si>
  <si>
    <t>Q2.1.1.2高度情報通信設備対応</t>
    <phoneticPr fontId="214"/>
  </si>
  <si>
    <t>Q2.2.4.4機械・配管支持方法</t>
    <phoneticPr fontId="27"/>
  </si>
  <si>
    <t>Q2.2.4.5通信・情報設備</t>
    <phoneticPr fontId="27"/>
  </si>
  <si>
    <t>LR2.2.1材料使用量の削減</t>
    <phoneticPr fontId="220"/>
  </si>
  <si>
    <t>再帰性反射対策面率</t>
    <rPh sb="0" eb="3">
      <t>サイキセイ</t>
    </rPh>
    <rPh sb="3" eb="5">
      <t>ハンシャ</t>
    </rPh>
    <rPh sb="5" eb="7">
      <t>タイサク</t>
    </rPh>
    <rPh sb="7" eb="8">
      <t>メン</t>
    </rPh>
    <rPh sb="8" eb="9">
      <t>リツ</t>
    </rPh>
    <phoneticPr fontId="27"/>
  </si>
  <si>
    <t>水被率/保水面積率</t>
    <rPh sb="0" eb="1">
      <t>スイ</t>
    </rPh>
    <rPh sb="1" eb="2">
      <t>ヒ</t>
    </rPh>
    <rPh sb="2" eb="3">
      <t>リツ</t>
    </rPh>
    <rPh sb="4" eb="6">
      <t>ホスイ</t>
    </rPh>
    <rPh sb="6" eb="8">
      <t>メンセキ</t>
    </rPh>
    <rPh sb="8" eb="9">
      <t>リツ</t>
    </rPh>
    <phoneticPr fontId="27"/>
  </si>
  <si>
    <t>再帰性反射対策率</t>
    <rPh sb="0" eb="3">
      <t>サイキセイ</t>
    </rPh>
    <rPh sb="3" eb="5">
      <t>ハンシャ</t>
    </rPh>
    <rPh sb="5" eb="7">
      <t>タイサク</t>
    </rPh>
    <rPh sb="7" eb="8">
      <t>リツ</t>
    </rPh>
    <phoneticPr fontId="27"/>
  </si>
  <si>
    <t>水面/保水性対策面</t>
    <rPh sb="0" eb="2">
      <t>スイメン</t>
    </rPh>
    <rPh sb="3" eb="6">
      <t>ホスイセイ</t>
    </rPh>
    <rPh sb="6" eb="8">
      <t>タイサク</t>
    </rPh>
    <rPh sb="8" eb="9">
      <t>メン</t>
    </rPh>
    <phoneticPr fontId="27"/>
  </si>
  <si>
    <t>東京電力エナジーパートナー(株)</t>
  </si>
  <si>
    <t>東京電力エナジーパートナー(株)</t>
    <phoneticPr fontId="27"/>
  </si>
  <si>
    <t>中部電力ミライズ(株)（旧：中部電力(株)）</t>
  </si>
  <si>
    <t>中部電力ミライズ(株)（旧：中部電力(株)）</t>
    <phoneticPr fontId="27"/>
  </si>
  <si>
    <t>○△電力（H30年実績値）</t>
    <rPh sb="8" eb="9">
      <t>ネン</t>
    </rPh>
    <rPh sb="9" eb="11">
      <t>ジッセキ</t>
    </rPh>
    <rPh sb="11" eb="12">
      <t>チ</t>
    </rPh>
    <phoneticPr fontId="27"/>
  </si>
  <si>
    <t>　　上記例示以外は、以下に事業者名と排出係数を入力してください。</t>
    <rPh sb="2" eb="4">
      <t>ジョウキ</t>
    </rPh>
    <rPh sb="4" eb="6">
      <t>レイジ</t>
    </rPh>
    <rPh sb="6" eb="8">
      <t>イガイ</t>
    </rPh>
    <rPh sb="10" eb="12">
      <t>イカ</t>
    </rPh>
    <rPh sb="13" eb="16">
      <t>ジギョウシャ</t>
    </rPh>
    <rPh sb="16" eb="17">
      <t>メイ</t>
    </rPh>
    <rPh sb="18" eb="20">
      <t>ハイシュツ</t>
    </rPh>
    <rPh sb="20" eb="22">
      <t>ケイスウ</t>
    </rPh>
    <rPh sb="23" eb="25">
      <t>ニュウリョク</t>
    </rPh>
    <phoneticPr fontId="27"/>
  </si>
  <si>
    <t>平成30年度の電気事業者別実排出係数等の公表値の例示 (令和2年9月15日一部追加・修正)</t>
    <rPh sb="22" eb="23">
      <t>チ</t>
    </rPh>
    <rPh sb="24" eb="26">
      <t>レイジ</t>
    </rPh>
    <rPh sb="28" eb="30">
      <t>レイワ</t>
    </rPh>
    <rPh sb="31" eb="32">
      <t>ネン</t>
    </rPh>
    <rPh sb="33" eb="34">
      <t>ガツ</t>
    </rPh>
    <rPh sb="36" eb="37">
      <t>ニチ</t>
    </rPh>
    <rPh sb="37" eb="39">
      <t>イチブ</t>
    </rPh>
    <rPh sb="39" eb="41">
      <t>ツイカ</t>
    </rPh>
    <rPh sb="42" eb="44">
      <t>シュウセイ</t>
    </rPh>
    <phoneticPr fontId="27"/>
  </si>
  <si>
    <t>522(屋外廊下)/801（屋内廊下）</t>
    <rPh sb="4" eb="6">
      <t>オクガイ</t>
    </rPh>
    <rPh sb="6" eb="7">
      <t>ロウ</t>
    </rPh>
    <rPh sb="7" eb="8">
      <t>シタ</t>
    </rPh>
    <rPh sb="14" eb="16">
      <t>オクナイ</t>
    </rPh>
    <rPh sb="16" eb="18">
      <t>ロウカ</t>
    </rPh>
    <phoneticPr fontId="214"/>
  </si>
  <si>
    <t>コンビニエンスストア</t>
  </si>
  <si>
    <t>家電量販店</t>
  </si>
  <si>
    <t>研究施設</t>
    <rPh sb="0" eb="2">
      <t>ケンキュウ</t>
    </rPh>
    <rPh sb="2" eb="4">
      <t>シセツ</t>
    </rPh>
    <phoneticPr fontId="4"/>
  </si>
  <si>
    <t>研究施設</t>
    <rPh sb="0" eb="2">
      <t>ケンキュウ</t>
    </rPh>
    <rPh sb="2" eb="4">
      <t>シセツ</t>
    </rPh>
    <phoneticPr fontId="27"/>
  </si>
  <si>
    <t>◇算定省令に基づく電気事業者ごとの実排出係数及び代替値</t>
    <phoneticPr fontId="27"/>
  </si>
  <si>
    <t>照明計画と内装計画が一体として計画されるよう、内装計画の段階で、具体的な取り組みがある。（例：用途に適した雰囲気を演出するために行っている照明設備の工夫や光源の色温度の計画を内装計画と合わせて実施している等）</t>
    <phoneticPr fontId="27"/>
  </si>
  <si>
    <t>壁掛け式大便器、小便器を採用している。</t>
    <phoneticPr fontId="27"/>
  </si>
  <si>
    <t>その他</t>
    <phoneticPr fontId="27"/>
  </si>
  <si>
    <t>No.13</t>
    <phoneticPr fontId="27"/>
  </si>
  <si>
    <t>11)　天井隠蔽機器の点検口は点検の際に必要なサイズを確保している。</t>
    <phoneticPr fontId="27"/>
  </si>
  <si>
    <t>⑩　天井隠蔽機器の点検口は点検の際に必要なサイズを確保している。</t>
    <phoneticPr fontId="27"/>
  </si>
  <si>
    <t>揺れを抑える装置を導入し、部分的に地震時・強風時の内部設備保護が図られている。</t>
    <phoneticPr fontId="27"/>
  </si>
  <si>
    <t>揺れを抑える装置を導入し、建物全体で地震時・強風時の内部設備保護が図られている。</t>
    <phoneticPr fontId="27"/>
  </si>
  <si>
    <t>2) 《新築》は評価対象外。</t>
    <phoneticPr fontId="27"/>
  </si>
  <si>
    <t>―</t>
    <phoneticPr fontId="27"/>
  </si>
  <si>
    <t>3) 《新築》は評価対象外。</t>
    <phoneticPr fontId="27"/>
  </si>
  <si>
    <t>4) 建物利用者や地域住民が生物とふれあい自然に親しめる環境や施設等を確保している。</t>
    <phoneticPr fontId="27"/>
  </si>
  <si>
    <t>VI 屋外施設等の適切な維持管理</t>
    <phoneticPr fontId="27"/>
  </si>
  <si>
    <t>1) 《新築》は評価対象外。</t>
    <phoneticPr fontId="27"/>
  </si>
  <si>
    <t>Ⅶ その他</t>
    <phoneticPr fontId="27"/>
  </si>
  <si>
    <t>レベル３に対する、採光及び通風が行えない。</t>
    <phoneticPr fontId="27"/>
  </si>
  <si>
    <t>住戸数・教室数のほぼ全体（80%以上）が、外皮等に2方向面しており、有効な採光及び通風が確保されている。</t>
    <rPh sb="0" eb="2">
      <t>ジュウコ</t>
    </rPh>
    <rPh sb="2" eb="3">
      <t>スウ</t>
    </rPh>
    <rPh sb="4" eb="6">
      <t>キョウシツ</t>
    </rPh>
    <rPh sb="6" eb="7">
      <t>スウ</t>
    </rPh>
    <rPh sb="10" eb="12">
      <t>ゼンタイ</t>
    </rPh>
    <rPh sb="16" eb="18">
      <t>イジョウ</t>
    </rPh>
    <rPh sb="21" eb="23">
      <t>ガイヒ</t>
    </rPh>
    <rPh sb="23" eb="24">
      <t>トウ</t>
    </rPh>
    <rPh sb="26" eb="28">
      <t>ホウコウ</t>
    </rPh>
    <rPh sb="28" eb="29">
      <t>メン</t>
    </rPh>
    <rPh sb="34" eb="36">
      <t>ユウコウ</t>
    </rPh>
    <rPh sb="37" eb="39">
      <t>サイコウ</t>
    </rPh>
    <rPh sb="39" eb="40">
      <t>オヨ</t>
    </rPh>
    <rPh sb="41" eb="43">
      <t>ツウフウ</t>
    </rPh>
    <rPh sb="44" eb="46">
      <t>カクホ</t>
    </rPh>
    <phoneticPr fontId="27"/>
  </si>
  <si>
    <t>上記の他、換気ボイドなど、効果を促進させる建築的工夫がなされ、その影響範囲が、住戸数・教室数の過半（50%以上）に及ぶもの。</t>
    <rPh sb="0" eb="2">
      <t>ジョウキ</t>
    </rPh>
    <rPh sb="3" eb="4">
      <t>ホカ</t>
    </rPh>
    <rPh sb="5" eb="7">
      <t>カンキ</t>
    </rPh>
    <rPh sb="13" eb="15">
      <t>コウカ</t>
    </rPh>
    <rPh sb="16" eb="18">
      <t>ソクシン</t>
    </rPh>
    <rPh sb="21" eb="24">
      <t>ケンチクテキ</t>
    </rPh>
    <rPh sb="24" eb="26">
      <t>クフウ</t>
    </rPh>
    <rPh sb="33" eb="35">
      <t>エイキョウ</t>
    </rPh>
    <rPh sb="35" eb="37">
      <t>ハンイ</t>
    </rPh>
    <rPh sb="39" eb="41">
      <t>ジュウコ</t>
    </rPh>
    <rPh sb="41" eb="42">
      <t>スウ</t>
    </rPh>
    <rPh sb="43" eb="45">
      <t>キョウシツ</t>
    </rPh>
    <rPh sb="45" eb="46">
      <t>スウ</t>
    </rPh>
    <rPh sb="47" eb="49">
      <t>カハン</t>
    </rPh>
    <rPh sb="53" eb="55">
      <t>イジョウ</t>
    </rPh>
    <rPh sb="57" eb="58">
      <t>オヨ</t>
    </rPh>
    <phoneticPr fontId="27"/>
  </si>
  <si>
    <t>上記の工夫が、住戸数・教室数の大半（80%以上）に及ぶもの。</t>
    <rPh sb="0" eb="2">
      <t>ジョウキ</t>
    </rPh>
    <rPh sb="3" eb="5">
      <t>クフウ</t>
    </rPh>
    <rPh sb="7" eb="9">
      <t>ジュウコ</t>
    </rPh>
    <rPh sb="9" eb="10">
      <t>スウ</t>
    </rPh>
    <rPh sb="11" eb="13">
      <t>キョウシツ</t>
    </rPh>
    <rPh sb="13" eb="14">
      <t>スウ</t>
    </rPh>
    <rPh sb="15" eb="17">
      <t>タイハン</t>
    </rPh>
    <rPh sb="21" eb="23">
      <t>イジョウ</t>
    </rPh>
    <rPh sb="25" eb="26">
      <t>オヨ</t>
    </rPh>
    <phoneticPr fontId="27"/>
  </si>
  <si>
    <t>レベル３を満たさない。</t>
    <phoneticPr fontId="27"/>
  </si>
  <si>
    <t>（該当するレベルなし）</t>
    <phoneticPr fontId="27"/>
  </si>
  <si>
    <t>ODP＝0の発泡剤を用いた断熱材等を使用している。</t>
    <rPh sb="6" eb="8">
      <t>ハッポウ</t>
    </rPh>
    <rPh sb="8" eb="9">
      <t>ザイ</t>
    </rPh>
    <rPh sb="10" eb="11">
      <t>モチ</t>
    </rPh>
    <rPh sb="13" eb="17">
      <t>ダンネツザイナド</t>
    </rPh>
    <rPh sb="18" eb="20">
      <t>シヨウ</t>
    </rPh>
    <phoneticPr fontId="27"/>
  </si>
  <si>
    <t>ODP＝0かつ、GWP＝10以下の発泡剤を用いた断熱材等を使用している。</t>
    <phoneticPr fontId="27"/>
  </si>
  <si>
    <t>ODP＝0かつGWP＝１以下の発泡剤を用いた断熱材等を使用している。</t>
    <rPh sb="19" eb="20">
      <t>モチ</t>
    </rPh>
    <rPh sb="22" eb="26">
      <t>ダンネツザイナド</t>
    </rPh>
    <rPh sb="27" eb="29">
      <t>シヨウ</t>
    </rPh>
    <phoneticPr fontId="27"/>
  </si>
  <si>
    <t>①近くの気象台データや地域気象観測データ(アメダスデータ)等の既存データを用いて風向風速卓越風などの風環境を把握している場合(1ポイント)</t>
    <phoneticPr fontId="27"/>
  </si>
  <si>
    <t>②上記に加えさらに現地測定を行った場合や広域気象データや地形データに基づいた広域大気環境予測システムで補完してより詳細に調査した場合(2ポイント)</t>
    <rPh sb="1" eb="3">
      <t>ジョウキ</t>
    </rPh>
    <phoneticPr fontId="27"/>
  </si>
  <si>
    <t>2) 《新築》は評価対象外。</t>
    <phoneticPr fontId="27"/>
  </si>
  <si>
    <t>③ 《新築》は評価対象外。</t>
    <rPh sb="3" eb="5">
      <t>シンチク</t>
    </rPh>
    <rPh sb="7" eb="9">
      <t>ヒョウカ</t>
    </rPh>
    <rPh sb="9" eb="12">
      <t>タイショウガイ</t>
    </rPh>
    <phoneticPr fontId="27"/>
  </si>
  <si>
    <t>1) ゴミ処理負荷低減対策の計画のために、敷地内（室内・室外）から日常的に発生するゴミの種類や量を推計している。</t>
    <phoneticPr fontId="27"/>
  </si>
  <si>
    <t>2) 室内および室外にゴミの多種分別回収が可能なストックスペースを計画している。</t>
    <phoneticPr fontId="27"/>
  </si>
  <si>
    <t>3) 室内や室外にゴミの分別回収容器・ボックスの設置を計画している。</t>
    <phoneticPr fontId="27"/>
  </si>
  <si>
    <t>4) 有価物の計画的な回収を計画している（集団回収など）。</t>
    <phoneticPr fontId="27"/>
  </si>
  <si>
    <t>6) 生ゴミの減容化・減量化、堆肥化対策を計画している（ディスポーザー、生ゴミの自家処理・コンポスト化、バイオマス利用など）。</t>
    <phoneticPr fontId="27"/>
  </si>
  <si>
    <t>7) ビン・缶類などの減容化・減量化対策を計画している。</t>
    <phoneticPr fontId="27"/>
  </si>
  <si>
    <t>5) 《新築》は評価対象外。</t>
    <phoneticPr fontId="27"/>
  </si>
  <si>
    <t>―</t>
    <phoneticPr fontId="27"/>
  </si>
  <si>
    <t>3.2</t>
    <phoneticPr fontId="27"/>
  </si>
  <si>
    <t>3.3</t>
    <phoneticPr fontId="27"/>
  </si>
  <si>
    <t>3.2.1</t>
  </si>
  <si>
    <t>3.2.2</t>
  </si>
  <si>
    <t>3.2.4</t>
  </si>
  <si>
    <t>3.2.5</t>
  </si>
  <si>
    <t>3.3.1</t>
  </si>
  <si>
    <t>3.3.2</t>
  </si>
  <si>
    <t>3.3.3</t>
  </si>
  <si>
    <t>音環境</t>
    <phoneticPr fontId="214"/>
  </si>
  <si>
    <t>安全な環境の整備</t>
    <rPh sb="3" eb="5">
      <t>カンキョウ</t>
    </rPh>
    <rPh sb="6" eb="8">
      <t>セイビ</t>
    </rPh>
    <phoneticPr fontId="214"/>
  </si>
  <si>
    <t>安心できる環境の整備</t>
    <rPh sb="5" eb="7">
      <t>カンキョウ</t>
    </rPh>
    <rPh sb="8" eb="10">
      <t>セイビ</t>
    </rPh>
    <phoneticPr fontId="214"/>
  </si>
  <si>
    <t>周辺環境への配慮</t>
    <rPh sb="0" eb="4">
      <t>シュウヘンカンキョウ</t>
    </rPh>
    <rPh sb="6" eb="8">
      <t>ハイリョ</t>
    </rPh>
    <phoneticPr fontId="214"/>
  </si>
  <si>
    <t>周辺への熱的影響を低減する</t>
    <rPh sb="0" eb="2">
      <t>シュウヘン</t>
    </rPh>
    <rPh sb="4" eb="8">
      <t>ネツテキエイキョウ</t>
    </rPh>
    <rPh sb="9" eb="11">
      <t>テイゲン</t>
    </rPh>
    <phoneticPr fontId="4"/>
  </si>
  <si>
    <t>5.2.2</t>
    <phoneticPr fontId="27"/>
  </si>
  <si>
    <t>空間のゆとり</t>
    <phoneticPr fontId="27"/>
  </si>
  <si>
    <t>家事・子育て・介護等の負担を軽減する設計上の工夫</t>
    <phoneticPr fontId="214"/>
  </si>
  <si>
    <t>5.3</t>
    <phoneticPr fontId="27"/>
  </si>
  <si>
    <t>5.4</t>
    <phoneticPr fontId="27"/>
  </si>
  <si>
    <t>雨水の浸透に努める</t>
    <rPh sb="0" eb="2">
      <t>アマミズ</t>
    </rPh>
    <rPh sb="3" eb="5">
      <t>シントウ</t>
    </rPh>
    <rPh sb="6" eb="7">
      <t>ツト</t>
    </rPh>
    <phoneticPr fontId="4"/>
  </si>
  <si>
    <t>6.4</t>
    <phoneticPr fontId="27"/>
  </si>
  <si>
    <t>土壌汚染対策</t>
    <rPh sb="0" eb="6">
      <t>ドジョウオセンタイサク</t>
    </rPh>
    <phoneticPr fontId="27"/>
  </si>
  <si>
    <t>6.3</t>
    <phoneticPr fontId="27"/>
  </si>
  <si>
    <t>6.3.2</t>
    <phoneticPr fontId="27"/>
  </si>
  <si>
    <t>雨水浸透</t>
    <phoneticPr fontId="214"/>
  </si>
  <si>
    <t>汚水を正しく処理する</t>
    <rPh sb="0" eb="2">
      <t>オスイ</t>
    </rPh>
    <rPh sb="3" eb="4">
      <t>タダ</t>
    </rPh>
    <rPh sb="6" eb="8">
      <t>ショリ</t>
    </rPh>
    <phoneticPr fontId="1"/>
  </si>
  <si>
    <t>7.7</t>
    <phoneticPr fontId="27"/>
  </si>
  <si>
    <t>7.8</t>
    <phoneticPr fontId="27"/>
  </si>
  <si>
    <t>ZEH、ZEBに向けた取組み</t>
    <phoneticPr fontId="27"/>
  </si>
  <si>
    <t>ZEH、ZEB化に取り組む</t>
    <phoneticPr fontId="27"/>
  </si>
  <si>
    <t>7.7.1</t>
    <phoneticPr fontId="27"/>
  </si>
  <si>
    <t>7.8.1</t>
    <phoneticPr fontId="27"/>
  </si>
  <si>
    <t>8.1</t>
    <phoneticPr fontId="27"/>
  </si>
  <si>
    <t>8.2</t>
    <phoneticPr fontId="27"/>
  </si>
  <si>
    <t>8.2.1</t>
  </si>
  <si>
    <t>8.2.2</t>
  </si>
  <si>
    <t>8.2.3</t>
  </si>
  <si>
    <t>8.2.4</t>
  </si>
  <si>
    <t>8.2.5</t>
  </si>
  <si>
    <t>8.2.6</t>
  </si>
  <si>
    <t>建物利用者の健康性・快適性・安全性への配慮</t>
    <phoneticPr fontId="27"/>
  </si>
  <si>
    <t>知的生産性を高める環境を創出する工夫</t>
    <rPh sb="16" eb="18">
      <t>クフウ</t>
    </rPh>
    <phoneticPr fontId="214"/>
  </si>
  <si>
    <t>8.4.4</t>
  </si>
  <si>
    <t>8.4.5</t>
  </si>
  <si>
    <t>8.4.6</t>
  </si>
  <si>
    <t>8.4.7</t>
  </si>
  <si>
    <t>8.4.8</t>
  </si>
  <si>
    <t>地域材の積極的利用</t>
    <phoneticPr fontId="214"/>
  </si>
  <si>
    <t>地域資源の活用に取り組む</t>
    <rPh sb="0" eb="2">
      <t>チイキ</t>
    </rPh>
    <rPh sb="2" eb="4">
      <t>シゲン</t>
    </rPh>
    <rPh sb="5" eb="7">
      <t>カツヨウ</t>
    </rPh>
    <rPh sb="8" eb="9">
      <t>ト</t>
    </rPh>
    <rPh sb="10" eb="11">
      <t>ク</t>
    </rPh>
    <phoneticPr fontId="3"/>
  </si>
  <si>
    <t>地域性のある素材の使用（構造材、内装材、外装材、外構等へ）に関する工夫をしている</t>
    <phoneticPr fontId="27"/>
  </si>
  <si>
    <t>9.3</t>
    <phoneticPr fontId="27"/>
  </si>
  <si>
    <t>情報通信技術へのアクセス</t>
    <phoneticPr fontId="27"/>
  </si>
  <si>
    <t>コミュニケーションスペースを確保する</t>
    <rPh sb="14" eb="16">
      <t>カクホ</t>
    </rPh>
    <phoneticPr fontId="3"/>
  </si>
  <si>
    <t>コミュニケーション・リラクゼーション・リフレッシュスペース等の確保</t>
    <phoneticPr fontId="27"/>
  </si>
  <si>
    <t>レジリエントデザインの導入</t>
    <phoneticPr fontId="27"/>
  </si>
  <si>
    <t>9.4</t>
    <phoneticPr fontId="27"/>
  </si>
  <si>
    <t>9.5</t>
    <phoneticPr fontId="27"/>
  </si>
  <si>
    <t>9.6</t>
    <phoneticPr fontId="27"/>
  </si>
  <si>
    <t>9.4.1</t>
  </si>
  <si>
    <t>9.4.2</t>
  </si>
  <si>
    <t>9.4.3</t>
  </si>
  <si>
    <t>9.4.4</t>
  </si>
  <si>
    <t>9.4.5</t>
  </si>
  <si>
    <t>9.4.6</t>
  </si>
  <si>
    <t>9.6.1</t>
    <phoneticPr fontId="27"/>
  </si>
  <si>
    <t>11.1.2</t>
    <phoneticPr fontId="27"/>
  </si>
  <si>
    <t>周辺環境への負荷削減</t>
    <phoneticPr fontId="214"/>
  </si>
  <si>
    <t>レジリエントデザインの導入</t>
    <phoneticPr fontId="214"/>
  </si>
  <si>
    <t>11.6</t>
    <phoneticPr fontId="27"/>
  </si>
  <si>
    <t>11.7</t>
    <phoneticPr fontId="27"/>
  </si>
  <si>
    <t>敷地のハザードの確認</t>
    <rPh sb="0" eb="2">
      <t>シキチ</t>
    </rPh>
    <rPh sb="8" eb="10">
      <t>カクニン</t>
    </rPh>
    <phoneticPr fontId="27"/>
  </si>
  <si>
    <t>敷地の防犯対策</t>
    <rPh sb="0" eb="2">
      <t>シキチ</t>
    </rPh>
    <rPh sb="3" eb="7">
      <t>ボウハンタイサク</t>
    </rPh>
    <phoneticPr fontId="27"/>
  </si>
  <si>
    <t>11.8</t>
  </si>
  <si>
    <t>11.9</t>
    <phoneticPr fontId="27"/>
  </si>
  <si>
    <t>生物多様性への配慮、生態系保全に配慮した外構の計画</t>
    <rPh sb="0" eb="2">
      <t>セイブツ</t>
    </rPh>
    <rPh sb="2" eb="5">
      <t>タヨウセイ</t>
    </rPh>
    <rPh sb="7" eb="9">
      <t>ハイリョ</t>
    </rPh>
    <phoneticPr fontId="214"/>
  </si>
  <si>
    <t>周辺環境への配慮</t>
    <rPh sb="0" eb="4">
      <t>シュウヘンカンキョウ</t>
    </rPh>
    <rPh sb="6" eb="8">
      <t>ハイリョ</t>
    </rPh>
    <phoneticPr fontId="27"/>
  </si>
  <si>
    <t>11.10</t>
    <phoneticPr fontId="27"/>
  </si>
  <si>
    <t>11.11</t>
    <phoneticPr fontId="27"/>
  </si>
  <si>
    <t>11.8.1</t>
    <phoneticPr fontId="27"/>
  </si>
  <si>
    <t>11.10.1</t>
  </si>
  <si>
    <t>11.10.2</t>
  </si>
  <si>
    <t>11.10.3</t>
  </si>
  <si>
    <t>11.10.4</t>
  </si>
  <si>
    <t>11.10.5</t>
  </si>
  <si>
    <t>都市のスマート化と連携する建築計画</t>
    <phoneticPr fontId="214"/>
  </si>
  <si>
    <t>11.13</t>
    <phoneticPr fontId="214"/>
  </si>
  <si>
    <t>11.14</t>
    <phoneticPr fontId="27"/>
  </si>
  <si>
    <t>地域資源の活用に取り組む</t>
    <rPh sb="0" eb="2">
      <t>チイキ</t>
    </rPh>
    <rPh sb="2" eb="4">
      <t>シゲン</t>
    </rPh>
    <rPh sb="5" eb="7">
      <t>カツヨウ</t>
    </rPh>
    <rPh sb="8" eb="9">
      <t>ト</t>
    </rPh>
    <rPh sb="10" eb="11">
      <t>ク</t>
    </rPh>
    <phoneticPr fontId="214"/>
  </si>
  <si>
    <t>歴史的な建築空間や既存の自然環境を保存、復元、再生し、地域の歴史性を継承している</t>
    <phoneticPr fontId="27"/>
  </si>
  <si>
    <t>地域の歴史性の継承</t>
    <phoneticPr fontId="27"/>
  </si>
  <si>
    <t>歴史を継承する</t>
    <phoneticPr fontId="27"/>
  </si>
  <si>
    <t>11.15</t>
    <phoneticPr fontId="27"/>
  </si>
  <si>
    <t>11.15.1</t>
    <phoneticPr fontId="27"/>
  </si>
  <si>
    <t>11.14.1</t>
    <phoneticPr fontId="27"/>
  </si>
  <si>
    <t>11.13.1</t>
    <phoneticPr fontId="27"/>
  </si>
  <si>
    <t>空調・換気設備のレジリエンス性を確保する</t>
  </si>
  <si>
    <t>給排水・衛生設備のレジリエンス性を確保する</t>
  </si>
  <si>
    <t>電気設備のレジリエンス性を確保する</t>
  </si>
  <si>
    <t>機械・配管支持方法のレジリエンス性を確保する</t>
  </si>
  <si>
    <t>通信配線のレジリエンス性を確保する</t>
  </si>
  <si>
    <t>持続可能な資源の活用</t>
    <rPh sb="0" eb="4">
      <t>ジゾクカノウ</t>
    </rPh>
    <rPh sb="5" eb="7">
      <t>シゲン</t>
    </rPh>
    <rPh sb="8" eb="10">
      <t>カツヨウ</t>
    </rPh>
    <phoneticPr fontId="214"/>
  </si>
  <si>
    <t>12.2.2</t>
  </si>
  <si>
    <t>地域資源の活用に取り組む</t>
    <rPh sb="0" eb="4">
      <t>チイキシゲン</t>
    </rPh>
    <rPh sb="5" eb="7">
      <t>カツヨウ</t>
    </rPh>
    <rPh sb="8" eb="9">
      <t>ト</t>
    </rPh>
    <rPh sb="10" eb="11">
      <t>ク</t>
    </rPh>
    <phoneticPr fontId="27"/>
  </si>
  <si>
    <t>持続可能な森林から木材を調達する</t>
    <rPh sb="0" eb="2">
      <t>ジゾク</t>
    </rPh>
    <rPh sb="2" eb="4">
      <t>カノウ</t>
    </rPh>
    <rPh sb="5" eb="7">
      <t>シンリン</t>
    </rPh>
    <rPh sb="9" eb="11">
      <t>モクザイ</t>
    </rPh>
    <rPh sb="12" eb="14">
      <t>チョウタツ</t>
    </rPh>
    <phoneticPr fontId="3"/>
  </si>
  <si>
    <t>定期点検</t>
    <phoneticPr fontId="27"/>
  </si>
  <si>
    <r>
      <t>建設・運用・廃棄時のCO</t>
    </r>
    <r>
      <rPr>
        <vertAlign val="subscript"/>
        <sz val="9"/>
        <rFont val="游ゴシック"/>
        <family val="3"/>
        <charset val="128"/>
      </rPr>
      <t>2</t>
    </r>
    <r>
      <rPr>
        <sz val="9"/>
        <rFont val="游ゴシック"/>
        <family val="3"/>
        <charset val="128"/>
      </rPr>
      <t>排出量の削減</t>
    </r>
    <phoneticPr fontId="214"/>
  </si>
  <si>
    <t>有害物質の使用削減、拡散防止</t>
    <rPh sb="5" eb="9">
      <t>シヨウサクゲン</t>
    </rPh>
    <rPh sb="10" eb="14">
      <t>カクサンボウシ</t>
    </rPh>
    <phoneticPr fontId="214"/>
  </si>
  <si>
    <t>12.6.2</t>
  </si>
  <si>
    <t>12.6.3</t>
  </si>
  <si>
    <t>12.6.4</t>
  </si>
  <si>
    <t>12.4</t>
    <phoneticPr fontId="27"/>
  </si>
  <si>
    <t>生産・解体時の廃棄物の削減</t>
    <phoneticPr fontId="27"/>
  </si>
  <si>
    <t>12.4.1</t>
    <phoneticPr fontId="27"/>
  </si>
  <si>
    <t>12.4.2</t>
  </si>
  <si>
    <t>運用時のCO2排出量の削減、水使用量の削減、モニタリング、エネルギーマネジメント</t>
    <rPh sb="14" eb="15">
      <t>ミズ</t>
    </rPh>
    <rPh sb="15" eb="18">
      <t>シヨウリョウ</t>
    </rPh>
    <rPh sb="19" eb="21">
      <t>サクゲン</t>
    </rPh>
    <phoneticPr fontId="214"/>
  </si>
  <si>
    <t>空気質を管理する</t>
    <rPh sb="0" eb="3">
      <t>クウキシツ</t>
    </rPh>
    <rPh sb="4" eb="6">
      <t>カンリ</t>
    </rPh>
    <phoneticPr fontId="3"/>
  </si>
  <si>
    <t>都市空間の暑熱化の抑制</t>
    <rPh sb="0" eb="2">
      <t>トシ</t>
    </rPh>
    <rPh sb="2" eb="4">
      <t>クウカン</t>
    </rPh>
    <rPh sb="5" eb="8">
      <t>ショネツカ</t>
    </rPh>
    <rPh sb="9" eb="11">
      <t>ヨクセイ</t>
    </rPh>
    <phoneticPr fontId="214"/>
  </si>
  <si>
    <t>周辺への熱的影響を低減する</t>
    <rPh sb="0" eb="2">
      <t>シュウヘン</t>
    </rPh>
    <rPh sb="4" eb="8">
      <t>ネツテキエイキョウ</t>
    </rPh>
    <rPh sb="9" eb="11">
      <t>テイゲン</t>
    </rPh>
    <phoneticPr fontId="2"/>
  </si>
  <si>
    <t>13.3</t>
  </si>
  <si>
    <t>13.3.1</t>
    <phoneticPr fontId="214"/>
  </si>
  <si>
    <t>13.3.2</t>
  </si>
  <si>
    <t>13.4.1</t>
  </si>
  <si>
    <t>13.4.2</t>
  </si>
  <si>
    <t>13.4</t>
    <phoneticPr fontId="214"/>
  </si>
  <si>
    <t>気候変動が建物利用者に及ぼす影響の抑制</t>
    <phoneticPr fontId="214"/>
  </si>
  <si>
    <t>13.5</t>
    <phoneticPr fontId="27"/>
  </si>
  <si>
    <t>13.5.1</t>
  </si>
  <si>
    <t>13.5.2</t>
  </si>
  <si>
    <t>13.5.3</t>
  </si>
  <si>
    <t>13.5.4</t>
  </si>
  <si>
    <t>13.5.5</t>
  </si>
  <si>
    <t>13.5.6</t>
  </si>
  <si>
    <t>外構や屋上、壁面の緑化、生物多様性保全への配慮</t>
    <phoneticPr fontId="214"/>
  </si>
  <si>
    <t>土壌汚染対策</t>
    <rPh sb="4" eb="6">
      <t>タイサク</t>
    </rPh>
    <phoneticPr fontId="214"/>
  </si>
  <si>
    <t>持続可能な資源の活用</t>
    <rPh sb="5" eb="7">
      <t>シゲン</t>
    </rPh>
    <phoneticPr fontId="214"/>
  </si>
  <si>
    <t>17.2.2</t>
  </si>
  <si>
    <t>アフターサービス制度の導入</t>
    <phoneticPr fontId="214"/>
  </si>
  <si>
    <t>アフターサービスの実施</t>
    <phoneticPr fontId="27"/>
  </si>
  <si>
    <t>全用途</t>
    <phoneticPr fontId="27"/>
  </si>
  <si>
    <t>15.3.2</t>
  </si>
  <si>
    <t>Q1.4.3.1 CO2の監視</t>
    <phoneticPr fontId="220"/>
  </si>
  <si>
    <t>実施しない</t>
    <rPh sb="0" eb="2">
      <t>ジッシ</t>
    </rPh>
    <phoneticPr fontId="27"/>
  </si>
  <si>
    <t>電気設備のレジリエンス性を確保する</t>
    <phoneticPr fontId="27"/>
  </si>
  <si>
    <r>
      <t>CASBEE-</t>
    </r>
    <r>
      <rPr>
        <sz val="9"/>
        <rFont val="ＭＳ Ｐゴシック"/>
        <family val="3"/>
        <charset val="128"/>
      </rPr>
      <t>建築</t>
    </r>
    <r>
      <rPr>
        <sz val="9"/>
        <rFont val="Arial"/>
        <family val="2"/>
      </rPr>
      <t>(</t>
    </r>
    <r>
      <rPr>
        <sz val="9"/>
        <rFont val="ＭＳ ゴシック"/>
        <family val="3"/>
        <charset val="128"/>
      </rPr>
      <t>新築</t>
    </r>
    <r>
      <rPr>
        <sz val="9"/>
        <rFont val="Arial"/>
        <family val="2"/>
      </rPr>
      <t>)2021</t>
    </r>
    <r>
      <rPr>
        <sz val="9"/>
        <rFont val="ＭＳ ゴシック"/>
        <family val="2"/>
        <charset val="128"/>
      </rPr>
      <t>年</t>
    </r>
    <r>
      <rPr>
        <sz val="9"/>
        <rFont val="Arial"/>
        <family val="2"/>
      </rPr>
      <t>SDGs</t>
    </r>
    <r>
      <rPr>
        <sz val="9"/>
        <rFont val="ＭＳ ゴシック"/>
        <family val="2"/>
        <charset val="128"/>
      </rPr>
      <t>対応</t>
    </r>
    <r>
      <rPr>
        <sz val="9"/>
        <rFont val="ＭＳ ゴシック"/>
        <family val="3"/>
        <charset val="128"/>
      </rPr>
      <t>版</t>
    </r>
    <rPh sb="7" eb="9">
      <t>ケンチク</t>
    </rPh>
    <rPh sb="10" eb="12">
      <t xml:space="preserve">シンチク </t>
    </rPh>
    <rPh sb="17" eb="18">
      <t>ネン</t>
    </rPh>
    <rPh sb="22" eb="24">
      <t>タイオウ</t>
    </rPh>
    <rPh sb="24" eb="25">
      <t xml:space="preserve">バｎ </t>
    </rPh>
    <phoneticPr fontId="27"/>
  </si>
  <si>
    <t>院内感染対策を施す</t>
    <rPh sb="0" eb="2">
      <t>インナイ</t>
    </rPh>
    <rPh sb="2" eb="4">
      <t>カンセン</t>
    </rPh>
    <rPh sb="4" eb="6">
      <t>タイサク</t>
    </rPh>
    <rPh sb="7" eb="8">
      <t>ホドコ</t>
    </rPh>
    <phoneticPr fontId="214"/>
  </si>
  <si>
    <t>受動喫煙を防止する</t>
    <rPh sb="0" eb="4">
      <t>ジュドウキツエン</t>
    </rPh>
    <rPh sb="5" eb="7">
      <t>ボウシ</t>
    </rPh>
    <phoneticPr fontId="214"/>
  </si>
  <si>
    <t>昼光を利用して適切な明るさを確保する</t>
    <rPh sb="0" eb="2">
      <t>チュウコウ</t>
    </rPh>
    <rPh sb="3" eb="5">
      <t>リヨウ</t>
    </rPh>
    <rPh sb="7" eb="9">
      <t>テキセツ</t>
    </rPh>
    <rPh sb="10" eb="11">
      <t>アカ</t>
    </rPh>
    <rPh sb="14" eb="16">
      <t>カクホ</t>
    </rPh>
    <phoneticPr fontId="214"/>
  </si>
  <si>
    <t>雨水・雑排水を利用する</t>
    <rPh sb="0" eb="2">
      <t>ウスイ</t>
    </rPh>
    <rPh sb="3" eb="6">
      <t>ザツハイスイ</t>
    </rPh>
    <rPh sb="7" eb="9">
      <t>リヨウ</t>
    </rPh>
    <phoneticPr fontId="4"/>
  </si>
  <si>
    <t>給排水設備の信頼性確保</t>
    <rPh sb="6" eb="11">
      <t>シンライセイカクホ</t>
    </rPh>
    <phoneticPr fontId="27"/>
  </si>
  <si>
    <t>給排水設備の定期点検を実施する</t>
    <rPh sb="6" eb="10">
      <t>テイキテンケン</t>
    </rPh>
    <rPh sb="11" eb="13">
      <t>ジッシ</t>
    </rPh>
    <phoneticPr fontId="4"/>
  </si>
  <si>
    <r>
      <t>LCCMに向けた取組み、エネルギー消費、CO</t>
    </r>
    <r>
      <rPr>
        <vertAlign val="subscript"/>
        <sz val="8"/>
        <rFont val="游ゴシック"/>
        <family val="3"/>
        <charset val="128"/>
      </rPr>
      <t>2</t>
    </r>
    <r>
      <rPr>
        <sz val="8"/>
        <rFont val="游ゴシック"/>
        <family val="3"/>
        <charset val="128"/>
      </rPr>
      <t>削減への継続的取組み</t>
    </r>
    <rPh sb="17" eb="19">
      <t>ショウヒ</t>
    </rPh>
    <rPh sb="23" eb="25">
      <t>サクゲン</t>
    </rPh>
    <rPh sb="27" eb="29">
      <t>ケイゾク</t>
    </rPh>
    <rPh sb="29" eb="30">
      <t>テキ</t>
    </rPh>
    <rPh sb="30" eb="31">
      <t>ト</t>
    </rPh>
    <rPh sb="31" eb="32">
      <t>ク</t>
    </rPh>
    <phoneticPr fontId="214"/>
  </si>
  <si>
    <t>建物のスマート化に取り組む</t>
    <rPh sb="0" eb="2">
      <t>タテモノ</t>
    </rPh>
    <rPh sb="7" eb="8">
      <t>カ</t>
    </rPh>
    <rPh sb="9" eb="10">
      <t>ト</t>
    </rPh>
    <rPh sb="11" eb="12">
      <t>ク</t>
    </rPh>
    <phoneticPr fontId="214"/>
  </si>
  <si>
    <t>敷地のハザードの確認</t>
    <rPh sb="0" eb="2">
      <t>シキチ</t>
    </rPh>
    <rPh sb="8" eb="10">
      <t>カクニン</t>
    </rPh>
    <phoneticPr fontId="214"/>
  </si>
  <si>
    <t>台風・飛来物対策、水害対策、土砂災害対策をする</t>
    <rPh sb="0" eb="2">
      <t>タイフウ</t>
    </rPh>
    <phoneticPr fontId="214"/>
  </si>
  <si>
    <t>環境性能を確保した上での合理的な設計・施工によるローコスト化</t>
    <rPh sb="0" eb="2">
      <t>カンキョウ</t>
    </rPh>
    <rPh sb="2" eb="4">
      <t>セイノウ</t>
    </rPh>
    <rPh sb="5" eb="7">
      <t>カクホ</t>
    </rPh>
    <rPh sb="9" eb="10">
      <t>ウエ</t>
    </rPh>
    <rPh sb="12" eb="15">
      <t>ゴウリテキ</t>
    </rPh>
    <rPh sb="16" eb="18">
      <t>セッケイ</t>
    </rPh>
    <rPh sb="19" eb="21">
      <t>セコウ</t>
    </rPh>
    <rPh sb="29" eb="30">
      <t>カ</t>
    </rPh>
    <phoneticPr fontId="214"/>
  </si>
  <si>
    <t>異常気象による建物被害への対応</t>
    <rPh sb="0" eb="4">
      <t>イジョウキショウ</t>
    </rPh>
    <rPh sb="7" eb="9">
      <t>タテモノ</t>
    </rPh>
    <rPh sb="9" eb="11">
      <t>ヒガイ</t>
    </rPh>
    <rPh sb="13" eb="15">
      <t>タイオウ</t>
    </rPh>
    <phoneticPr fontId="27"/>
  </si>
  <si>
    <t>17.1.2</t>
  </si>
  <si>
    <t>窓面のグレア対策のための取組み（ブラインド、カーテン、庇の設置等）をしている</t>
    <rPh sb="29" eb="31">
      <t>セッチ</t>
    </rPh>
    <phoneticPr fontId="27"/>
  </si>
  <si>
    <t>建物外壁に設けられる窓だけでなく積極的に昼光を利用するための設備を導入している</t>
    <phoneticPr fontId="27"/>
  </si>
  <si>
    <t>空間内の静音性を確保するための工夫として、窓のサッシや壁、床に遮音・吸音性能の高い建材を使用している</t>
    <phoneticPr fontId="27"/>
  </si>
  <si>
    <t>以下の取組みに取り組んでいない（該当項目なし）、取り組んでいる（該当項目1つ）、積極的に取り組んでいる（該当項目2つ以上）
〇防犯カメラや人感センサーを設置している
〇入退管理システムを導入している
〇24時間セキュリティサービスに加入している
〇管理員が常駐している</t>
    <rPh sb="63" eb="65">
      <t>ボウハン</t>
    </rPh>
    <rPh sb="93" eb="95">
      <t>ドウニュウ</t>
    </rPh>
    <phoneticPr fontId="27"/>
  </si>
  <si>
    <t>以下の取組みに取り組んでいない（該当項目なし）、積極的に取り組んでいる（該当項目あり）
〇各部屋が日本医療福祉設備協会「病院空調設備の設計・管理指針HEAS-02-2013」の清浄度クラスに対応する換気条件（室内圧、換気回数、最終フィルターの効率）を満たす計画となっている</t>
    <phoneticPr fontId="214"/>
  </si>
  <si>
    <t>屋外照明および屋内照明のうち外に漏れる光、グレアの対策となる取組みをしている</t>
    <phoneticPr fontId="27"/>
  </si>
  <si>
    <t>環境影響を及ぼす可能性のある化学物質の使用削減に関する取組みを行っている</t>
    <rPh sb="24" eb="25">
      <t>カン</t>
    </rPh>
    <rPh sb="31" eb="32">
      <t>オコナ</t>
    </rPh>
    <phoneticPr fontId="4"/>
  </si>
  <si>
    <t>以下の取組みに取り組んでいない（該当項目なし）、積極的に取り組んでいる（該当項目1つ以上）
〇自習室の設置
〇アクティブラーニングを行うスペースの確保</t>
    <rPh sb="47" eb="50">
      <t>ジシュウシツ</t>
    </rPh>
    <rPh sb="51" eb="53">
      <t>セッチ</t>
    </rPh>
    <phoneticPr fontId="27"/>
  </si>
  <si>
    <t>学習に必要な設備を整える</t>
    <rPh sb="0" eb="2">
      <t>ガクシュウ</t>
    </rPh>
    <rPh sb="3" eb="5">
      <t>ヒツヨウ</t>
    </rPh>
    <rPh sb="6" eb="8">
      <t>セツビ</t>
    </rPh>
    <rPh sb="9" eb="10">
      <t>トトノ</t>
    </rPh>
    <phoneticPr fontId="214"/>
  </si>
  <si>
    <r>
      <t>以下の取組みに取り組んでいない（該当項目なし）、取り組んでいる（該当項目1つ）、積極的に取り組んでいる（該当項目2つ以上）
〇バリアフリー新法の建築物移動等円滑化基準（最低限のレベル）を満たす</t>
    </r>
    <r>
      <rPr>
        <sz val="8"/>
        <rFont val="游ゴシック"/>
        <family val="3"/>
        <charset val="128"/>
      </rPr>
      <t>（Ｑ2.1.1.3 レベル4以上）</t>
    </r>
    <r>
      <rPr>
        <sz val="9"/>
        <rFont val="游ゴシック"/>
        <family val="3"/>
        <charset val="128"/>
      </rPr>
      <t xml:space="preserve">
〇可動式コンピュータ等や無線LANの整備により、授業展開に応じて児童生徒が１人１台でICTを活用する環境が整備されている
〇環境教育（新エネルギー、省エネルギー、自然共生、木材利用、資源リサイクル等）に資する建築・設備が整備されている
〇上記以外のSDGｓ教育に資する建築・設備が整備されている</t>
    </r>
    <rPh sb="233" eb="237">
      <t>ジョウキイガイ</t>
    </rPh>
    <phoneticPr fontId="27"/>
  </si>
  <si>
    <r>
      <t>以下の取組みに取り組んでいない（該当項目なし）、積極的に取り組んでいる（該当項目1つ以上）
〇バリアフリー新法の建築物移動等円滑化基準（最低限のレベル）への適合</t>
    </r>
    <r>
      <rPr>
        <sz val="8"/>
        <rFont val="游ゴシック"/>
        <family val="3"/>
        <charset val="128"/>
      </rPr>
      <t>（Ｑ2.1.1.3レベル4以上）</t>
    </r>
    <r>
      <rPr>
        <sz val="9"/>
        <rFont val="游ゴシック"/>
        <family val="3"/>
        <charset val="128"/>
      </rPr>
      <t xml:space="preserve">
〇LGBTに配慮したトイレの設置</t>
    </r>
    <phoneticPr fontId="27"/>
  </si>
  <si>
    <t>以下の取組みに取り組んでいない（該当項目なし）、取り組んでいる（該当項目1つ）、積極的に取り組んでいる（該当項目2つ以上）
○家事負担を軽減するデザインを行っている
○子育て負担を軽減するデザインを行っている
○介護負担を軽減するデザインを行っている</t>
    <rPh sb="77" eb="78">
      <t>オコナ</t>
    </rPh>
    <rPh sb="99" eb="100">
      <t>オコナ</t>
    </rPh>
    <rPh sb="120" eb="121">
      <t>オコナ</t>
    </rPh>
    <phoneticPr fontId="27"/>
  </si>
  <si>
    <t>以下の取組みに取り組んでいない（該当項目なし）、積極的に取り組んでいる（該当項目あり）
○パーソナル空調の設置等、個人単位での温冷感の調整を可能とする設備等の導入</t>
    <rPh sb="50" eb="52">
      <t>クウチョウ</t>
    </rPh>
    <rPh sb="75" eb="78">
      <t>セツビトウ</t>
    </rPh>
    <phoneticPr fontId="27"/>
  </si>
  <si>
    <t>LR3.2.3.1雨水排水負荷低減</t>
    <rPh sb="9" eb="11">
      <t>ウスイ</t>
    </rPh>
    <rPh sb="11" eb="13">
      <t>ハイスイ</t>
    </rPh>
    <rPh sb="13" eb="15">
      <t>フカ</t>
    </rPh>
    <rPh sb="15" eb="17">
      <t>テイゲン</t>
    </rPh>
    <phoneticPr fontId="214"/>
  </si>
  <si>
    <t>水質汚濁防止法や下水道法、地域公共団体等で定める排出基準値を大幅に下回る工夫をしている</t>
    <rPh sb="26" eb="29">
      <t>キジュンチ</t>
    </rPh>
    <rPh sb="33" eb="34">
      <t>シタ</t>
    </rPh>
    <phoneticPr fontId="27"/>
  </si>
  <si>
    <t>自然エネルギーを直接利用することが可能な機器・システムの導入やデザイン上の工夫をしている</t>
    <rPh sb="35" eb="36">
      <t>ジョウ</t>
    </rPh>
    <rPh sb="37" eb="39">
      <t>クフウ</t>
    </rPh>
    <phoneticPr fontId="27"/>
  </si>
  <si>
    <t>以下の取組みに取り組んでいない（該当項目なし）、取り組んでいる（該当項目1つ）、積極的に取り組んでいる（該当項目2つ以上）
○固定据え置き型の蓄電池の設置
○EV・PHV等の充電可能な移動体の導入
○蓄熱槽等の設置</t>
    <phoneticPr fontId="27"/>
  </si>
  <si>
    <t>エネルギーの効率的な運用を目的としたモニタリングの実施やHEMS、BEMSの設置等の取組みを行っている</t>
    <rPh sb="40" eb="41">
      <t>トウ</t>
    </rPh>
    <phoneticPr fontId="27"/>
  </si>
  <si>
    <t>以下の取組みに取り組んでいない（該当項目なし）、積極的に取り組んでいる（該当項目あり）
○ZEH Ready、ZEB Ready以上の取組みがなされている</t>
    <phoneticPr fontId="27"/>
  </si>
  <si>
    <t>以下の取組みに取り組んでいない（該当項目なし）、取り組んでいる（該当項目1つ）、積極的に取り組んでいる（該当項目2つ以上）
○知的生産性を高めるという観点を考慮して計画・整備した集中しやすいスペースの有無
○知的生産性を高めるという観点を考慮して計画・整備したインフォーマルなコミュニケーションスペースの有無
○知的生産性を高めるという観点を考慮して計画・整備したリフレッシュスペース、リラクゼーションスペースの有無</t>
    <phoneticPr fontId="27"/>
  </si>
  <si>
    <t>強度が高い材料を使用し、材料使用量を削減する対策を講じている</t>
    <rPh sb="0" eb="2">
      <t>キョウド</t>
    </rPh>
    <rPh sb="3" eb="4">
      <t>タカ</t>
    </rPh>
    <rPh sb="5" eb="7">
      <t>ザイリョウ</t>
    </rPh>
    <rPh sb="8" eb="10">
      <t>シヨウ</t>
    </rPh>
    <rPh sb="12" eb="17">
      <t>ザイリョウシヨウリョウ</t>
    </rPh>
    <rPh sb="18" eb="20">
      <t>サクゲン</t>
    </rPh>
    <rPh sb="22" eb="24">
      <t>タイサク</t>
    </rPh>
    <rPh sb="25" eb="26">
      <t>コウ</t>
    </rPh>
    <phoneticPr fontId="3"/>
  </si>
  <si>
    <t>LR2.2.1材料使用量の削減</t>
    <rPh sb="7" eb="9">
      <t>ザイリョウ</t>
    </rPh>
    <rPh sb="9" eb="11">
      <t>シヨウ</t>
    </rPh>
    <rPh sb="11" eb="12">
      <t>リョウ</t>
    </rPh>
    <rPh sb="13" eb="15">
      <t>サクゲン</t>
    </rPh>
    <phoneticPr fontId="220"/>
  </si>
  <si>
    <t>主要内装仕上げ材の更新必要間隔を長くするための工夫をしている</t>
    <rPh sb="0" eb="2">
      <t>シュヨウ</t>
    </rPh>
    <rPh sb="2" eb="4">
      <t>ナイソウ</t>
    </rPh>
    <rPh sb="9" eb="11">
      <t>コウシン</t>
    </rPh>
    <phoneticPr fontId="9"/>
  </si>
  <si>
    <t>Q3.3.1地域性への配慮、快適性の向上-Ⅰ 2)及びQ3.2まちなみ・景観への配慮 4)</t>
    <rPh sb="25" eb="26">
      <t>オヨ</t>
    </rPh>
    <phoneticPr fontId="214"/>
  </si>
  <si>
    <t>最新の技術を導入する</t>
    <rPh sb="0" eb="2">
      <t>サイシン</t>
    </rPh>
    <rPh sb="3" eb="5">
      <t>ギジュツ</t>
    </rPh>
    <rPh sb="6" eb="8">
      <t>ドウニュウ</t>
    </rPh>
    <phoneticPr fontId="3"/>
  </si>
  <si>
    <t>以下の取組みに取り組んでいない（該当項目なし）、取り組んでいる（該当項目1つ）、積極的に取り組んでいる（該当項目2つ以上）
○最新の技術を利用した建材の採用（再帰性日射反射フィルム 等）
○最新の技術を利用した設備の採用（設備のIoT化 等）
○最新の技術を利用したシステムの採用（BIMを活用したライフサイクルマネジメントシステム 等）
○その他（AIの活用 等）</t>
    <phoneticPr fontId="27"/>
  </si>
  <si>
    <t>以下の取組みに取り組んでいない（該当項目なし）、取り組んでいる（該当項目1つ）、積極的に取り組んでいる（該当項目2つ以上）
○5G対応を含む高速、大容量、低遅延情報システムの導入
○AIを活用したHEMS / BEMSデータの解析に基づく設備の最適運用
○CEMSとの連携</t>
    <phoneticPr fontId="27"/>
  </si>
  <si>
    <t>内部設備保護等に関する取組みを行っている</t>
    <phoneticPr fontId="3"/>
  </si>
  <si>
    <t>Q2.2.1.1耐震性（建物の壊れにくさ）、Q2.2.1.2免震・制震・制振（内部設備保護）</t>
    <phoneticPr fontId="27"/>
  </si>
  <si>
    <t>以下の取組みに取り組んでいない（該当項目なし）、積極的に取り組んでいる（該当項目1つ以上）
○ハザードマップ等により、敷地のハザードを確認
○デジタルサイネージ等を活用した災害に関する情報共有・発信</t>
    <phoneticPr fontId="27"/>
  </si>
  <si>
    <t>以下の取組みに取り組んでいない（該当項目なし）、取り組んでいる（該当項目1つ）、積極的に取り組んでいる（該当項目2つ以上）
○地震に対する工夫（最新の免震、制震（制振）等）
○火災に対する工夫（最新の不燃材の採用等）
〇風水害に対する工夫（CFD技術を用いた風水害被害を最小化するデザインの採用）
○その他の災害に関する工夫</t>
    <phoneticPr fontId="27"/>
  </si>
  <si>
    <t>水質汚濁防止法や下水道法、地域公共団体等で定める排出基準値を大幅に下回る工夫をしている</t>
    <rPh sb="0" eb="2">
      <t>スイシツ</t>
    </rPh>
    <rPh sb="2" eb="4">
      <t>オダク</t>
    </rPh>
    <rPh sb="4" eb="7">
      <t>ボウシホウ</t>
    </rPh>
    <rPh sb="8" eb="12">
      <t>ゲスイドウホウ</t>
    </rPh>
    <rPh sb="13" eb="15">
      <t>チイキ</t>
    </rPh>
    <rPh sb="15" eb="17">
      <t>コウキョウ</t>
    </rPh>
    <rPh sb="17" eb="19">
      <t>ダンタイ</t>
    </rPh>
    <rPh sb="19" eb="20">
      <t>トウ</t>
    </rPh>
    <rPh sb="21" eb="22">
      <t>サダ</t>
    </rPh>
    <rPh sb="24" eb="26">
      <t>ハイシュツ</t>
    </rPh>
    <rPh sb="26" eb="28">
      <t>キジュン</t>
    </rPh>
    <rPh sb="28" eb="29">
      <t>チ</t>
    </rPh>
    <rPh sb="30" eb="32">
      <t>オオハバ</t>
    </rPh>
    <rPh sb="33" eb="35">
      <t>シタマワ</t>
    </rPh>
    <rPh sb="36" eb="38">
      <t>クフウ</t>
    </rPh>
    <phoneticPr fontId="3"/>
  </si>
  <si>
    <t>LR3.2.3.1雨水排水負荷低減</t>
    <rPh sb="9" eb="11">
      <t>ウスイ</t>
    </rPh>
    <rPh sb="11" eb="13">
      <t>ハイスイ</t>
    </rPh>
    <rPh sb="13" eb="15">
      <t>フカ</t>
    </rPh>
    <rPh sb="15" eb="17">
      <t>テイゲン</t>
    </rPh>
    <phoneticPr fontId="220"/>
  </si>
  <si>
    <t>以下の取組みに取り組んでいない（該当項目なし）、積極的に取り組んでいる（該当項目1つ以上）
○土壌汚染調査の実施
○汚染土壌の掘削除去</t>
    <phoneticPr fontId="27"/>
  </si>
  <si>
    <t>Q2.2.1.1耐震性（建物の壊れにくさ）、Q2.2.1.2免震・制震・制振（内部設備保護）</t>
    <phoneticPr fontId="214"/>
  </si>
  <si>
    <t>Q2.2.1.1耐震性（建物の壊れにくさ）、Q2.2.1.2免震・制震・制振（内部設備保護）</t>
    <phoneticPr fontId="27"/>
  </si>
  <si>
    <t>内部設備保護等に関する取組みを行っている。</t>
    <phoneticPr fontId="2"/>
  </si>
  <si>
    <t>悪臭防止法や地域の条例等に定める特定悪臭物質の濃度の許容限度の値を満たす工夫をしている</t>
    <phoneticPr fontId="9"/>
  </si>
  <si>
    <t>環境影響を及ぼす可能性のある化学物質の使用削減に関する取組みを行っている</t>
    <rPh sb="31" eb="32">
      <t>オコナ</t>
    </rPh>
    <phoneticPr fontId="4"/>
  </si>
  <si>
    <t>Q3.3.1地域性への配慮、快適性の向上-Ⅰ 2)及びQ3.2まちなみ・景観への配慮 4)</t>
    <phoneticPr fontId="27"/>
  </si>
  <si>
    <t>Q3.3.1地域性への配慮、快適性の向上-Ⅰ 1)及びQ3.2まちなみ・景観への配慮 3)</t>
    <phoneticPr fontId="27"/>
  </si>
  <si>
    <t>以下の取組みに取り組んでいない（該当項目なし）、積極的に取り組んでいる（該当項目1つ以上）
○ハザードマップ等により、敷地のハザードを確認
○その他、自然災害に対するレジリエンス性向上に関する取組み</t>
    <phoneticPr fontId="27"/>
  </si>
  <si>
    <t>Q3.3.1地域性への配慮、快適性の向上-Ⅰ 2)及びQ3.2まちなみ・景観への配慮 4)</t>
    <phoneticPr fontId="214"/>
  </si>
  <si>
    <t>バックアップ設備設置のためのスペースを確保している</t>
    <rPh sb="6" eb="8">
      <t>セツビ</t>
    </rPh>
    <rPh sb="8" eb="10">
      <t>セッチ</t>
    </rPh>
    <rPh sb="19" eb="21">
      <t>カクホ</t>
    </rPh>
    <phoneticPr fontId="9"/>
  </si>
  <si>
    <t>強度が高い材料を使用し、材料使用量を削減する対策を講じている</t>
    <rPh sb="0" eb="2">
      <t>キョウド</t>
    </rPh>
    <rPh sb="3" eb="4">
      <t>タカ</t>
    </rPh>
    <rPh sb="5" eb="7">
      <t>ザイリョウ</t>
    </rPh>
    <rPh sb="8" eb="10">
      <t>シヨウ</t>
    </rPh>
    <rPh sb="12" eb="14">
      <t>ザイリョウ</t>
    </rPh>
    <rPh sb="14" eb="16">
      <t>シヨウ</t>
    </rPh>
    <rPh sb="16" eb="17">
      <t>リョウ</t>
    </rPh>
    <rPh sb="18" eb="20">
      <t>サクゲン</t>
    </rPh>
    <rPh sb="22" eb="24">
      <t>タイサク</t>
    </rPh>
    <rPh sb="25" eb="26">
      <t>コウ</t>
    </rPh>
    <phoneticPr fontId="3"/>
  </si>
  <si>
    <t>建物運用時における廃棄物の発生抑制、分別措置、減容・減量化の取組みを行っている</t>
    <rPh sb="34" eb="35">
      <t>オコナ</t>
    </rPh>
    <phoneticPr fontId="27"/>
  </si>
  <si>
    <t>エネルギーの効率的な運用を目的としたモニタリングの実施やHEMS、BEMSの設置等の取組みを行っている。</t>
    <phoneticPr fontId="27"/>
  </si>
  <si>
    <t>ヒートアイランド化の抑制対策等、敷地外の熱的負荷の低減に資する取組みを行っている</t>
    <rPh sb="35" eb="36">
      <t>オコナ</t>
    </rPh>
    <phoneticPr fontId="27"/>
  </si>
  <si>
    <t>敷地内の緑化や、生物環境の保全と創出に関する取組みを行っている</t>
    <rPh sb="0" eb="2">
      <t>シキチ</t>
    </rPh>
    <rPh sb="2" eb="3">
      <t>ナイ</t>
    </rPh>
    <rPh sb="4" eb="6">
      <t>リョッカ</t>
    </rPh>
    <rPh sb="8" eb="10">
      <t>セイブツ</t>
    </rPh>
    <rPh sb="10" eb="12">
      <t>カンキョウ</t>
    </rPh>
    <rPh sb="13" eb="15">
      <t>ホゼン</t>
    </rPh>
    <rPh sb="16" eb="18">
      <t>ソウシュツ</t>
    </rPh>
    <rPh sb="19" eb="20">
      <t>カン</t>
    </rPh>
    <rPh sb="22" eb="24">
      <t>トリク</t>
    </rPh>
    <rPh sb="26" eb="27">
      <t>オコナ</t>
    </rPh>
    <phoneticPr fontId="2"/>
  </si>
  <si>
    <t>以下の取組みに取り組んでいない（該当項目なし）、積極的に取り組んでいる（該当項目あり）
○不具合発生時における追跡調査を可能にするための建物の基本情報及び維持管理履歴の管理</t>
    <phoneticPr fontId="27"/>
  </si>
  <si>
    <t>建物のスマート化に取り組む</t>
    <rPh sb="0" eb="2">
      <t>タテモノ</t>
    </rPh>
    <rPh sb="7" eb="8">
      <t>カ</t>
    </rPh>
    <rPh sb="9" eb="10">
      <t>ト</t>
    </rPh>
    <rPh sb="11" eb="12">
      <t>ク</t>
    </rPh>
    <phoneticPr fontId="27"/>
  </si>
  <si>
    <t>カーボンニュートラルに向けて取り組む</t>
    <rPh sb="11" eb="12">
      <t>ム</t>
    </rPh>
    <rPh sb="14" eb="15">
      <t>ト</t>
    </rPh>
    <rPh sb="16" eb="17">
      <t>ク</t>
    </rPh>
    <phoneticPr fontId="3"/>
  </si>
  <si>
    <t>カーボンニュートラルに向けて取り組む</t>
    <phoneticPr fontId="27"/>
  </si>
  <si>
    <t>カーボンニュートラルに向けて取り組む</t>
    <phoneticPr fontId="2"/>
  </si>
  <si>
    <t>すべての人が教育を受けられる環境を整える</t>
    <rPh sb="4" eb="5">
      <t>ヒト</t>
    </rPh>
    <rPh sb="6" eb="8">
      <t>キョウイク</t>
    </rPh>
    <rPh sb="9" eb="10">
      <t>ウ</t>
    </rPh>
    <rPh sb="14" eb="16">
      <t>カンキョウ</t>
    </rPh>
    <rPh sb="17" eb="18">
      <t>トトノ</t>
    </rPh>
    <phoneticPr fontId="214"/>
  </si>
  <si>
    <t>家事負担を軽減する、子育て・介護等の負担を軽減する</t>
    <rPh sb="0" eb="2">
      <t>カジ</t>
    </rPh>
    <rPh sb="2" eb="4">
      <t>フタン</t>
    </rPh>
    <rPh sb="5" eb="7">
      <t>ケイゲン</t>
    </rPh>
    <rPh sb="10" eb="11">
      <t>コ</t>
    </rPh>
    <rPh sb="11" eb="12">
      <t>ソダ</t>
    </rPh>
    <rPh sb="14" eb="16">
      <t>カイゴ</t>
    </rPh>
    <rPh sb="16" eb="17">
      <t>トウ</t>
    </rPh>
    <rPh sb="18" eb="20">
      <t>フタン</t>
    </rPh>
    <rPh sb="21" eb="23">
      <t>ケイゲン</t>
    </rPh>
    <phoneticPr fontId="214"/>
  </si>
  <si>
    <t>個人に合わせて空調を制御する</t>
    <phoneticPr fontId="214"/>
  </si>
  <si>
    <t>以下の取組みに取り組んでいない（該当項目なし）、積極的に取り組んでいる（該当項目1つ以上）
○LGBT対応型トイレの設置
〇その他LGBTに配慮した設計上の工夫</t>
    <rPh sb="51" eb="53">
      <t>タイオウ</t>
    </rPh>
    <rPh sb="64" eb="65">
      <t>タ</t>
    </rPh>
    <rPh sb="70" eb="72">
      <t>ハイリョ</t>
    </rPh>
    <rPh sb="74" eb="77">
      <t>セッケイジョウ</t>
    </rPh>
    <rPh sb="78" eb="80">
      <t>クフウ</t>
    </rPh>
    <phoneticPr fontId="27"/>
  </si>
  <si>
    <t>地域における分散型エネルギーシステムと連携する</t>
    <phoneticPr fontId="214"/>
  </si>
  <si>
    <t>非常時にエネルギーを確保する</t>
    <rPh sb="0" eb="2">
      <t>ヒジョウ</t>
    </rPh>
    <rPh sb="2" eb="3">
      <t>ジ</t>
    </rPh>
    <rPh sb="10" eb="12">
      <t>カクホ</t>
    </rPh>
    <phoneticPr fontId="3"/>
  </si>
  <si>
    <t>以下の取組みに取り組んでいない（該当項目なし）、積極的に取り組んでいる（該当項目1つ以上）
○地下水流動の阻害を減らす工夫
〇敷地内の積極的な緑化</t>
    <rPh sb="50" eb="52">
      <t>リュウドウ</t>
    </rPh>
    <rPh sb="53" eb="55">
      <t>ソガイ</t>
    </rPh>
    <rPh sb="56" eb="57">
      <t>ヘ</t>
    </rPh>
    <rPh sb="59" eb="61">
      <t>クフウ</t>
    </rPh>
    <rPh sb="63" eb="66">
      <t>シキチナイ</t>
    </rPh>
    <rPh sb="67" eb="70">
      <t>セッキョクテキ</t>
    </rPh>
    <rPh sb="71" eb="73">
      <t>リョクカ</t>
    </rPh>
    <phoneticPr fontId="27"/>
  </si>
  <si>
    <t>以下の取組みに取り組んでいない（該当項目なし）、積極的に取り組んでいる（該当項目1つ以上）
○知的生産性を高めるという観点を考慮して計画・整備したフォーマルなコミュニケーションスペースの有無
○知的生産性を高めるという観点を考慮して計画・整備したインフォーマルなコミュニケーションスペースの有無</t>
    <phoneticPr fontId="27"/>
  </si>
  <si>
    <t>建物の基本的な環境性能を確保する</t>
    <rPh sb="0" eb="2">
      <t>タテモノ</t>
    </rPh>
    <rPh sb="3" eb="6">
      <t>キホンテキ</t>
    </rPh>
    <rPh sb="7" eb="9">
      <t>カンキョウ</t>
    </rPh>
    <rPh sb="9" eb="11">
      <t>セイノウ</t>
    </rPh>
    <rPh sb="12" eb="14">
      <t>カクホ</t>
    </rPh>
    <phoneticPr fontId="214"/>
  </si>
  <si>
    <t>建物の基本的な環境性能を確保しつつ、ライフサイクルコストを低減させる</t>
    <phoneticPr fontId="27"/>
  </si>
  <si>
    <t>以下の取組みに取り組んでいない（該当項目なし）、取り組んでいる（該当項目1つ）、積極的に取り組んでいる（該当項目2つ以上）
○建設時における費用低減の取組み
○運用時における費用低減の取組み
○修繕・更新時における費用低減の取組み</t>
    <rPh sb="80" eb="82">
      <t>ウンヨウ</t>
    </rPh>
    <phoneticPr fontId="27"/>
  </si>
  <si>
    <t>屋外照明、屋内照明のうち外に漏れる光、グレアの対策となる取組みをしている</t>
    <phoneticPr fontId="27"/>
  </si>
  <si>
    <t>将来の用途変更の可能性などを考慮し、階高、空間の形状について自由度がある</t>
    <rPh sb="30" eb="33">
      <t>ジユウド</t>
    </rPh>
    <phoneticPr fontId="27"/>
  </si>
  <si>
    <t>以下の取組みに取り組んでいない（該当項目なし）、取り組んでいる（該当項目1つ）、積極的に取り組んでいる（該当項目2つ以上）
○面的（建物群/需給連携）利用に関する取組みの有無
○地域への非常用電源の提供（BCP対応も評価対象）
○CEMSの導入
○再生可能エネルギー/未利用熱の積極的な活用</t>
    <rPh sb="105" eb="107">
      <t>タイオウ</t>
    </rPh>
    <phoneticPr fontId="27"/>
  </si>
  <si>
    <t>空間内の音が外部へと漏れないようにする工夫として、窓のサッシや壁、床に遮音性能の高い建材を使用している</t>
    <phoneticPr fontId="27"/>
  </si>
  <si>
    <t>ピーク負荷時においても快適な室温を実現できるような空調システムを導入している</t>
    <phoneticPr fontId="27"/>
  </si>
  <si>
    <t>室外からの熱の侵入あるいは室外への熱の流出を抑制する工夫をしている</t>
    <phoneticPr fontId="27"/>
  </si>
  <si>
    <t>建物外壁に設けられる窓だけでなく積極的に昼光を利用するための設備を導入している</t>
    <rPh sb="0" eb="2">
      <t>タテモノ</t>
    </rPh>
    <rPh sb="2" eb="4">
      <t>ガイヘキ</t>
    </rPh>
    <rPh sb="5" eb="6">
      <t>モウ</t>
    </rPh>
    <rPh sb="10" eb="11">
      <t>マド</t>
    </rPh>
    <rPh sb="16" eb="18">
      <t>セッキョク</t>
    </rPh>
    <rPh sb="18" eb="19">
      <t>テキ</t>
    </rPh>
    <rPh sb="20" eb="22">
      <t>チュウコウ</t>
    </rPh>
    <rPh sb="23" eb="25">
      <t>リヨウ</t>
    </rPh>
    <rPh sb="30" eb="32">
      <t>セツビ</t>
    </rPh>
    <rPh sb="33" eb="35">
      <t>ドウニュウ</t>
    </rPh>
    <phoneticPr fontId="3"/>
  </si>
  <si>
    <t>化学汚染物質による空気質汚染を回避するための対策を十分に行っている</t>
    <phoneticPr fontId="3"/>
  </si>
  <si>
    <t>空気質を高めるために建築基準法や建築物衛生法、学校環境衛生基準の換気量を上回る努力をしている</t>
    <rPh sb="0" eb="2">
      <t>クウキ</t>
    </rPh>
    <rPh sb="2" eb="3">
      <t>シツ</t>
    </rPh>
    <rPh sb="4" eb="5">
      <t>タカ</t>
    </rPh>
    <rPh sb="10" eb="12">
      <t>ケンチク</t>
    </rPh>
    <rPh sb="12" eb="15">
      <t>キジュンホウ</t>
    </rPh>
    <rPh sb="16" eb="19">
      <t>ケンチクブツ</t>
    </rPh>
    <rPh sb="19" eb="22">
      <t>エイセイホウ</t>
    </rPh>
    <rPh sb="23" eb="25">
      <t>ガッコウ</t>
    </rPh>
    <rPh sb="25" eb="27">
      <t>カンキョウ</t>
    </rPh>
    <rPh sb="27" eb="29">
      <t>エイセイ</t>
    </rPh>
    <rPh sb="29" eb="31">
      <t>キジュン</t>
    </rPh>
    <rPh sb="32" eb="35">
      <t>カンキリョウ</t>
    </rPh>
    <rPh sb="36" eb="38">
      <t>ウワマワ</t>
    </rPh>
    <rPh sb="39" eb="41">
      <t>ドリョク</t>
    </rPh>
    <phoneticPr fontId="3"/>
  </si>
  <si>
    <t>Q1.1音環境</t>
  </si>
  <si>
    <t>建物利用者の自動車以外の交通手段の利用を促す取組みや、適切な駐車スペースを確保する取組み、駐車場出入り口の安全性に配慮する取組みを行っている</t>
    <phoneticPr fontId="27"/>
  </si>
  <si>
    <t>建物の運営・管理に関して地域住民の参加を促す取組みをしている</t>
    <phoneticPr fontId="27"/>
  </si>
  <si>
    <t>周辺のまちなみや景観に対する取組み（地域の特性に適した素材の利用、植栽による良好な景観の形成 等）を行っている</t>
    <rPh sb="21" eb="23">
      <t>トクセイ</t>
    </rPh>
    <rPh sb="24" eb="25">
      <t>テキ</t>
    </rPh>
    <rPh sb="44" eb="46">
      <t>ケイセイ</t>
    </rPh>
    <phoneticPr fontId="27"/>
  </si>
  <si>
    <t>空間・施設の提供などにより地域に貢献する工夫をしている</t>
    <phoneticPr fontId="27"/>
  </si>
  <si>
    <t>以下の取組みに取り組んでいない（該当項目なし）、積極的に取り組んでいる（該当項目あり）
〇環境配慮建築を示すラベリング・認証制度の積極的な活用（CASBEE-建築（新築）以外のCASBEEツール、BELS、各種性能表示 等）</t>
    <phoneticPr fontId="3"/>
  </si>
  <si>
    <t>空気質を適正に維持するためにCO2濃度を監視・管理している</t>
    <phoneticPr fontId="27"/>
  </si>
  <si>
    <t>生産・流通過程における経済性、社会性、環境性を考慮した資材・建材の調達に取り組む</t>
    <rPh sb="11" eb="13">
      <t>ケイザイ</t>
    </rPh>
    <rPh sb="19" eb="21">
      <t>カンキョウ</t>
    </rPh>
    <rPh sb="36" eb="37">
      <t>ト</t>
    </rPh>
    <rPh sb="38" eb="39">
      <t>ク</t>
    </rPh>
    <phoneticPr fontId="3"/>
  </si>
  <si>
    <t>生産・流通過程における経済、社会、環境の改善に向けた、関係者との協働に取り組む</t>
    <rPh sb="11" eb="13">
      <t>ケイザイ</t>
    </rPh>
    <rPh sb="17" eb="19">
      <t>カンキョウ</t>
    </rPh>
    <phoneticPr fontId="27"/>
  </si>
  <si>
    <t>以下の取組みに取り組んでいない（該当項目なし）、積極的に取り組んでいる（該当項目1つ以上）
○製品の部材調達先の経済、社会、環境の改善に向けた取組みを把握し、協働の可否を判断する
○AIやIoT技術を活用し、関係者との連携を強化する</t>
    <phoneticPr fontId="27"/>
  </si>
  <si>
    <t>周辺のまちなみや景観に対する取組み（地域の特性に適した素材の利用、植栽による良好な景観の形成 等）を行っている</t>
    <phoneticPr fontId="27"/>
  </si>
  <si>
    <t>材料を適切に管理する</t>
    <rPh sb="0" eb="2">
      <t>ザイリョウ</t>
    </rPh>
    <rPh sb="3" eb="5">
      <t>テキセツ</t>
    </rPh>
    <rPh sb="6" eb="8">
      <t>カンリ</t>
    </rPh>
    <phoneticPr fontId="3"/>
  </si>
  <si>
    <t>以下の取組みに取り組んでいない（該当項目なし）、取り組んでいる（該当項目1つ）、積極的に取り組んでいる（該当項目2つ以上）
〇経済面に配慮して調達を行っている（CSV（Creating Shared Value）の視点に立った正当な対価の支払い等）
〇社会緬に配慮して調達を行っている（調達先の労働環境の確認等）
○環境面に配慮して調達を行っている（グリーン調達ガイドラインに沿った資材調達等）</t>
    <phoneticPr fontId="27"/>
  </si>
  <si>
    <t>-</t>
    <phoneticPr fontId="27"/>
  </si>
  <si>
    <t>共用部</t>
    <rPh sb="0" eb="2">
      <t>キョウヨウ</t>
    </rPh>
    <phoneticPr fontId="27"/>
  </si>
  <si>
    <r>
      <t xml:space="preserve"> </t>
    </r>
    <r>
      <rPr>
        <b/>
        <sz val="28"/>
        <color indexed="9"/>
        <rFont val="ＭＳ Ｐゴシック"/>
        <family val="3"/>
        <charset val="128"/>
      </rPr>
      <t>重点項目についての環境配慮概要</t>
    </r>
    <rPh sb="1" eb="3">
      <t>ジュウテン</t>
    </rPh>
    <rPh sb="3" eb="5">
      <t>コウモク</t>
    </rPh>
    <rPh sb="10" eb="12">
      <t>カンキョウ</t>
    </rPh>
    <rPh sb="12" eb="14">
      <t>ハイリョ</t>
    </rPh>
    <rPh sb="14" eb="16">
      <t>ガイヨウ</t>
    </rPh>
    <phoneticPr fontId="27"/>
  </si>
  <si>
    <t xml:space="preserve"> 実績重点項目スコア合計/
重点項目最高点のスコア合計</t>
    <rPh sb="14" eb="16">
      <t>ジュウテン</t>
    </rPh>
    <rPh sb="16" eb="18">
      <t>コウモク</t>
    </rPh>
    <rPh sb="18" eb="21">
      <t>サイコウテン</t>
    </rPh>
    <rPh sb="25" eb="27">
      <t>ゴウケイ</t>
    </rPh>
    <phoneticPr fontId="27"/>
  </si>
  <si>
    <t xml:space="preserve"> 重点項目への
貢献点 注）
（５点満点）</t>
    <rPh sb="1" eb="3">
      <t>ジュウテン</t>
    </rPh>
    <rPh sb="3" eb="5">
      <t>コウモク</t>
    </rPh>
    <rPh sb="8" eb="10">
      <t>コウケン</t>
    </rPh>
    <rPh sb="10" eb="11">
      <t>テン</t>
    </rPh>
    <rPh sb="12" eb="13">
      <t>チュウ</t>
    </rPh>
    <rPh sb="17" eb="18">
      <t>テン</t>
    </rPh>
    <rPh sb="18" eb="20">
      <t>マンテン</t>
    </rPh>
    <phoneticPr fontId="27"/>
  </si>
  <si>
    <t xml:space="preserve"> 内訳対応項目</t>
    <rPh sb="1" eb="3">
      <t>ウチワケ</t>
    </rPh>
    <rPh sb="3" eb="5">
      <t>タイオウ</t>
    </rPh>
    <rPh sb="5" eb="7">
      <t>コウモク</t>
    </rPh>
    <phoneticPr fontId="27"/>
  </si>
  <si>
    <t xml:space="preserve"> 各項目について配慮した内容を記述してください。</t>
    <rPh sb="1" eb="4">
      <t>カクコウモク</t>
    </rPh>
    <rPh sb="8" eb="10">
      <t>ハイリョ</t>
    </rPh>
    <rPh sb="12" eb="14">
      <t>ナイヨウ</t>
    </rPh>
    <rPh sb="15" eb="17">
      <t>キジュツ</t>
    </rPh>
    <phoneticPr fontId="27"/>
  </si>
  <si>
    <t xml:space="preserve"> 緑の保全・回復（G）</t>
    <phoneticPr fontId="27"/>
  </si>
  <si>
    <t>Gの平均点</t>
    <phoneticPr fontId="27"/>
  </si>
  <si>
    <t>Q-3</t>
    <phoneticPr fontId="27"/>
  </si>
  <si>
    <r>
      <t>■</t>
    </r>
    <r>
      <rPr>
        <sz val="16"/>
        <rFont val="ＭＳ Ｐゴシック"/>
        <family val="3"/>
        <charset val="128"/>
      </rPr>
      <t>室外環境（敷地内）対策　</t>
    </r>
    <phoneticPr fontId="27"/>
  </si>
  <si>
    <t xml:space="preserve"> 生物環境の保全と創出</t>
    <rPh sb="3" eb="5">
      <t>カンキョウ</t>
    </rPh>
    <phoneticPr fontId="27"/>
  </si>
  <si>
    <t xml:space="preserve"> まちなみ・景観への配慮</t>
    <phoneticPr fontId="27"/>
  </si>
  <si>
    <t xml:space="preserve"> 敷地内温熱環境の向上</t>
    <phoneticPr fontId="27"/>
  </si>
  <si>
    <t>LR-3</t>
    <phoneticPr fontId="27"/>
  </si>
  <si>
    <r>
      <t>■</t>
    </r>
    <r>
      <rPr>
        <sz val="16"/>
        <rFont val="ＭＳ Ｐゴシック"/>
        <family val="3"/>
        <charset val="128"/>
      </rPr>
      <t>敷地外環境対策</t>
    </r>
    <phoneticPr fontId="27"/>
  </si>
  <si>
    <t xml:space="preserve"> 温熱環境悪化の改善</t>
    <phoneticPr fontId="27"/>
  </si>
  <si>
    <t xml:space="preserve"> 地球温暖化防止対策の推進（W）</t>
    <phoneticPr fontId="27"/>
  </si>
  <si>
    <t>Wの平均点</t>
    <phoneticPr fontId="27"/>
  </si>
  <si>
    <t>Q-1</t>
    <phoneticPr fontId="27"/>
  </si>
  <si>
    <r>
      <t>■</t>
    </r>
    <r>
      <rPr>
        <sz val="16"/>
        <rFont val="ＭＳ Ｐゴシック"/>
        <family val="3"/>
        <charset val="128"/>
      </rPr>
      <t>室内環境対策</t>
    </r>
    <phoneticPr fontId="27"/>
  </si>
  <si>
    <t xml:space="preserve"> 外皮性能</t>
    <phoneticPr fontId="27"/>
  </si>
  <si>
    <t xml:space="preserve"> 昼光利用設備</t>
    <phoneticPr fontId="27"/>
  </si>
  <si>
    <t xml:space="preserve"> 昼光制御</t>
    <phoneticPr fontId="27"/>
  </si>
  <si>
    <r>
      <t>■</t>
    </r>
    <r>
      <rPr>
        <sz val="16"/>
        <rFont val="ＭＳ Ｐゴシック"/>
        <family val="3"/>
        <charset val="128"/>
      </rPr>
      <t>室外環境（敷地内）対策</t>
    </r>
    <phoneticPr fontId="27"/>
  </si>
  <si>
    <t>LR-1</t>
    <phoneticPr fontId="27"/>
  </si>
  <si>
    <r>
      <t>■</t>
    </r>
    <r>
      <rPr>
        <sz val="16"/>
        <rFont val="ＭＳ Ｐゴシック"/>
        <family val="3"/>
        <charset val="128"/>
      </rPr>
      <t>エネルギー対策</t>
    </r>
    <phoneticPr fontId="27"/>
  </si>
  <si>
    <t xml:space="preserve"> 建物外皮の熱負荷抑制</t>
    <rPh sb="3" eb="5">
      <t>ガイヒ</t>
    </rPh>
    <phoneticPr fontId="27"/>
  </si>
  <si>
    <t xml:space="preserve"> 自然エネルギーの利用</t>
    <phoneticPr fontId="27"/>
  </si>
  <si>
    <t xml:space="preserve"> 設備システムの高効率化</t>
    <phoneticPr fontId="27"/>
  </si>
  <si>
    <t xml:space="preserve"> 効率的運用</t>
    <phoneticPr fontId="27"/>
  </si>
  <si>
    <t>LR-2</t>
  </si>
  <si>
    <r>
      <t>■</t>
    </r>
    <r>
      <rPr>
        <sz val="16"/>
        <rFont val="ＭＳ Ｐゴシック"/>
        <family val="3"/>
        <charset val="128"/>
      </rPr>
      <t>資源・マテリアル対策</t>
    </r>
    <phoneticPr fontId="27"/>
  </si>
  <si>
    <t xml:space="preserve"> 水資源保護</t>
    <phoneticPr fontId="27"/>
  </si>
  <si>
    <t xml:space="preserve"> 非再生性資源の使用量削減</t>
    <phoneticPr fontId="27"/>
  </si>
  <si>
    <t xml:space="preserve"> フロン・ハロンの回避</t>
    <phoneticPr fontId="27"/>
  </si>
  <si>
    <t xml:space="preserve"> 資源の有効利用による循環型地域社会の形成（R）</t>
    <phoneticPr fontId="27"/>
  </si>
  <si>
    <t>Rの平均点</t>
    <phoneticPr fontId="27"/>
  </si>
  <si>
    <t>Q-2</t>
    <phoneticPr fontId="27"/>
  </si>
  <si>
    <r>
      <t>■</t>
    </r>
    <r>
      <rPr>
        <sz val="16"/>
        <rFont val="ＭＳ Ｐゴシック"/>
        <family val="3"/>
        <charset val="128"/>
      </rPr>
      <t>サービス性能対策</t>
    </r>
    <phoneticPr fontId="27"/>
  </si>
  <si>
    <t xml:space="preserve"> 部品・部材の耐用年数</t>
    <phoneticPr fontId="27"/>
  </si>
  <si>
    <t>LR-2</t>
    <phoneticPr fontId="27"/>
  </si>
  <si>
    <t xml:space="preserve"> 地域インフラへの負荷抑制</t>
    <phoneticPr fontId="27"/>
  </si>
  <si>
    <t xml:space="preserve"> ヒートアイランド現象の緩和（H）</t>
    <phoneticPr fontId="27"/>
  </si>
  <si>
    <t>Hの平均点</t>
    <phoneticPr fontId="27"/>
  </si>
  <si>
    <t xml:space="preserve"> 注）重点項目に該当する評価項目の得点（重み係数付）を集計し、当該項目の最高点の合計に対する貢献度を示した点数。</t>
    <phoneticPr fontId="27"/>
  </si>
  <si>
    <t xml:space="preserve"> 重点項目への貢献点の平均点</t>
    <phoneticPr fontId="27"/>
  </si>
  <si>
    <t xml:space="preserve"> ライフサイクルCO2評価対象項目についての環境配慮概要</t>
    <phoneticPr fontId="27"/>
  </si>
  <si>
    <t xml:space="preserve"> 実績スコア合計/
最高点のスコア合計</t>
    <phoneticPr fontId="27"/>
  </si>
  <si>
    <t xml:space="preserve"> ライフサイクルCO2評価対象
項目への
貢献点 注）
（５点満点）</t>
    <phoneticPr fontId="27"/>
  </si>
  <si>
    <t xml:space="preserve"> 内訳対応項目</t>
    <phoneticPr fontId="27"/>
  </si>
  <si>
    <t xml:space="preserve"> 各項目について配慮した内容を記述してください。</t>
    <phoneticPr fontId="27"/>
  </si>
  <si>
    <t xml:space="preserve"> 建設段階</t>
    <phoneticPr fontId="27"/>
  </si>
  <si>
    <t xml:space="preserve"> 躯体材料の耐用年数</t>
    <phoneticPr fontId="27"/>
  </si>
  <si>
    <t xml:space="preserve"> 修繕・更新・解体段階</t>
    <phoneticPr fontId="27"/>
  </si>
  <si>
    <t xml:space="preserve"> 既存建築躯体等の継続利用</t>
    <rPh sb="9" eb="11">
      <t>ケイゾク</t>
    </rPh>
    <rPh sb="11" eb="13">
      <t>リヨウ</t>
    </rPh>
    <phoneticPr fontId="27"/>
  </si>
  <si>
    <t xml:space="preserve"> 躯体材料におけるリサイクル材の使用</t>
    <phoneticPr fontId="27"/>
  </si>
  <si>
    <t xml:space="preserve"> 運用時のエネルギー</t>
    <phoneticPr fontId="27"/>
  </si>
  <si>
    <r>
      <t>■</t>
    </r>
    <r>
      <rPr>
        <sz val="16"/>
        <rFont val="ＭＳ Ｐゴシック"/>
        <family val="3"/>
        <charset val="128"/>
      </rPr>
      <t>エネルギー対策</t>
    </r>
    <rPh sb="6" eb="8">
      <t>タイサク</t>
    </rPh>
    <phoneticPr fontId="27"/>
  </si>
  <si>
    <t xml:space="preserve"> 注）ライフサイクルCO2評価対象項目に該当する評価項目の得点（重み係数付）を集計し、当該項目の最高点の合計に対する貢献度を示した点数。</t>
    <phoneticPr fontId="27"/>
  </si>
  <si>
    <t>重点項目</t>
    <rPh sb="0" eb="2">
      <t>ジュウテン</t>
    </rPh>
    <rPh sb="2" eb="4">
      <t>コウモク</t>
    </rPh>
    <phoneticPr fontId="27"/>
  </si>
  <si>
    <t>G</t>
    <phoneticPr fontId="27"/>
  </si>
  <si>
    <t>W</t>
    <phoneticPr fontId="27"/>
  </si>
  <si>
    <t>R</t>
    <phoneticPr fontId="27"/>
  </si>
  <si>
    <t>H</t>
    <phoneticPr fontId="27"/>
  </si>
  <si>
    <t>予定</t>
  </si>
  <si>
    <t>・川崎市緑化指針の基準に適合している。 (1ポイント)
・同上指針の緑化面積率の基準値を5%以上上回っている。(2ポイント)
・2ポイントとなる基準を満たし、さらに、外構緑化指数が50%以上。 (3ポイント)</t>
    <rPh sb="1" eb="4">
      <t>カワサキシ</t>
    </rPh>
    <rPh sb="4" eb="8">
      <t>リョクカシシン</t>
    </rPh>
    <rPh sb="9" eb="11">
      <t>キジュン</t>
    </rPh>
    <rPh sb="12" eb="14">
      <t>テキゴウ</t>
    </rPh>
    <rPh sb="29" eb="31">
      <t>ドウジョウ</t>
    </rPh>
    <rPh sb="31" eb="33">
      <t>シシン</t>
    </rPh>
    <rPh sb="34" eb="39">
      <t>リョクカメンセキリツ</t>
    </rPh>
    <rPh sb="40" eb="43">
      <t>キジュンチ</t>
    </rPh>
    <rPh sb="46" eb="48">
      <t>イジョウ</t>
    </rPh>
    <rPh sb="48" eb="50">
      <t>ウワマワ</t>
    </rPh>
    <rPh sb="72" eb="74">
      <t>キジュン</t>
    </rPh>
    <rPh sb="75" eb="76">
      <t>ミ</t>
    </rPh>
    <rPh sb="83" eb="85">
      <t>ガイコウ</t>
    </rPh>
    <rPh sb="85" eb="89">
      <t>リョクカシスウ</t>
    </rPh>
    <phoneticPr fontId="27"/>
  </si>
  <si>
    <t xml:space="preserve">1) </t>
    <phoneticPr fontId="27"/>
  </si>
  <si>
    <t>※環境配慮の概要は最長30字程度。レベル３を超える場合は必ず記入する。</t>
    <rPh sb="1" eb="3">
      <t>カンキョウ</t>
    </rPh>
    <rPh sb="3" eb="5">
      <t>ハイリョ</t>
    </rPh>
    <rPh sb="6" eb="8">
      <t>ガイヨウ</t>
    </rPh>
    <rPh sb="9" eb="11">
      <t>サイチョウ</t>
    </rPh>
    <rPh sb="13" eb="14">
      <t>ジ</t>
    </rPh>
    <rPh sb="14" eb="16">
      <t>テイド</t>
    </rPh>
    <rPh sb="22" eb="23">
      <t>コ</t>
    </rPh>
    <rPh sb="25" eb="27">
      <t>バアイ</t>
    </rPh>
    <rPh sb="28" eb="29">
      <t>カナラ</t>
    </rPh>
    <rPh sb="30" eb="32">
      <t>キニュウ</t>
    </rPh>
    <phoneticPr fontId="27"/>
  </si>
  <si>
    <t>レベル2を満たさない。</t>
    <phoneticPr fontId="27"/>
  </si>
  <si>
    <t>日本住宅性能表示基準「5-1断熱等性能等級」における等級５相当である。</t>
    <rPh sb="29" eb="31">
      <t>ソウトウ</t>
    </rPh>
    <phoneticPr fontId="27"/>
  </si>
  <si>
    <t>日本住宅性能表示基準「5-1断熱等性能等級」における等級６相当以上である。</t>
    <rPh sb="31" eb="33">
      <t>イジョウ</t>
    </rPh>
    <phoneticPr fontId="27"/>
  </si>
  <si>
    <t>【非住宅用途】</t>
    <rPh sb="1" eb="4">
      <t>ヒジュウタク</t>
    </rPh>
    <rPh sb="4" eb="6">
      <t>ヨウト</t>
    </rPh>
    <phoneticPr fontId="27"/>
  </si>
  <si>
    <t>非住宅</t>
    <rPh sb="0" eb="3">
      <t>ヒジュウタク</t>
    </rPh>
    <phoneticPr fontId="27"/>
  </si>
  <si>
    <t>エネルギー消費性能基準相当</t>
  </si>
  <si>
    <t>[BEI*][BEIm*] ＝</t>
    <phoneticPr fontId="27"/>
  </si>
  <si>
    <t>誘導基準相当</t>
  </si>
  <si>
    <t>ZEB Ready</t>
  </si>
  <si>
    <t>Nearly ZEB</t>
  </si>
  <si>
    <t>オフサイト再エネの評価を含む場合の評価（モデル建物法は除く）</t>
  </si>
  <si>
    <t>事・学</t>
    <phoneticPr fontId="27"/>
  </si>
  <si>
    <t>物・ホ</t>
    <phoneticPr fontId="27"/>
  </si>
  <si>
    <t>飲・会・病</t>
    <phoneticPr fontId="27"/>
  </si>
  <si>
    <t>[BEI][BEIm] ≧ 0.9（1.1）</t>
    <phoneticPr fontId="27"/>
  </si>
  <si>
    <t>[BEI][BEIm] ＝ 0.8（1.0）</t>
  </si>
  <si>
    <t>[BEI][BEIm] ＝ 0.85（1.0）</t>
  </si>
  <si>
    <t>[BEI][BEIm] ＝ 0.75（1.0）</t>
  </si>
  <si>
    <t>[BEI*][BEIm*] ＝ 0.6</t>
  </si>
  <si>
    <t>[BEI*][BEIm*] ＝ 0.7</t>
  </si>
  <si>
    <t>[BEI][BEIm] ＝ 0.5、かつ[BEI*][BEIm*] ≦ 0.5</t>
    <phoneticPr fontId="27"/>
  </si>
  <si>
    <t>[BEI][BEIm] ≦ 0.25、かつ[BEI*][BEIm*] ≦ 0.5</t>
  </si>
  <si>
    <t>又は、[BEI+] ≦ 0.25、かつ[BEI*] ≦ 0.5、かつ[BEI]＜[BEI*]</t>
    <phoneticPr fontId="27"/>
  </si>
  <si>
    <t>一次エネルギー削減率（再エネ無）≦-10%</t>
    <rPh sb="0" eb="2">
      <t>イチジ</t>
    </rPh>
    <rPh sb="11" eb="12">
      <t>サイ</t>
    </rPh>
    <rPh sb="14" eb="15">
      <t>ナシ</t>
    </rPh>
    <phoneticPr fontId="27"/>
  </si>
  <si>
    <t>省エネ性能ラベル★なし</t>
    <phoneticPr fontId="27"/>
  </si>
  <si>
    <t>一次エネルギー削減率（再エネ無）＝0%</t>
    <rPh sb="14" eb="15">
      <t>ナシ</t>
    </rPh>
    <phoneticPr fontId="27"/>
  </si>
  <si>
    <t>省エネ性能ラベル★　（建築物省エネ法仕様基準相当）</t>
    <rPh sb="11" eb="14">
      <t>ケンチクブツ</t>
    </rPh>
    <rPh sb="14" eb="15">
      <t>ショウ</t>
    </rPh>
    <rPh sb="17" eb="18">
      <t>ホウ</t>
    </rPh>
    <rPh sb="18" eb="22">
      <t>シヨウキジュン</t>
    </rPh>
    <rPh sb="22" eb="24">
      <t>ソウトウ</t>
    </rPh>
    <phoneticPr fontId="27"/>
  </si>
  <si>
    <t>一次エネルギー削減率（再エネ無）＝10%</t>
    <rPh sb="11" eb="12">
      <t>サイ</t>
    </rPh>
    <rPh sb="14" eb="15">
      <t>ナシ</t>
    </rPh>
    <phoneticPr fontId="27"/>
  </si>
  <si>
    <t>省エネ性能ラベル★★</t>
    <phoneticPr fontId="27"/>
  </si>
  <si>
    <t>一次エネルギー削減率（再エネ無）＝20%</t>
    <rPh sb="14" eb="15">
      <t>ナシ</t>
    </rPh>
    <phoneticPr fontId="27"/>
  </si>
  <si>
    <t>省エネ性能ラベル★★★ 　ZEH水準（ZEH-M Oriented）相当</t>
    <phoneticPr fontId="27"/>
  </si>
  <si>
    <t>一次エネルギー削減率（再エネ有）≧50%、かつ1次エネ削減率（再エネ無）≧20%</t>
    <rPh sb="14" eb="15">
      <t>アリ</t>
    </rPh>
    <rPh sb="34" eb="35">
      <t>ナシ</t>
    </rPh>
    <phoneticPr fontId="27"/>
  </si>
  <si>
    <t>ZEH-M Ready相当</t>
    <rPh sb="11" eb="13">
      <t>ソウトウ</t>
    </rPh>
    <phoneticPr fontId="27"/>
  </si>
  <si>
    <t>一次エネルギー削減率（再エネ無）≧30%</t>
    <rPh sb="14" eb="15">
      <t>ナシ</t>
    </rPh>
    <phoneticPr fontId="27"/>
  </si>
  <si>
    <t>6階建以上もしくは、日陰等の理由により、再エネ導入の効果が低い場合の評価　省エネ性能ラベル★★★★</t>
    <phoneticPr fontId="27"/>
  </si>
  <si>
    <t>※環境配慮のほか、計算法、ZEB/ZEHやBELS等適合状況を記述</t>
    <rPh sb="9" eb="12">
      <t>ケイサンホウ</t>
    </rPh>
    <rPh sb="25" eb="26">
      <t>トウ</t>
    </rPh>
    <rPh sb="26" eb="28">
      <t>テキゴウ</t>
    </rPh>
    <rPh sb="28" eb="30">
      <t>ジョウキョウ</t>
    </rPh>
    <phoneticPr fontId="27"/>
  </si>
  <si>
    <t>等級3相当未満</t>
    <rPh sb="0" eb="2">
      <t>トウキュウ</t>
    </rPh>
    <rPh sb="3" eb="5">
      <t>ソウトウ</t>
    </rPh>
    <rPh sb="5" eb="7">
      <t>ミマン</t>
    </rPh>
    <phoneticPr fontId="27"/>
  </si>
  <si>
    <t>等級5</t>
    <rPh sb="0" eb="2">
      <t>トウキュウ</t>
    </rPh>
    <phoneticPr fontId="27"/>
  </si>
  <si>
    <t>等級６以上</t>
    <rPh sb="0" eb="2">
      <t>トウキュウ</t>
    </rPh>
    <rPh sb="3" eb="5">
      <t>イジョウ</t>
    </rPh>
    <phoneticPr fontId="27"/>
  </si>
  <si>
    <t>一次エネルギー消費性能</t>
    <rPh sb="0" eb="2">
      <t>イチジ</t>
    </rPh>
    <rPh sb="7" eb="9">
      <t>ショウヒ</t>
    </rPh>
    <rPh sb="9" eb="11">
      <t>セイノウ</t>
    </rPh>
    <phoneticPr fontId="27"/>
  </si>
  <si>
    <t>BEI*</t>
    <phoneticPr fontId="27"/>
  </si>
  <si>
    <t>■BEI等の転記</t>
    <rPh sb="4" eb="5">
      <t>ﾄｳ</t>
    </rPh>
    <rPh sb="6" eb="8">
      <t>ﾃﾝｷ</t>
    </rPh>
    <phoneticPr fontId="39" type="noConversion"/>
  </si>
  <si>
    <t>BEI</t>
    <phoneticPr fontId="27"/>
  </si>
  <si>
    <t xml:space="preserve">[BEI*][BEIm*] = </t>
    <phoneticPr fontId="27"/>
  </si>
  <si>
    <t>オンサイト再エネを含まないBEI</t>
    <rPh sb="9" eb="10">
      <t>フク</t>
    </rPh>
    <phoneticPr fontId="27"/>
  </si>
  <si>
    <t>オンサイト再エネを含むBEI</t>
    <rPh sb="9" eb="10">
      <t>フク</t>
    </rPh>
    <phoneticPr fontId="27"/>
  </si>
  <si>
    <t xml:space="preserve">[BEI+]= </t>
    <phoneticPr fontId="27"/>
  </si>
  <si>
    <t>オフサイト・オンサイト再エネを含むBEI</t>
    <rPh sb="15" eb="16">
      <t>フク</t>
    </rPh>
    <phoneticPr fontId="27"/>
  </si>
  <si>
    <t>非住宅の条件</t>
    <rPh sb="0" eb="1">
      <t>ヒ</t>
    </rPh>
    <rPh sb="1" eb="3">
      <t>ジュウタク</t>
    </rPh>
    <rPh sb="4" eb="6">
      <t>ジョウケン</t>
    </rPh>
    <phoneticPr fontId="27"/>
  </si>
  <si>
    <t>〇</t>
    <phoneticPr fontId="27"/>
  </si>
  <si>
    <t xml:space="preserve">レベル４以上をBEI＋で評価する </t>
    <phoneticPr fontId="27"/>
  </si>
  <si>
    <t>有効性の提示と[BEI*] ≦ 0.5、かつオンサイト再エネがある場合に可</t>
    <rPh sb="0" eb="3">
      <t>ユウコウセイ</t>
    </rPh>
    <rPh sb="4" eb="6">
      <t>テイジ</t>
    </rPh>
    <rPh sb="27" eb="28">
      <t>サイ</t>
    </rPh>
    <rPh sb="33" eb="35">
      <t>バアイ</t>
    </rPh>
    <rPh sb="36" eb="37">
      <t>カ</t>
    </rPh>
    <phoneticPr fontId="27"/>
  </si>
  <si>
    <t>対象となるオフサイト再エネの概要</t>
    <rPh sb="0" eb="2">
      <t>タイショウ</t>
    </rPh>
    <rPh sb="10" eb="11">
      <t>サイ</t>
    </rPh>
    <rPh sb="14" eb="16">
      <t>ガイヨウ</t>
    </rPh>
    <phoneticPr fontId="27"/>
  </si>
  <si>
    <t>←下記①②の概要を記入する。</t>
    <rPh sb="1" eb="3">
      <t>カキ</t>
    </rPh>
    <rPh sb="6" eb="8">
      <t>ガイヨウ</t>
    </rPh>
    <rPh sb="9" eb="11">
      <t>キニュウ</t>
    </rPh>
    <phoneticPr fontId="27"/>
  </si>
  <si>
    <t>評価にあたっては、オフサイト再エネの有効性の確認が必要であり、以下の内容を示すものとする。
①	対象となる「再エネ発電設備/施設」の概要（所在地、規模、設備仕様等）の提示
②	年間利用量の検討資料の提示（需給バランスの検討資料）
③	オンサイト（敷地内）で、可能な再エネ設備が計画されていること（オンサイト再エネ無の場合は対象外）</t>
    <phoneticPr fontId="27"/>
  </si>
  <si>
    <t>集合住宅の条件</t>
    <rPh sb="0" eb="2">
      <t>シュウゴウ</t>
    </rPh>
    <rPh sb="2" eb="4">
      <t>ジュウタク</t>
    </rPh>
    <rPh sb="5" eb="7">
      <t>ジョウケン</t>
    </rPh>
    <phoneticPr fontId="27"/>
  </si>
  <si>
    <t xml:space="preserve">レベル４以上をBEI＊で評価する </t>
    <phoneticPr fontId="27"/>
  </si>
  <si>
    <t>６階建以上もしくは、日陰等の理由で再エネ導入効果が低い場合に可</t>
    <rPh sb="27" eb="29">
      <t>バアイ</t>
    </rPh>
    <rPh sb="30" eb="31">
      <t>カ</t>
    </rPh>
    <phoneticPr fontId="27"/>
  </si>
  <si>
    <t xml:space="preserve">再エネ導入効果が低い理由 </t>
    <rPh sb="0" eb="1">
      <t>サイ</t>
    </rPh>
    <rPh sb="3" eb="5">
      <t>ドウニュウ</t>
    </rPh>
    <rPh sb="5" eb="7">
      <t>コウカ</t>
    </rPh>
    <rPh sb="8" eb="9">
      <t>ヒク</t>
    </rPh>
    <rPh sb="10" eb="12">
      <t>リユウ</t>
    </rPh>
    <phoneticPr fontId="27"/>
  </si>
  <si>
    <t>仕様基準で評価する　</t>
    <rPh sb="0" eb="2">
      <t>シヨウ</t>
    </rPh>
    <rPh sb="2" eb="4">
      <t>キジュン</t>
    </rPh>
    <rPh sb="5" eb="7">
      <t>ヒョウカ</t>
    </rPh>
    <phoneticPr fontId="27"/>
  </si>
  <si>
    <t>仕様基準で評価する面積　</t>
    <rPh sb="0" eb="2">
      <t>シヨウ</t>
    </rPh>
    <rPh sb="2" eb="4">
      <t>キジュン</t>
    </rPh>
    <rPh sb="5" eb="7">
      <t>ヒョウカ</t>
    </rPh>
    <rPh sb="9" eb="11">
      <t>メンセキ</t>
    </rPh>
    <phoneticPr fontId="27"/>
  </si>
  <si>
    <t xml:space="preserve">算定プログラムで評価する面積 </t>
    <rPh sb="0" eb="2">
      <t>サンテイ</t>
    </rPh>
    <rPh sb="8" eb="10">
      <t>ヒョウカ</t>
    </rPh>
    <rPh sb="12" eb="14">
      <t>メンセキ</t>
    </rPh>
    <phoneticPr fontId="27"/>
  </si>
  <si>
    <t>←評価対象面積が入力されていません。</t>
    <rPh sb="1" eb="3">
      <t>ヒョウカ</t>
    </rPh>
    <rPh sb="3" eb="5">
      <t>タイショウ</t>
    </rPh>
    <rPh sb="5" eb="7">
      <t>メンセキ</t>
    </rPh>
    <rPh sb="8" eb="10">
      <t>ニュウリョク</t>
    </rPh>
    <phoneticPr fontId="27"/>
  </si>
  <si>
    <t>エラー（入力に誤りがあります）</t>
    <rPh sb="4" eb="6">
      <t>ニュウリョク</t>
    </rPh>
    <rPh sb="7" eb="8">
      <t>アヤマ</t>
    </rPh>
    <phoneticPr fontId="27"/>
  </si>
  <si>
    <t>■用途別評価対象面積とBEI/BEIm等設定値</t>
    <rPh sb="1" eb="3">
      <t>ﾖｳﾄ</t>
    </rPh>
    <rPh sb="3" eb="4">
      <t>ﾍﾞﾂ</t>
    </rPh>
    <rPh sb="4" eb="6">
      <t>ﾋｮｳｶ</t>
    </rPh>
    <rPh sb="6" eb="8">
      <t>ﾀｲｼｮｳ</t>
    </rPh>
    <rPh sb="8" eb="10">
      <t>ﾒﾝｾｷ</t>
    </rPh>
    <rPh sb="19" eb="20">
      <t>ﾄｳ</t>
    </rPh>
    <rPh sb="20" eb="23">
      <t>ｾｯﾃｲﾁ</t>
    </rPh>
    <phoneticPr fontId="39" type="noConversion"/>
  </si>
  <si>
    <t>ﾚﾍﾞﾙ５</t>
    <phoneticPr fontId="27"/>
  </si>
  <si>
    <t>用途①</t>
    <rPh sb="0" eb="2">
      <t>ヨウト</t>
    </rPh>
    <phoneticPr fontId="27"/>
  </si>
  <si>
    <t>用途②</t>
    <rPh sb="0" eb="2">
      <t>ヨウト</t>
    </rPh>
    <phoneticPr fontId="27"/>
  </si>
  <si>
    <t>用途③</t>
    <rPh sb="0" eb="2">
      <t>ヨウト</t>
    </rPh>
    <phoneticPr fontId="27"/>
  </si>
  <si>
    <t>用途④</t>
    <rPh sb="0" eb="2">
      <t>ヨウト</t>
    </rPh>
    <phoneticPr fontId="27"/>
  </si>
  <si>
    <t>非住宅部分</t>
    <rPh sb="0" eb="3">
      <t>ヒジュウタク</t>
    </rPh>
    <rPh sb="3" eb="5">
      <t>ブブン</t>
    </rPh>
    <phoneticPr fontId="27"/>
  </si>
  <si>
    <t>一次エネルギー消費量等の転記（LCCO2計算用）</t>
    <rPh sb="0" eb="2">
      <t>イチジ</t>
    </rPh>
    <rPh sb="7" eb="10">
      <t>ショウヒリョウ</t>
    </rPh>
    <rPh sb="10" eb="11">
      <t>トウ</t>
    </rPh>
    <rPh sb="12" eb="14">
      <t>テンキ</t>
    </rPh>
    <rPh sb="20" eb="22">
      <t>ケイサン</t>
    </rPh>
    <rPh sb="22" eb="23">
      <t>ヨウ</t>
    </rPh>
    <phoneticPr fontId="27"/>
  </si>
  <si>
    <t>■住宅部分（専有部）において算定プログラムを使わない場合、以下を必ず選択して下さい。</t>
    <rPh sb="1" eb="3">
      <t>ジュウタク</t>
    </rPh>
    <rPh sb="3" eb="5">
      <t>ブブン</t>
    </rPh>
    <rPh sb="6" eb="9">
      <t>センユウブ</t>
    </rPh>
    <rPh sb="14" eb="16">
      <t>サンテイ</t>
    </rPh>
    <rPh sb="22" eb="23">
      <t>ツカ</t>
    </rPh>
    <rPh sb="26" eb="28">
      <t>バアイ</t>
    </rPh>
    <rPh sb="29" eb="31">
      <t>イカ</t>
    </rPh>
    <rPh sb="32" eb="33">
      <t>カナラ</t>
    </rPh>
    <rPh sb="34" eb="36">
      <t>センタク</t>
    </rPh>
    <rPh sb="38" eb="39">
      <t>クダ</t>
    </rPh>
    <phoneticPr fontId="27"/>
  </si>
  <si>
    <t>住戸合計
算定プロ分</t>
    <rPh sb="0" eb="2">
      <t>ジュウコ</t>
    </rPh>
    <rPh sb="2" eb="4">
      <t>ゴウケイ</t>
    </rPh>
    <rPh sb="5" eb="7">
      <t>サンテイ</t>
    </rPh>
    <rPh sb="9" eb="10">
      <t>ブン</t>
    </rPh>
    <phoneticPr fontId="27"/>
  </si>
  <si>
    <t>■基準一次エネルギー消費量 (その他一次ｴﾈﾙｷﾞｰを含む)</t>
    <rPh sb="1" eb="3">
      <t>ｷｼﾞｭﾝ</t>
    </rPh>
    <rPh sb="3" eb="5">
      <t>ｲﾁｼﾞ</t>
    </rPh>
    <rPh sb="10" eb="13">
      <t>ｼｮｳﾋﾘｮｳ</t>
    </rPh>
    <rPh sb="17" eb="18">
      <t>ﾎｶ</t>
    </rPh>
    <rPh sb="18" eb="20">
      <t>ｲﾁｼﾞ</t>
    </rPh>
    <rPh sb="27" eb="28">
      <t>ﾌｸ</t>
    </rPh>
    <phoneticPr fontId="39" type="noConversion"/>
  </si>
  <si>
    <t>■太陽光発電等エネルギー量（③ｵﾝｻｲﾄの取組）</t>
    <rPh sb="1" eb="4">
      <t>ﾀｲﾖｳｺｳ</t>
    </rPh>
    <rPh sb="4" eb="6">
      <t>ﾊﾂﾃﾞﾝ</t>
    </rPh>
    <rPh sb="6" eb="7">
      <t>ﾄｳ</t>
    </rPh>
    <rPh sb="12" eb="13">
      <t>ﾘｮｳ</t>
    </rPh>
    <rPh sb="21" eb="23">
      <t>ﾄﾘｸﾐ</t>
    </rPh>
    <phoneticPr fontId="39" type="noConversion"/>
  </si>
  <si>
    <t>レベル２</t>
    <phoneticPr fontId="27"/>
  </si>
  <si>
    <t>R１年度実績_電気事業者別排出係数（特定排出者の温室効果ガス排出量算定用）－ R3.1.7環境省・経済産業省公表、R3.7.19一部追加・更新</t>
    <rPh sb="2" eb="4">
      <t>ネンド</t>
    </rPh>
    <rPh sb="4" eb="6">
      <t>ジッセキ</t>
    </rPh>
    <rPh sb="7" eb="9">
      <t>デンキ</t>
    </rPh>
    <rPh sb="9" eb="12">
      <t>ジギョウシャ</t>
    </rPh>
    <rPh sb="12" eb="13">
      <t>ベツ</t>
    </rPh>
    <rPh sb="13" eb="15">
      <t>ハイシュツ</t>
    </rPh>
    <rPh sb="15" eb="17">
      <t>ケイスウ</t>
    </rPh>
    <rPh sb="18" eb="20">
      <t>トクテイ</t>
    </rPh>
    <rPh sb="20" eb="23">
      <t>ハイシュツシャ</t>
    </rPh>
    <rPh sb="24" eb="26">
      <t>オンシツ</t>
    </rPh>
    <rPh sb="26" eb="28">
      <t>コウカ</t>
    </rPh>
    <rPh sb="30" eb="32">
      <t>ハイシュツ</t>
    </rPh>
    <rPh sb="32" eb="33">
      <t>リョウ</t>
    </rPh>
    <rPh sb="33" eb="35">
      <t>サンテイ</t>
    </rPh>
    <rPh sb="35" eb="36">
      <t>ヨウ</t>
    </rPh>
    <rPh sb="45" eb="48">
      <t>カンキョウショウ</t>
    </rPh>
    <rPh sb="49" eb="51">
      <t>ケイザイ</t>
    </rPh>
    <rPh sb="51" eb="54">
      <t>サンギョウショウ</t>
    </rPh>
    <rPh sb="54" eb="56">
      <t>コウヒョウ</t>
    </rPh>
    <rPh sb="64" eb="66">
      <t>イチブ</t>
    </rPh>
    <rPh sb="66" eb="68">
      <t>ツイカ</t>
    </rPh>
    <rPh sb="69" eb="71">
      <t>コウシン</t>
    </rPh>
    <phoneticPr fontId="27"/>
  </si>
  <si>
    <t>BEI/BEIm</t>
    <phoneticPr fontId="27"/>
  </si>
  <si>
    <t>再エネ有</t>
    <rPh sb="0" eb="1">
      <t>ｻｲ</t>
    </rPh>
    <rPh sb="3" eb="4">
      <t>ｱﾘ</t>
    </rPh>
    <phoneticPr fontId="39" type="noConversion"/>
  </si>
  <si>
    <t>無</t>
    <rPh sb="0" eb="1">
      <t>ﾅｼ</t>
    </rPh>
    <phoneticPr fontId="39" type="noConversion"/>
  </si>
  <si>
    <t>ｵﾌｻｲﾄ再エネ有</t>
    <rPh sb="5" eb="6">
      <t>ｻｲ</t>
    </rPh>
    <rPh sb="8" eb="9">
      <t>ｱﾘ</t>
    </rPh>
    <phoneticPr fontId="39" type="noConversion"/>
  </si>
  <si>
    <t>一次エネ削減率</t>
    <rPh sb="0" eb="2">
      <t>イチジ</t>
    </rPh>
    <rPh sb="4" eb="7">
      <t>サクゲンリツ</t>
    </rPh>
    <phoneticPr fontId="27"/>
  </si>
  <si>
    <t>断熱材、タイル</t>
    <rPh sb="0" eb="3">
      <t>ダンネツザイ</t>
    </rPh>
    <phoneticPr fontId="27"/>
  </si>
  <si>
    <t>ビニル床シート</t>
    <rPh sb="3" eb="4">
      <t>ユカ</t>
    </rPh>
    <phoneticPr fontId="27"/>
  </si>
  <si>
    <t>集合住宅以外の評価</t>
    <rPh sb="0" eb="2">
      <t>ｼｭｳｺﾞｳ</t>
    </rPh>
    <rPh sb="2" eb="4">
      <t>ｼﾞｭｳﾀｸ</t>
    </rPh>
    <rPh sb="4" eb="6">
      <t>ｲｶﾞｲ</t>
    </rPh>
    <rPh sb="7" eb="9">
      <t>ﾋｮｳｶ</t>
    </rPh>
    <phoneticPr fontId="39" type="noConversion"/>
  </si>
  <si>
    <t>集合住宅の評価</t>
    <rPh sb="0" eb="2">
      <t>ｼｭｳｺﾞｳ</t>
    </rPh>
    <rPh sb="2" eb="4">
      <t>ｼﾞｭｳﾀｸ</t>
    </rPh>
    <rPh sb="5" eb="7">
      <t>ﾋｮｳｶ</t>
    </rPh>
    <phoneticPr fontId="39" type="noConversion"/>
  </si>
  <si>
    <t>日本住宅性能表示基準「5-1断熱等性能
等級」における等級６相当以上である。</t>
    <phoneticPr fontId="27"/>
  </si>
  <si>
    <r>
      <rPr>
        <sz val="9"/>
        <color rgb="FFFF0000"/>
        <rFont val="ＭＳ Ｐゴシック"/>
        <family val="3"/>
        <charset val="128"/>
      </rPr>
      <t>学（公立小中）・</t>
    </r>
    <r>
      <rPr>
        <sz val="9"/>
        <rFont val="ＭＳ Ｐゴシック"/>
        <family val="3"/>
        <charset val="128"/>
      </rPr>
      <t>物・飲・会・病・ホ・学・住</t>
    </r>
    <rPh sb="8" eb="9">
      <t>モノ</t>
    </rPh>
    <rPh sb="10" eb="11">
      <t>イン</t>
    </rPh>
    <rPh sb="12" eb="13">
      <t>カイ</t>
    </rPh>
    <rPh sb="14" eb="15">
      <t>ヤマイ</t>
    </rPh>
    <rPh sb="18" eb="19">
      <t>ガク</t>
    </rPh>
    <rPh sb="20" eb="21">
      <t>ジュウ</t>
    </rPh>
    <phoneticPr fontId="27"/>
  </si>
  <si>
    <t>複数の等級が混在する場合は最も低い等級で評価する。</t>
    <phoneticPr fontId="27"/>
  </si>
  <si>
    <r>
      <rPr>
        <sz val="10"/>
        <rFont val="ＭＳ Ｐゴシック"/>
        <family val="3"/>
        <charset val="128"/>
      </rPr>
      <t>○○ビル</t>
    </r>
    <phoneticPr fontId="27"/>
  </si>
  <si>
    <t>川崎市〇〇</t>
    <rPh sb="0" eb="3">
      <t>カワサキシ</t>
    </rPh>
    <phoneticPr fontId="27"/>
  </si>
  <si>
    <r>
      <rPr>
        <sz val="10"/>
        <rFont val="ＭＳ Ｐゴシック"/>
        <family val="3"/>
        <charset val="128"/>
      </rPr>
      <t>商業地域、防火地域</t>
    </r>
    <rPh sb="0" eb="2">
      <t>ショウギョウ</t>
    </rPh>
    <rPh sb="2" eb="4">
      <t>チイキ</t>
    </rPh>
    <rPh sb="5" eb="7">
      <t>ボウカ</t>
    </rPh>
    <rPh sb="7" eb="9">
      <t>チイキ</t>
    </rPh>
    <phoneticPr fontId="27"/>
  </si>
  <si>
    <r>
      <t>202</t>
    </r>
    <r>
      <rPr>
        <sz val="10"/>
        <rFont val="ＭＳ Ｐゴシック"/>
        <family val="3"/>
        <charset val="128"/>
      </rPr>
      <t>●年●月</t>
    </r>
    <rPh sb="4" eb="5">
      <t>ネン</t>
    </rPh>
    <rPh sb="6" eb="7">
      <t>ガツ</t>
    </rPh>
    <phoneticPr fontId="27"/>
  </si>
  <si>
    <r>
      <rPr>
        <sz val="10"/>
        <rFont val="ＭＳ Ｐゴシック"/>
        <family val="3"/>
        <charset val="128"/>
      </rPr>
      <t>地上○○</t>
    </r>
    <r>
      <rPr>
        <sz val="10"/>
        <rFont val="Arial"/>
        <family val="2"/>
      </rPr>
      <t>F</t>
    </r>
    <rPh sb="0" eb="2">
      <t>チジョウ</t>
    </rPh>
    <phoneticPr fontId="27"/>
  </si>
  <si>
    <t>XX</t>
    <phoneticPr fontId="27"/>
  </si>
  <si>
    <r>
      <t>事・</t>
    </r>
    <r>
      <rPr>
        <sz val="9"/>
        <color rgb="FFFF0000"/>
        <rFont val="ＭＳ Ｐゴシック"/>
        <family val="3"/>
        <charset val="128"/>
      </rPr>
      <t>学（公立小中以外）</t>
    </r>
    <r>
      <rPr>
        <sz val="9"/>
        <rFont val="ＭＳ Ｐゴシック"/>
        <family val="3"/>
        <charset val="128"/>
      </rPr>
      <t xml:space="preserve">・工・住および
</t>
    </r>
    <r>
      <rPr>
        <sz val="9"/>
        <color rgb="FFFF0000"/>
        <rFont val="ＭＳ Ｐゴシック"/>
        <family val="3"/>
        <charset val="128"/>
      </rPr>
      <t>学（公立小中）</t>
    </r>
    <r>
      <rPr>
        <sz val="9"/>
        <rFont val="ＭＳ Ｐゴシック"/>
        <family val="3"/>
        <charset val="128"/>
      </rPr>
      <t>・物・飲・会・病・ホ
建物全体の床面積の合計が2000㎡未満の場合</t>
    </r>
    <phoneticPr fontId="27"/>
  </si>
  <si>
    <r>
      <t>CASBEE-</t>
    </r>
    <r>
      <rPr>
        <sz val="9"/>
        <rFont val="ＭＳ Ｐゴシック"/>
        <family val="3"/>
        <charset val="128"/>
      </rPr>
      <t>川崎</t>
    </r>
    <r>
      <rPr>
        <sz val="9"/>
        <rFont val="Arial"/>
        <family val="2"/>
      </rPr>
      <t>2025</t>
    </r>
    <r>
      <rPr>
        <sz val="9"/>
        <rFont val="ＭＳ Ｐゴシック"/>
        <family val="3"/>
        <charset val="128"/>
      </rPr>
      <t>年版</t>
    </r>
    <phoneticPr fontId="27"/>
  </si>
  <si>
    <t>－</t>
  </si>
  <si>
    <t>「住宅部分の外壁、窓等を通しての熱の損失の防止に関する基準及び一次エネルギー消費量に関する基準」（平成28年国土交通省告示第266号、令和4年11月改正。以下「仕様基準」） を満たす場合はレベル２、「住宅部分の外壁、窓等を通しての熱の損失の防止に関する誘導基準及び一次エネルギー消費量に関する誘導基準」（令和4年11月国土交通省告示第1106号。以下「誘導仕様基準」） を満たす場合はレベル４と評価することができる。上記を満たさない場合はレベル１を選択す る。</t>
    <rPh sb="197" eb="199">
      <t>ヒョウカ</t>
    </rPh>
    <phoneticPr fontId="27"/>
  </si>
  <si>
    <t>記入例；エアフロ―ウインドウの採用</t>
    <phoneticPr fontId="27"/>
  </si>
  <si>
    <r>
      <t>CASBEE-</t>
    </r>
    <r>
      <rPr>
        <b/>
        <sz val="10"/>
        <rFont val="ＭＳ Ｐゴシック"/>
        <family val="3"/>
        <charset val="128"/>
      </rPr>
      <t>川崎</t>
    </r>
    <r>
      <rPr>
        <b/>
        <sz val="10"/>
        <color rgb="FFFF0000"/>
        <rFont val="Arial"/>
        <family val="2"/>
      </rPr>
      <t>2025(v.1.1)</t>
    </r>
    <phoneticPr fontId="27"/>
  </si>
  <si>
    <t>実施しない</t>
  </si>
  <si>
    <t>記入例；1.5%</t>
    <phoneticPr fontId="27"/>
  </si>
  <si>
    <t>記入例；CO2冷媒冷凍機</t>
    <rPh sb="0" eb="3">
      <t>キニュウレイ</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</si>
</sst>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0;0;&quot;&quot;"/>
    <numFmt numFmtId="177" formatCode="0.0_ "/>
    <numFmt numFmtId="178" formatCode="0.00_ "/>
    <numFmt numFmtId="179" formatCode="0.00_);[Red]\(0.00\)"/>
    <numFmt numFmtId="180" formatCode="0;0;&quot;－&quot;"/>
    <numFmt numFmtId="181" formatCode="#,##0_ "/>
    <numFmt numFmtId="182" formatCode="0.0"/>
    <numFmt numFmtId="183" formatCode="0.0;0.0;&quot;-&quot;\ "/>
    <numFmt numFmtId="184" formatCode="0.00;0.00;&quot;-&quot;\ "/>
    <numFmt numFmtId="185" formatCode="0.0;0.0;&quot;－&quot;"/>
    <numFmt numFmtId="186" formatCode="#,##0.0;[Red]\-#,##0.0"/>
    <numFmt numFmtId="187" formatCode="0.000_ "/>
    <numFmt numFmtId="188" formatCode="0.000_);[Red]\(0.000\)"/>
    <numFmt numFmtId="189" formatCode="0_ "/>
    <numFmt numFmtId="190" formatCode="#,###&quot;㎡&quot;"/>
    <numFmt numFmtId="191" formatCode="0.00;0.00;&quot;-&quot;"/>
    <numFmt numFmtId="192" formatCode="0.00;0.00;&quot;対象外&quot;"/>
    <numFmt numFmtId="193" formatCode="&quot;レベル &quot;#0.0;0.00;&quot;対象外&quot;"/>
    <numFmt numFmtId="194" formatCode="0.0;_Ā"/>
    <numFmt numFmtId="195" formatCode="0.0000"/>
    <numFmt numFmtId="196" formatCode="#&quot;年&quot;"/>
    <numFmt numFmtId="197" formatCode="#,##0.000;[Red]\-#,##0.000"/>
    <numFmt numFmtId="198" formatCode="0.0000_ "/>
    <numFmt numFmtId="199" formatCode="0.0_);[Red]\(0.0\)"/>
    <numFmt numFmtId="200" formatCode="0.000000_ "/>
    <numFmt numFmtId="201" formatCode="General;General;"/>
    <numFmt numFmtId="202" formatCode="0.00000_ "/>
    <numFmt numFmtId="203" formatCode="0.000"/>
    <numFmt numFmtId="204" formatCode="#,##0_);[Red]\(#,##0\)"/>
    <numFmt numFmtId="205" formatCode="#,##0.00_ ;[Red]\-#,##0.00\ "/>
    <numFmt numFmtId="206" formatCode="0.0%"/>
    <numFmt numFmtId="207" formatCode="0.000000"/>
    <numFmt numFmtId="208" formatCode="&quot;レベル &quot;#0;0.0;&quot;対象外&quot;"/>
    <numFmt numFmtId="209" formatCode="#,###.0&quot;㎡&quot;"/>
    <numFmt numFmtId="210" formatCode="#,##0.0_ "/>
    <numFmt numFmtId="211" formatCode="#,###.0&quot;kW&quot;"/>
    <numFmt numFmtId="212" formatCode="0.0000_);[Red]\(0.0000\)"/>
    <numFmt numFmtId="213" formatCode="&quot;レベル &quot;#0.00;0.000;&quot;対象外&quot;"/>
  </numFmts>
  <fonts count="2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11"/>
      <name val="ＭＳ Ｐゴシック"/>
      <family val="3"/>
      <charset val="128"/>
    </font>
    <font>
      <b/>
      <sz val="20"/>
      <color indexed="9"/>
      <name val="ＭＳ Ｐゴシック"/>
      <family val="3"/>
      <charset val="128"/>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b/>
      <sz val="9"/>
      <name val="Arial"/>
      <family val="2"/>
    </font>
    <font>
      <sz val="8"/>
      <name val="ＭＳ Ｐゴシック"/>
      <family val="3"/>
      <charset val="128"/>
    </font>
    <font>
      <sz val="9"/>
      <color indexed="10"/>
      <name val="ＭＳ Ｐゴシック"/>
      <family val="3"/>
      <charset val="128"/>
    </font>
    <font>
      <sz val="10"/>
      <color indexed="10"/>
      <name val="ＭＳ Ｐゴシック"/>
      <family val="3"/>
      <charset val="128"/>
    </font>
    <font>
      <sz val="10"/>
      <color indexed="18"/>
      <name val="ＭＳ Ｐゴシック"/>
      <family val="3"/>
      <charset val="128"/>
    </font>
    <font>
      <b/>
      <sz val="16"/>
      <color indexed="9"/>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b/>
      <vertAlign val="subscript"/>
      <sz val="12"/>
      <color indexed="9"/>
      <name val="ＭＳ Ｐゴシック"/>
      <family val="3"/>
      <charset val="128"/>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sz val="11"/>
      <color indexed="26"/>
      <name val="ＭＳ Ｐゴシック"/>
      <family val="3"/>
      <charset val="128"/>
    </font>
    <font>
      <b/>
      <sz val="11"/>
      <color indexed="26"/>
      <name val="Arial"/>
      <family val="2"/>
    </font>
    <font>
      <b/>
      <i/>
      <sz val="10"/>
      <color indexed="9"/>
      <name val="ＭＳ Ｐゴシック"/>
      <family val="3"/>
      <charset val="128"/>
    </font>
    <font>
      <b/>
      <i/>
      <sz val="9"/>
      <color indexed="9"/>
      <name val="ＭＳ Ｐゴシック"/>
      <family val="3"/>
      <charset val="128"/>
    </font>
    <font>
      <b/>
      <i/>
      <sz val="14"/>
      <color indexed="9"/>
      <name val="ＭＳ Ｐゴシック"/>
      <family val="3"/>
      <charset val="128"/>
    </font>
    <font>
      <b/>
      <i/>
      <sz val="14"/>
      <color indexed="9"/>
      <name val="Arial"/>
      <family val="2"/>
    </font>
    <font>
      <b/>
      <i/>
      <sz val="9"/>
      <name val="ＭＳ Ｐゴシック"/>
      <family val="3"/>
      <charset val="128"/>
    </font>
    <font>
      <b/>
      <i/>
      <sz val="10"/>
      <name val="Arial"/>
      <family val="2"/>
    </font>
    <font>
      <b/>
      <i/>
      <sz val="11"/>
      <name val="ＭＳ Ｐゴシック"/>
      <family val="3"/>
      <charset val="128"/>
    </font>
    <font>
      <i/>
      <sz val="11"/>
      <name val="Arial"/>
      <family val="2"/>
    </font>
    <font>
      <b/>
      <sz val="11"/>
      <color indexed="42"/>
      <name val="ＭＳ Ｐゴシック"/>
      <family val="3"/>
      <charset val="128"/>
    </font>
    <font>
      <b/>
      <sz val="11"/>
      <color indexed="42"/>
      <name val="Arial"/>
      <family val="2"/>
    </font>
    <font>
      <i/>
      <sz val="8"/>
      <name val="Arial"/>
      <family val="2"/>
    </font>
    <font>
      <sz val="8"/>
      <color indexed="9"/>
      <name val="Arial"/>
      <family val="2"/>
    </font>
    <font>
      <b/>
      <sz val="10"/>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b/>
      <vertAlign val="subscript"/>
      <sz val="11"/>
      <name val="ＭＳ Ｐゴシック"/>
      <family val="3"/>
      <charset val="128"/>
    </font>
    <font>
      <vertAlign val="superscript"/>
      <sz val="10"/>
      <name val="ＭＳ Ｐゴシック"/>
      <family val="3"/>
      <charset val="128"/>
    </font>
    <font>
      <b/>
      <vertAlign val="subscript"/>
      <sz val="10"/>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vertAlign val="superscript"/>
      <sz val="9"/>
      <name val="ＭＳ Ｐゴシック"/>
      <family val="3"/>
      <charset val="128"/>
    </font>
    <font>
      <b/>
      <vertAlign val="subscript"/>
      <sz val="10"/>
      <name val="Arial"/>
      <family val="2"/>
    </font>
    <font>
      <vertAlign val="subscript"/>
      <sz val="9"/>
      <name val="ＭＳ Ｐゴシック"/>
      <family val="3"/>
      <charset val="128"/>
    </font>
    <font>
      <sz val="10"/>
      <color indexed="8"/>
      <name val="ＭＳ Ｐゴシック"/>
      <family val="3"/>
      <charset val="128"/>
    </font>
    <font>
      <sz val="8"/>
      <name val="ＭＳ 明朝"/>
      <family val="1"/>
      <charset val="128"/>
    </font>
    <font>
      <sz val="8"/>
      <name val="M 中ゴシック BBB"/>
      <family val="3"/>
      <charset val="128"/>
    </font>
    <font>
      <b/>
      <vertAlign val="subscript"/>
      <sz val="9"/>
      <name val="ＭＳ Ｐゴシック"/>
      <family val="3"/>
      <charset val="128"/>
    </font>
    <font>
      <b/>
      <sz val="10"/>
      <color indexed="12"/>
      <name val="ＭＳ Ｐゴシック"/>
      <family val="3"/>
      <charset val="128"/>
    </font>
    <font>
      <b/>
      <vertAlign val="subscript"/>
      <sz val="12"/>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b/>
      <sz val="10"/>
      <color indexed="8"/>
      <name val="ＭＳ Ｐゴシック"/>
      <family val="3"/>
      <charset val="128"/>
    </font>
    <font>
      <sz val="10"/>
      <color indexed="12"/>
      <name val="ＭＳ Ｐゴシック"/>
      <family val="3"/>
      <charset val="128"/>
    </font>
    <font>
      <sz val="10"/>
      <color rgb="FFFF0000"/>
      <name val="ＭＳ Ｐゴシック"/>
      <family val="3"/>
      <charset val="128"/>
    </font>
    <font>
      <sz val="9"/>
      <color rgb="FFFF0000"/>
      <name val="ＭＳ Ｐゴシック"/>
      <family val="3"/>
      <charset val="128"/>
    </font>
    <font>
      <sz val="10"/>
      <color rgb="FF008000"/>
      <name val="ＭＳ Ｐゴシック"/>
      <family val="3"/>
      <charset val="128"/>
    </font>
    <font>
      <b/>
      <sz val="10"/>
      <color rgb="FF008000"/>
      <name val="ＭＳ Ｐゴシック"/>
      <family val="3"/>
      <charset val="128"/>
    </font>
    <font>
      <b/>
      <sz val="11"/>
      <color rgb="FF008000"/>
      <name val="ＭＳ Ｐゴシック"/>
      <family val="3"/>
      <charset val="128"/>
    </font>
    <font>
      <b/>
      <sz val="10"/>
      <color rgb="FF008000"/>
      <name val="Arial"/>
      <family val="2"/>
    </font>
    <font>
      <sz val="10"/>
      <color theme="9" tint="-0.499984740745262"/>
      <name val="ＭＳ Ｐゴシック"/>
      <family val="3"/>
      <charset val="128"/>
    </font>
    <font>
      <sz val="11"/>
      <color theme="9" tint="-0.499984740745262"/>
      <name val="ＭＳ Ｐゴシック"/>
      <family val="3"/>
      <charset val="128"/>
    </font>
    <font>
      <sz val="11"/>
      <name val="Arial Unicode MS"/>
      <family val="3"/>
      <charset val="128"/>
    </font>
    <font>
      <b/>
      <sz val="10"/>
      <color theme="2" tint="-0.499984740745262"/>
      <name val="ＭＳ Ｐゴシック"/>
      <family val="3"/>
      <charset val="128"/>
    </font>
    <font>
      <sz val="10"/>
      <color theme="2" tint="-0.499984740745262"/>
      <name val="ＭＳ Ｐゴシック"/>
      <family val="3"/>
      <charset val="128"/>
    </font>
    <font>
      <b/>
      <sz val="10"/>
      <color rgb="FFFF0000"/>
      <name val="Arial"/>
      <family val="2"/>
    </font>
    <font>
      <b/>
      <sz val="10"/>
      <color rgb="FFFF0000"/>
      <name val="ＭＳ Ｐゴシック"/>
      <family val="3"/>
      <charset val="128"/>
    </font>
    <font>
      <b/>
      <sz val="11"/>
      <color rgb="FFFF0000"/>
      <name val="ＭＳ Ｐゴシック"/>
      <family val="3"/>
      <charset val="128"/>
    </font>
    <font>
      <vertAlign val="superscript"/>
      <sz val="9"/>
      <color rgb="FFFF0000"/>
      <name val="ＭＳ Ｐゴシック"/>
      <family val="3"/>
      <charset val="128"/>
    </font>
    <font>
      <sz val="10"/>
      <color rgb="FFFF0000"/>
      <name val="Arial"/>
      <family val="2"/>
    </font>
    <font>
      <vertAlign val="superscript"/>
      <sz val="10"/>
      <color rgb="FFFF0000"/>
      <name val="Arial"/>
      <family val="2"/>
    </font>
    <font>
      <sz val="10"/>
      <color theme="8" tint="-0.499984740745262"/>
      <name val="ＭＳ Ｐゴシック"/>
      <family val="3"/>
      <charset val="128"/>
    </font>
    <font>
      <b/>
      <sz val="10"/>
      <color theme="5"/>
      <name val="ＭＳ Ｐゴシック"/>
      <family val="3"/>
      <charset val="128"/>
    </font>
    <font>
      <sz val="10"/>
      <color theme="5"/>
      <name val="ＭＳ Ｐゴシック"/>
      <family val="3"/>
      <charset val="128"/>
    </font>
    <font>
      <b/>
      <sz val="11"/>
      <color theme="5"/>
      <name val="ＭＳ Ｐゴシック"/>
      <family val="3"/>
      <charset val="128"/>
    </font>
    <font>
      <sz val="9"/>
      <color theme="5"/>
      <name val="Arial"/>
      <family val="2"/>
    </font>
    <font>
      <vertAlign val="subscript"/>
      <sz val="11"/>
      <name val="ＭＳ Ｐゴシック"/>
      <family val="3"/>
      <charset val="128"/>
    </font>
    <font>
      <sz val="11"/>
      <color rgb="FFFF0000"/>
      <name val="ＭＳ Ｐゴシック"/>
      <family val="3"/>
      <charset val="128"/>
    </font>
    <font>
      <sz val="9"/>
      <color theme="8" tint="-0.249977111117893"/>
      <name val="ＭＳ Ｐゴシック"/>
      <family val="3"/>
      <charset val="128"/>
    </font>
    <font>
      <sz val="11"/>
      <color theme="8" tint="-0.249977111117893"/>
      <name val="ＭＳ Ｐゴシック"/>
      <family val="3"/>
      <charset val="128"/>
    </font>
    <font>
      <b/>
      <sz val="9"/>
      <color theme="8" tint="-0.249977111117893"/>
      <name val="ＭＳ Ｐゴシック"/>
      <family val="3"/>
      <charset val="128"/>
    </font>
    <font>
      <b/>
      <sz val="11"/>
      <color theme="8" tint="-0.249977111117893"/>
      <name val="ＭＳ Ｐゴシック"/>
      <family val="3"/>
      <charset val="128"/>
    </font>
    <font>
      <b/>
      <sz val="12"/>
      <color theme="8" tint="-0.249977111117893"/>
      <name val="ＭＳ Ｐゴシック"/>
      <family val="3"/>
      <charset val="128"/>
    </font>
    <font>
      <sz val="11"/>
      <color rgb="FF002060"/>
      <name val="ＭＳ Ｐゴシック"/>
      <family val="3"/>
      <charset val="128"/>
    </font>
    <font>
      <b/>
      <sz val="10"/>
      <color theme="8" tint="-0.249977111117893"/>
      <name val="ＭＳ Ｐゴシック"/>
      <family val="3"/>
      <charset val="128"/>
    </font>
    <font>
      <sz val="8"/>
      <color rgb="FFFF0000"/>
      <name val="ＭＳ Ｐゴシック"/>
      <family val="3"/>
      <charset val="128"/>
    </font>
    <font>
      <sz val="9"/>
      <color rgb="FFFF0000"/>
      <name val="Arial"/>
      <family val="2"/>
    </font>
    <font>
      <sz val="10"/>
      <color indexed="53"/>
      <name val="Arial"/>
      <family val="2"/>
    </font>
    <font>
      <b/>
      <sz val="8"/>
      <color indexed="10"/>
      <name val="Arial"/>
      <family val="2"/>
    </font>
    <font>
      <b/>
      <sz val="11"/>
      <color indexed="17"/>
      <name val="Arial"/>
      <family val="2"/>
    </font>
    <font>
      <b/>
      <sz val="20"/>
      <color indexed="9"/>
      <name val="Arial"/>
      <family val="2"/>
    </font>
    <font>
      <sz val="10"/>
      <color theme="8" tint="-0.499984740745262"/>
      <name val="Arial"/>
      <family val="2"/>
    </font>
    <font>
      <b/>
      <i/>
      <sz val="20"/>
      <color indexed="9"/>
      <name val="Arial"/>
      <family val="2"/>
    </font>
    <font>
      <sz val="9"/>
      <color indexed="20"/>
      <name val="Arial"/>
      <family val="2"/>
    </font>
    <font>
      <sz val="10"/>
      <color indexed="21"/>
      <name val="Arial"/>
      <family val="2"/>
    </font>
    <font>
      <sz val="7"/>
      <name val="ＭＳ Ｐゴシック"/>
      <family val="3"/>
      <charset val="128"/>
    </font>
    <font>
      <sz val="10"/>
      <name val="游ゴシック"/>
      <family val="3"/>
      <charset val="128"/>
    </font>
    <font>
      <sz val="9"/>
      <name val="游ゴシック"/>
      <family val="3"/>
      <charset val="128"/>
    </font>
    <font>
      <b/>
      <sz val="22"/>
      <name val="游ゴシック"/>
      <family val="3"/>
      <charset val="128"/>
    </font>
    <font>
      <b/>
      <sz val="9"/>
      <color theme="0"/>
      <name val="游ゴシック"/>
      <family val="3"/>
      <charset val="128"/>
    </font>
    <font>
      <b/>
      <sz val="9"/>
      <color theme="1"/>
      <name val="游ゴシック"/>
      <family val="3"/>
      <charset val="128"/>
    </font>
    <font>
      <b/>
      <sz val="10"/>
      <color theme="1"/>
      <name val="游ゴシック"/>
      <family val="3"/>
      <charset val="128"/>
    </font>
    <font>
      <b/>
      <sz val="7"/>
      <color theme="1"/>
      <name val="游ゴシック"/>
      <family val="3"/>
      <charset val="128"/>
    </font>
    <font>
      <sz val="6"/>
      <name val="ＭＳ Ｐゴシック"/>
      <family val="2"/>
      <charset val="128"/>
      <scheme val="minor"/>
    </font>
    <font>
      <sz val="9"/>
      <color theme="1"/>
      <name val="游ゴシック"/>
      <family val="3"/>
      <charset val="128"/>
    </font>
    <font>
      <sz val="8"/>
      <name val="游ゴシック"/>
      <family val="3"/>
      <charset val="128"/>
    </font>
    <font>
      <sz val="6"/>
      <name val="游ゴシック"/>
      <family val="3"/>
      <charset val="128"/>
    </font>
    <font>
      <sz val="9"/>
      <color theme="1" tint="0.34998626667073579"/>
      <name val="游ゴシック"/>
      <family val="3"/>
      <charset val="128"/>
    </font>
    <font>
      <b/>
      <sz val="10.5"/>
      <name val="游ゴシック"/>
      <family val="3"/>
      <charset val="128"/>
    </font>
    <font>
      <sz val="18"/>
      <color theme="3"/>
      <name val="ＭＳ Ｐゴシック"/>
      <family val="2"/>
      <charset val="128"/>
      <scheme val="major"/>
    </font>
    <font>
      <vertAlign val="subscript"/>
      <sz val="8"/>
      <name val="游ゴシック"/>
      <family val="3"/>
      <charset val="128"/>
    </font>
    <font>
      <vertAlign val="subscript"/>
      <sz val="9"/>
      <name val="游ゴシック"/>
      <family val="3"/>
      <charset val="128"/>
    </font>
    <font>
      <sz val="6.5"/>
      <name val="游ゴシック"/>
      <family val="3"/>
      <charset val="128"/>
    </font>
    <font>
      <b/>
      <sz val="8"/>
      <color theme="1"/>
      <name val="游ゴシック"/>
      <family val="3"/>
      <charset val="128"/>
    </font>
    <font>
      <sz val="8.5"/>
      <name val="游ゴシック"/>
      <family val="3"/>
      <charset val="128"/>
    </font>
    <font>
      <sz val="10.5"/>
      <name val="游ゴシック"/>
      <family val="3"/>
      <charset val="128"/>
    </font>
    <font>
      <sz val="9"/>
      <color rgb="FFFF0000"/>
      <name val="游ゴシック"/>
      <family val="3"/>
      <charset val="128"/>
    </font>
    <font>
      <b/>
      <sz val="10"/>
      <color theme="0"/>
      <name val="游ゴシック"/>
      <family val="3"/>
      <charset val="128"/>
    </font>
    <font>
      <b/>
      <sz val="6"/>
      <color theme="0"/>
      <name val="游ゴシック"/>
      <family val="3"/>
      <charset val="128"/>
    </font>
    <font>
      <b/>
      <sz val="8"/>
      <color theme="0"/>
      <name val="游ゴシック"/>
      <family val="3"/>
      <charset val="128"/>
    </font>
    <font>
      <sz val="10"/>
      <name val="Yu Gothic Medium"/>
      <family val="3"/>
      <charset val="128"/>
    </font>
    <font>
      <sz val="9"/>
      <name val="ＭＳ ゴシック"/>
      <family val="3"/>
      <charset val="128"/>
    </font>
    <font>
      <sz val="9"/>
      <name val="ＭＳ ゴシック"/>
      <family val="2"/>
      <charset val="128"/>
    </font>
    <font>
      <sz val="11"/>
      <name val="ＭＳ Ｐゴシック"/>
      <family val="2"/>
      <charset val="128"/>
    </font>
    <font>
      <b/>
      <sz val="12"/>
      <color indexed="9"/>
      <name val="ＭＳ Ｐゴシック"/>
      <family val="3"/>
      <charset val="128"/>
      <scheme val="minor"/>
    </font>
    <font>
      <sz val="8"/>
      <name val="ＭＳ Ｐゴシック"/>
      <family val="3"/>
      <charset val="128"/>
      <scheme val="minor"/>
    </font>
    <font>
      <sz val="5.5"/>
      <name val="游ゴシック"/>
      <family val="3"/>
      <charset val="128"/>
    </font>
    <font>
      <sz val="8"/>
      <color theme="8" tint="-0.249977111117893"/>
      <name val="ＭＳ Ｐゴシック"/>
      <family val="3"/>
      <charset val="128"/>
    </font>
    <font>
      <sz val="10"/>
      <color theme="8" tint="-0.249977111117893"/>
      <name val="ＭＳ Ｐゴシック"/>
      <family val="3"/>
      <charset val="128"/>
    </font>
    <font>
      <sz val="11"/>
      <color rgb="FF000000"/>
      <name val="ＭＳ Ｐゴシック"/>
      <family val="3"/>
      <charset val="128"/>
    </font>
    <font>
      <b/>
      <sz val="8"/>
      <color indexed="10"/>
      <name val="ＭＳ Ｐゴシック"/>
      <family val="3"/>
      <charset val="128"/>
    </font>
    <font>
      <sz val="16"/>
      <name val="ＭＳ Ｐゴシック"/>
      <family val="3"/>
      <charset val="128"/>
    </font>
    <font>
      <sz val="28"/>
      <color indexed="9"/>
      <name val="ＭＳ Ｐゴシック"/>
      <family val="3"/>
      <charset val="128"/>
    </font>
    <font>
      <b/>
      <sz val="28"/>
      <color indexed="9"/>
      <name val="ＭＳ Ｐゴシック"/>
      <family val="3"/>
      <charset val="128"/>
    </font>
    <font>
      <sz val="13"/>
      <name val="ＭＳ Ｐゴシック"/>
      <family val="3"/>
      <charset val="128"/>
    </font>
    <font>
      <sz val="20"/>
      <name val="ＭＳ Ｐゴシック"/>
      <family val="3"/>
      <charset val="128"/>
    </font>
    <font>
      <b/>
      <sz val="20"/>
      <name val="ＭＳ Ｐゴシック"/>
      <family val="3"/>
      <charset val="128"/>
    </font>
    <font>
      <sz val="16"/>
      <color indexed="11"/>
      <name val="ＭＳ Ｐゴシック"/>
      <family val="3"/>
      <charset val="128"/>
    </font>
    <font>
      <b/>
      <sz val="20"/>
      <color indexed="12"/>
      <name val="ＭＳ Ｐゴシック"/>
      <family val="3"/>
      <charset val="128"/>
    </font>
    <font>
      <sz val="16"/>
      <color indexed="40"/>
      <name val="ＭＳ Ｐゴシック"/>
      <family val="3"/>
      <charset val="128"/>
    </font>
    <font>
      <sz val="16"/>
      <color indexed="51"/>
      <name val="ＭＳ Ｐゴシック"/>
      <family val="3"/>
      <charset val="128"/>
    </font>
    <font>
      <sz val="16"/>
      <color indexed="45"/>
      <name val="ＭＳ Ｐゴシック"/>
      <family val="3"/>
      <charset val="128"/>
    </font>
    <font>
      <b/>
      <sz val="16"/>
      <color indexed="12"/>
      <name val="ＭＳ Ｐゴシック"/>
      <family val="3"/>
      <charset val="128"/>
    </font>
    <font>
      <b/>
      <sz val="26"/>
      <color indexed="12"/>
      <name val="ＭＳ Ｐゴシック"/>
      <family val="3"/>
      <charset val="128"/>
    </font>
    <font>
      <sz val="16"/>
      <color indexed="9"/>
      <name val="ＭＳ Ｐゴシック"/>
      <family val="3"/>
      <charset val="128"/>
    </font>
    <font>
      <sz val="16"/>
      <color indexed="24"/>
      <name val="ＭＳ Ｐゴシック"/>
      <family val="3"/>
      <charset val="128"/>
    </font>
    <font>
      <sz val="16"/>
      <color indexed="50"/>
      <name val="ＭＳ Ｐゴシック"/>
      <family val="3"/>
      <charset val="128"/>
    </font>
    <font>
      <sz val="16"/>
      <color indexed="26"/>
      <name val="ＭＳ Ｐゴシック"/>
      <family val="3"/>
      <charset val="128"/>
    </font>
    <font>
      <b/>
      <sz val="15"/>
      <name val="ＭＳ Ｐゴシック"/>
      <family val="3"/>
      <charset val="128"/>
    </font>
    <font>
      <sz val="11"/>
      <color indexed="23"/>
      <name val="ＭＳ Ｐゴシック"/>
      <family val="3"/>
      <charset val="128"/>
    </font>
    <font>
      <sz val="11"/>
      <color rgb="FFFF0000"/>
      <name val="Arial"/>
      <family val="2"/>
    </font>
    <font>
      <b/>
      <sz val="9"/>
      <color rgb="FFFF0000"/>
      <name val="Arial"/>
      <family val="2"/>
    </font>
    <font>
      <b/>
      <sz val="9"/>
      <color rgb="FFFF0000"/>
      <name val="ＭＳ Ｐゴシック"/>
      <family val="3"/>
      <charset val="128"/>
    </font>
    <font>
      <b/>
      <sz val="9"/>
      <color indexed="81"/>
      <name val="MS P ゴシック"/>
      <family val="3"/>
      <charset val="128"/>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lightTrellis">
        <bgColor indexed="26"/>
      </patternFill>
    </fill>
    <fill>
      <patternFill patternType="solid">
        <fgColor indexed="50"/>
        <bgColor indexed="64"/>
      </patternFill>
    </fill>
    <fill>
      <patternFill patternType="lightTrellis">
        <bgColor indexed="22"/>
      </patternFill>
    </fill>
    <fill>
      <patternFill patternType="solid">
        <fgColor indexed="14"/>
        <bgColor indexed="64"/>
      </patternFill>
    </fill>
    <fill>
      <patternFill patternType="solid">
        <fgColor indexed="10"/>
        <bgColor indexed="64"/>
      </patternFill>
    </fill>
    <fill>
      <patternFill patternType="solid">
        <fgColor indexed="45"/>
        <bgColor indexed="64"/>
      </patternFill>
    </fill>
    <fill>
      <patternFill patternType="lightTrellis"/>
    </fill>
    <fill>
      <patternFill patternType="solid">
        <fgColor theme="1" tint="0.499984740745262"/>
        <bgColor indexed="64"/>
      </patternFill>
    </fill>
    <fill>
      <patternFill patternType="solid">
        <fgColor rgb="FFFFFF00"/>
        <bgColor indexed="64"/>
      </patternFill>
    </fill>
    <fill>
      <patternFill patternType="solid">
        <fgColor rgb="FFFFFFCC"/>
        <bgColor indexed="64"/>
      </patternFill>
    </fill>
    <fill>
      <patternFill patternType="solid">
        <fgColor theme="9"/>
        <bgColor indexed="64"/>
      </patternFill>
    </fill>
    <fill>
      <patternFill patternType="solid">
        <fgColor theme="0" tint="-0.249977111117893"/>
        <bgColor indexed="64"/>
      </patternFill>
    </fill>
    <fill>
      <patternFill patternType="solid">
        <fgColor rgb="FFFFFFCC"/>
        <bgColor rgb="FF000000"/>
      </patternFill>
    </fill>
    <fill>
      <patternFill patternType="solid">
        <fgColor rgb="FFFFFF00"/>
        <bgColor rgb="FF000000"/>
      </patternFill>
    </fill>
    <fill>
      <patternFill patternType="lightTrellis">
        <fgColor rgb="FF000000"/>
        <bgColor rgb="FFFFFFCC"/>
      </patternFill>
    </fill>
    <fill>
      <patternFill patternType="lightTrellis">
        <fgColor rgb="FF000000"/>
        <bgColor rgb="FFFFFF00"/>
      </patternFill>
    </fill>
    <fill>
      <patternFill patternType="solid">
        <fgColor rgb="FFCCFFFF"/>
        <bgColor indexed="64"/>
      </patternFill>
    </fill>
    <fill>
      <patternFill patternType="solid">
        <fgColor theme="0"/>
        <bgColor indexed="64"/>
      </patternFill>
    </fill>
    <fill>
      <patternFill patternType="solid">
        <fgColor rgb="FF00B0F0"/>
        <bgColor indexed="64"/>
      </patternFill>
    </fill>
    <fill>
      <patternFill patternType="lightGray">
        <bgColor indexed="26"/>
      </patternFill>
    </fill>
    <fill>
      <patternFill patternType="lightGray"/>
    </fill>
    <fill>
      <patternFill patternType="solid">
        <fgColor theme="9" tint="0.39997558519241921"/>
        <bgColor indexed="64"/>
      </patternFill>
    </fill>
    <fill>
      <patternFill patternType="solid">
        <fgColor theme="9" tint="0.39997558519241921"/>
        <bgColor rgb="FF000000"/>
      </patternFill>
    </fill>
    <fill>
      <patternFill patternType="solid">
        <fgColor theme="7" tint="0.79998168889431442"/>
        <bgColor indexed="64"/>
      </patternFill>
    </fill>
    <fill>
      <patternFill patternType="lightDown">
        <bgColor indexed="22"/>
      </patternFill>
    </fill>
    <fill>
      <patternFill patternType="lightDown">
        <bgColor indexed="26"/>
      </patternFill>
    </fill>
    <fill>
      <patternFill patternType="lightDown"/>
    </fill>
    <fill>
      <patternFill patternType="solid">
        <fgColor rgb="FFC0C0C0"/>
        <bgColor indexed="64"/>
      </patternFill>
    </fill>
    <fill>
      <patternFill patternType="solid">
        <fgColor rgb="FF92D050"/>
        <bgColor indexed="64"/>
      </patternFill>
    </fill>
    <fill>
      <patternFill patternType="lightTrellis">
        <bgColor rgb="FFFFFFCC"/>
      </patternFill>
    </fill>
    <fill>
      <patternFill patternType="solid">
        <fgColor theme="1" tint="0.34998626667073579"/>
        <bgColor indexed="64"/>
      </patternFill>
    </fill>
    <fill>
      <patternFill patternType="solid">
        <fgColor rgb="FFFF6C6F"/>
        <bgColor theme="0"/>
      </patternFill>
    </fill>
    <fill>
      <patternFill patternType="solid">
        <fgColor theme="7" tint="0.59996337778862885"/>
        <bgColor indexed="64"/>
      </patternFill>
    </fill>
    <fill>
      <patternFill patternType="solid">
        <fgColor rgb="FF78C965"/>
        <bgColor indexed="64"/>
      </patternFill>
    </fill>
    <fill>
      <patternFill patternType="solid">
        <fgColor theme="5"/>
        <bgColor indexed="64"/>
      </patternFill>
    </fill>
    <fill>
      <patternFill patternType="solid">
        <fgColor theme="5" tint="0.39997558519241921"/>
        <bgColor indexed="64"/>
      </patternFill>
    </fill>
    <fill>
      <patternFill patternType="solid">
        <fgColor indexed="65"/>
        <bgColor auto="1"/>
      </patternFill>
    </fill>
    <fill>
      <patternFill patternType="solid">
        <fgColor rgb="FFEE7281"/>
        <bgColor indexed="64"/>
      </patternFill>
    </fill>
    <fill>
      <patternFill patternType="solid">
        <fgColor rgb="FFFE8676"/>
        <bgColor indexed="64"/>
      </patternFill>
    </fill>
    <fill>
      <patternFill patternType="solid">
        <fgColor rgb="FF86DAEE"/>
        <bgColor indexed="64"/>
      </patternFill>
    </fill>
    <fill>
      <patternFill patternType="solid">
        <fgColor rgb="FFFDDD77"/>
        <bgColor indexed="64"/>
      </patternFill>
    </fill>
    <fill>
      <patternFill patternType="solid">
        <fgColor rgb="FFE44A7A"/>
        <bgColor indexed="64"/>
      </patternFill>
    </fill>
    <fill>
      <patternFill patternType="solid">
        <fgColor rgb="FFFD8C59"/>
        <bgColor indexed="64"/>
      </patternFill>
    </fill>
    <fill>
      <patternFill patternType="solid">
        <fgColor rgb="FFFF75AE"/>
        <bgColor indexed="64"/>
      </patternFill>
    </fill>
    <fill>
      <patternFill patternType="solid">
        <fgColor rgb="FFFDBB6B"/>
        <bgColor indexed="64"/>
      </patternFill>
    </fill>
    <fill>
      <patternFill patternType="solid">
        <fgColor rgb="FFDBB36B"/>
        <bgColor indexed="64"/>
      </patternFill>
    </fill>
    <fill>
      <patternFill patternType="solid">
        <fgColor rgb="FF77BB7C"/>
        <bgColor indexed="64"/>
      </patternFill>
    </fill>
    <fill>
      <patternFill patternType="solid">
        <fgColor theme="4" tint="0.59996337778862885"/>
        <bgColor indexed="64"/>
      </patternFill>
    </fill>
    <fill>
      <patternFill patternType="solid">
        <fgColor rgb="FF9BE27E"/>
        <bgColor indexed="64"/>
      </patternFill>
    </fill>
    <fill>
      <patternFill patternType="solid">
        <fgColor theme="8" tint="0.39994506668294322"/>
        <bgColor indexed="64"/>
      </patternFill>
    </fill>
    <fill>
      <patternFill patternType="solid">
        <fgColor rgb="FF6DADDD"/>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indexed="11"/>
        <bgColor indexed="64"/>
      </patternFill>
    </fill>
    <fill>
      <patternFill patternType="solid">
        <fgColor indexed="51"/>
        <bgColor indexed="64"/>
      </patternFill>
    </fill>
    <fill>
      <patternFill patternType="solid">
        <fgColor indexed="24"/>
        <bgColor indexed="64"/>
      </patternFill>
    </fill>
    <fill>
      <patternFill patternType="solid">
        <fgColor theme="9" tint="0.79998168889431442"/>
        <bgColor indexed="64"/>
      </patternFill>
    </fill>
  </fills>
  <borders count="2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style="medium">
        <color indexed="17"/>
      </left>
      <right/>
      <top style="hair">
        <color indexed="64"/>
      </top>
      <bottom style="hair">
        <color indexed="64"/>
      </bottom>
      <diagonal/>
    </border>
    <border>
      <left/>
      <right style="medium">
        <color indexed="17"/>
      </right>
      <top style="hair">
        <color indexed="64"/>
      </top>
      <bottom style="hair">
        <color indexed="64"/>
      </bottom>
      <diagonal/>
    </border>
    <border>
      <left style="medium">
        <color indexed="17"/>
      </left>
      <right/>
      <top style="hair">
        <color indexed="64"/>
      </top>
      <bottom style="medium">
        <color indexed="17"/>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top/>
      <bottom/>
      <diagonal/>
    </border>
    <border>
      <left style="medium">
        <color indexed="64"/>
      </left>
      <right style="medium">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style="dashed">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dashed">
        <color indexed="64"/>
      </right>
      <top style="medium">
        <color indexed="64"/>
      </top>
      <bottom/>
      <diagonal/>
    </border>
    <border>
      <left style="medium">
        <color indexed="64"/>
      </left>
      <right style="medium">
        <color indexed="64"/>
      </right>
      <top style="thin">
        <color indexed="64"/>
      </top>
      <bottom style="medium">
        <color indexed="64"/>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23"/>
      </top>
      <bottom/>
      <diagonal/>
    </border>
    <border>
      <left style="thin">
        <color indexed="64"/>
      </left>
      <right style="dashed">
        <color indexed="64"/>
      </right>
      <top style="medium">
        <color indexed="64"/>
      </top>
      <bottom style="medium">
        <color indexed="64"/>
      </bottom>
      <diagonal/>
    </border>
    <border>
      <left style="thin">
        <color indexed="64"/>
      </left>
      <right style="dashed">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dashed">
        <color indexed="64"/>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23"/>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hair">
        <color indexed="64"/>
      </left>
      <right/>
      <top style="thin">
        <color indexed="64"/>
      </top>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dashed">
        <color indexed="64"/>
      </right>
      <top style="medium">
        <color theme="0" tint="-0.499984740745262"/>
      </top>
      <bottom style="medium">
        <color indexed="64"/>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style="medium">
        <color indexed="64"/>
      </top>
      <bottom style="medium">
        <color auto="1"/>
      </bottom>
      <diagonal/>
    </border>
    <border>
      <left/>
      <right style="medium">
        <color indexed="64"/>
      </right>
      <top style="hair">
        <color indexed="64"/>
      </top>
      <bottom/>
      <diagonal/>
    </border>
    <border>
      <left/>
      <right style="medium">
        <color indexed="64"/>
      </right>
      <top style="medium">
        <color indexed="64"/>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ck">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style="medium">
        <color indexed="23"/>
      </top>
      <bottom style="medium">
        <color indexed="23"/>
      </bottom>
      <diagonal/>
    </border>
    <border>
      <left style="hair">
        <color indexed="64"/>
      </left>
      <right style="hair">
        <color indexed="64"/>
      </right>
      <top style="medium">
        <color indexed="23"/>
      </top>
      <bottom style="medium">
        <color indexed="23"/>
      </bottom>
      <diagonal/>
    </border>
    <border>
      <left style="hair">
        <color indexed="64"/>
      </left>
      <right style="medium">
        <color indexed="64"/>
      </right>
      <top style="medium">
        <color indexed="23"/>
      </top>
      <bottom style="medium">
        <color indexed="23"/>
      </bottom>
      <diagonal/>
    </border>
    <border>
      <left/>
      <right style="hair">
        <color indexed="64"/>
      </right>
      <top style="medium">
        <color indexed="23"/>
      </top>
      <bottom style="thin">
        <color indexed="64"/>
      </bottom>
      <diagonal/>
    </border>
    <border>
      <left style="hair">
        <color indexed="64"/>
      </left>
      <right style="hair">
        <color indexed="64"/>
      </right>
      <top style="medium">
        <color indexed="23"/>
      </top>
      <bottom style="thin">
        <color indexed="64"/>
      </bottom>
      <diagonal/>
    </border>
    <border>
      <left style="hair">
        <color indexed="64"/>
      </left>
      <right style="medium">
        <color indexed="64"/>
      </right>
      <top style="medium">
        <color indexed="23"/>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23"/>
      </left>
      <right style="hair">
        <color indexed="23"/>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hair">
        <color indexed="64"/>
      </right>
      <top style="medium">
        <color indexed="23"/>
      </top>
      <bottom style="thin">
        <color theme="1"/>
      </bottom>
      <diagonal/>
    </border>
    <border>
      <left style="hair">
        <color indexed="64"/>
      </left>
      <right style="hair">
        <color indexed="64"/>
      </right>
      <top style="medium">
        <color indexed="23"/>
      </top>
      <bottom style="thin">
        <color theme="1"/>
      </bottom>
      <diagonal/>
    </border>
    <border>
      <left style="hair">
        <color indexed="64"/>
      </left>
      <right style="medium">
        <color indexed="64"/>
      </right>
      <top style="medium">
        <color indexed="23"/>
      </top>
      <bottom style="thin">
        <color theme="1"/>
      </bottom>
      <diagonal/>
    </border>
    <border>
      <left style="hair">
        <color indexed="23"/>
      </left>
      <right style="hair">
        <color indexed="23"/>
      </right>
      <top/>
      <bottom style="thin">
        <color indexed="64"/>
      </bottom>
      <diagonal/>
    </border>
    <border>
      <left/>
      <right/>
      <top/>
      <bottom style="medium">
        <color indexed="23"/>
      </bottom>
      <diagonal/>
    </border>
    <border>
      <left/>
      <right style="hair">
        <color indexed="23"/>
      </right>
      <top style="medium">
        <color indexed="23"/>
      </top>
      <bottom style="thin">
        <color indexed="64"/>
      </bottom>
      <diagonal/>
    </border>
    <border>
      <left style="hair">
        <color indexed="23"/>
      </left>
      <right style="hair">
        <color indexed="23"/>
      </right>
      <top style="medium">
        <color indexed="23"/>
      </top>
      <bottom style="thin">
        <color indexed="64"/>
      </bottom>
      <diagonal/>
    </border>
    <border>
      <left style="hair">
        <color indexed="23"/>
      </left>
      <right style="medium">
        <color indexed="64"/>
      </right>
      <top style="medium">
        <color indexed="23"/>
      </top>
      <bottom style="thin">
        <color indexed="64"/>
      </bottom>
      <diagonal/>
    </border>
    <border>
      <left/>
      <right style="hair">
        <color indexed="64"/>
      </right>
      <top/>
      <bottom style="thin">
        <color indexed="64"/>
      </bottom>
      <diagonal/>
    </border>
    <border>
      <left/>
      <right style="hair">
        <color indexed="23"/>
      </right>
      <top/>
      <bottom style="medium">
        <color indexed="64"/>
      </bottom>
      <diagonal/>
    </border>
    <border>
      <left style="hair">
        <color indexed="23"/>
      </left>
      <right style="hair">
        <color indexed="23"/>
      </right>
      <top/>
      <bottom style="medium">
        <color indexed="64"/>
      </bottom>
      <diagonal/>
    </border>
    <border>
      <left style="hair">
        <color indexed="23"/>
      </left>
      <right style="medium">
        <color indexed="64"/>
      </right>
      <top/>
      <bottom style="medium">
        <color indexed="64"/>
      </bottom>
      <diagonal/>
    </border>
    <border>
      <left style="hair">
        <color indexed="23"/>
      </left>
      <right style="hair">
        <color indexed="23"/>
      </right>
      <top style="medium">
        <color indexed="23"/>
      </top>
      <bottom/>
      <diagonal/>
    </border>
    <border>
      <left style="hair">
        <color indexed="23"/>
      </left>
      <right style="medium">
        <color indexed="64"/>
      </right>
      <top style="medium">
        <color indexed="23"/>
      </top>
      <bottom/>
      <diagonal/>
    </border>
    <border>
      <left/>
      <right style="hair">
        <color indexed="64"/>
      </right>
      <top style="thin">
        <color theme="1"/>
      </top>
      <bottom style="thin">
        <color theme="1"/>
      </bottom>
      <diagonal/>
    </border>
    <border>
      <left style="hair">
        <color indexed="23"/>
      </left>
      <right style="hair">
        <color indexed="23"/>
      </right>
      <top style="thin">
        <color indexed="64"/>
      </top>
      <bottom style="thin">
        <color indexed="64"/>
      </bottom>
      <diagonal/>
    </border>
    <border>
      <left style="hair">
        <color indexed="64"/>
      </left>
      <right style="hair">
        <color indexed="64"/>
      </right>
      <top style="thin">
        <color theme="1"/>
      </top>
      <bottom style="thin">
        <color theme="1"/>
      </bottom>
      <diagonal/>
    </border>
    <border>
      <left style="hair">
        <color indexed="23"/>
      </left>
      <right style="medium">
        <color indexed="64"/>
      </right>
      <top style="thin">
        <color indexed="64"/>
      </top>
      <bottom style="thin">
        <color indexed="64"/>
      </bottom>
      <diagonal/>
    </border>
    <border>
      <left style="hair">
        <color indexed="23"/>
      </left>
      <right/>
      <top/>
      <bottom/>
      <diagonal/>
    </border>
    <border>
      <left style="hair">
        <color indexed="23"/>
      </left>
      <right style="medium">
        <color indexed="64"/>
      </right>
      <top/>
      <bottom/>
      <diagonal/>
    </border>
    <border>
      <left style="hair">
        <color indexed="23"/>
      </left>
      <right/>
      <top/>
      <bottom style="thin">
        <color indexed="64"/>
      </bottom>
      <diagonal/>
    </border>
    <border>
      <left style="hair">
        <color indexed="23"/>
      </left>
      <right style="medium">
        <color indexed="64"/>
      </right>
      <top/>
      <bottom style="thin">
        <color indexed="64"/>
      </bottom>
      <diagonal/>
    </border>
    <border>
      <left style="medium">
        <color indexed="64"/>
      </left>
      <right style="hair">
        <color indexed="64"/>
      </right>
      <top style="medium">
        <color indexed="23"/>
      </top>
      <bottom style="thin">
        <color indexed="64"/>
      </bottom>
      <diagonal/>
    </border>
    <border>
      <left style="hair">
        <color indexed="64"/>
      </left>
      <right style="hair">
        <color indexed="23"/>
      </right>
      <top style="medium">
        <color indexed="23"/>
      </top>
      <bottom style="thin">
        <color indexed="64"/>
      </bottom>
      <diagonal/>
    </border>
    <border>
      <left style="hair">
        <color indexed="23"/>
      </left>
      <right style="hair">
        <color indexed="64"/>
      </right>
      <top style="medium">
        <color indexed="23"/>
      </top>
      <bottom style="thin">
        <color indexed="64"/>
      </bottom>
      <diagonal/>
    </border>
    <border>
      <left style="medium">
        <color indexed="64"/>
      </left>
      <right style="hair">
        <color indexed="64"/>
      </right>
      <top/>
      <bottom/>
      <diagonal/>
    </border>
    <border>
      <left style="hair">
        <color indexed="64"/>
      </left>
      <right style="medium">
        <color indexed="64"/>
      </right>
      <top style="thin">
        <color theme="1"/>
      </top>
      <bottom style="thin">
        <color theme="1"/>
      </bottom>
      <diagonal/>
    </border>
    <border>
      <left/>
      <right style="hair">
        <color indexed="64"/>
      </right>
      <top style="thin">
        <color theme="1"/>
      </top>
      <bottom/>
      <diagonal/>
    </border>
    <border>
      <left style="hair">
        <color indexed="64"/>
      </left>
      <right style="hair">
        <color indexed="64"/>
      </right>
      <top style="thin">
        <color theme="1"/>
      </top>
      <bottom/>
      <diagonal/>
    </border>
    <border>
      <left style="hair">
        <color indexed="64"/>
      </left>
      <right style="medium">
        <color indexed="64"/>
      </right>
      <top style="thin">
        <color theme="1"/>
      </top>
      <bottom/>
      <diagonal/>
    </border>
    <border>
      <left/>
      <right style="hair">
        <color indexed="64"/>
      </right>
      <top/>
      <bottom style="thin">
        <color theme="1"/>
      </bottom>
      <diagonal/>
    </border>
    <border>
      <left style="hair">
        <color indexed="64"/>
      </left>
      <right style="hair">
        <color indexed="64"/>
      </right>
      <top/>
      <bottom style="thin">
        <color theme="1"/>
      </bottom>
      <diagonal/>
    </border>
    <border>
      <left style="hair">
        <color indexed="64"/>
      </left>
      <right style="medium">
        <color indexed="64"/>
      </right>
      <top/>
      <bottom style="thin">
        <color theme="1"/>
      </bottom>
      <diagonal/>
    </border>
    <border>
      <left style="medium">
        <color indexed="64"/>
      </left>
      <right/>
      <top style="medium">
        <color indexed="23"/>
      </top>
      <bottom style="thin">
        <color indexed="64"/>
      </bottom>
      <diagonal/>
    </border>
    <border>
      <left/>
      <right style="medium">
        <color indexed="64"/>
      </right>
      <top style="medium">
        <color indexed="23"/>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51">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9" fontId="12"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1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12" fillId="0" borderId="0"/>
    <xf numFmtId="0" fontId="12" fillId="0" borderId="0"/>
    <xf numFmtId="0" fontId="25" fillId="0" borderId="0"/>
    <xf numFmtId="0" fontId="26" fillId="4" borderId="0" applyNumberFormat="0" applyBorder="0" applyAlignment="0" applyProtection="0">
      <alignment vertical="center"/>
    </xf>
    <xf numFmtId="0" fontId="6" fillId="0" borderId="0">
      <alignment vertical="center"/>
    </xf>
    <xf numFmtId="0" fontId="5" fillId="0" borderId="0">
      <alignment vertical="center"/>
    </xf>
    <xf numFmtId="0" fontId="12" fillId="0" borderId="0">
      <alignment vertical="center"/>
    </xf>
  </cellStyleXfs>
  <cellXfs count="3837">
    <xf numFmtId="0" fontId="0" fillId="0" borderId="0" xfId="0">
      <alignment vertical="center"/>
    </xf>
    <xf numFmtId="0" fontId="0" fillId="0" borderId="10" xfId="0" applyBorder="1">
      <alignment vertical="center"/>
    </xf>
    <xf numFmtId="0" fontId="0" fillId="0" borderId="15" xfId="0" applyBorder="1">
      <alignment vertical="center"/>
    </xf>
    <xf numFmtId="0" fontId="12" fillId="27" borderId="0" xfId="0" applyFont="1" applyFill="1">
      <alignment vertical="center"/>
    </xf>
    <xf numFmtId="0" fontId="17" fillId="27" borderId="0" xfId="0" applyFont="1" applyFill="1">
      <alignment vertical="center"/>
    </xf>
    <xf numFmtId="0" fontId="32" fillId="27" borderId="0" xfId="0" applyFont="1" applyFill="1" applyAlignment="1">
      <alignment horizontal="left" vertical="center"/>
    </xf>
    <xf numFmtId="0" fontId="34" fillId="27" borderId="0" xfId="0" applyFont="1" applyFill="1" applyAlignment="1">
      <alignment horizontal="left" vertical="center"/>
    </xf>
    <xf numFmtId="0" fontId="38" fillId="27" borderId="0" xfId="0" applyFont="1" applyFill="1">
      <alignment vertical="center"/>
    </xf>
    <xf numFmtId="0" fontId="45" fillId="30" borderId="59" xfId="0" applyFont="1" applyFill="1" applyBorder="1">
      <alignment vertical="center"/>
    </xf>
    <xf numFmtId="0" fontId="37" fillId="30" borderId="60" xfId="45" applyFont="1" applyFill="1" applyBorder="1" applyAlignment="1" applyProtection="1">
      <alignment vertical="center"/>
      <protection hidden="1"/>
    </xf>
    <xf numFmtId="0" fontId="37" fillId="30" borderId="60" xfId="45" applyFont="1" applyFill="1" applyBorder="1" applyAlignment="1" applyProtection="1">
      <alignment horizontal="left" vertical="center"/>
      <protection hidden="1"/>
    </xf>
    <xf numFmtId="0" fontId="37" fillId="30" borderId="61" xfId="45" applyFont="1" applyFill="1" applyBorder="1" applyAlignment="1" applyProtection="1">
      <alignment vertical="center"/>
      <protection hidden="1"/>
    </xf>
    <xf numFmtId="0" fontId="46" fillId="0" borderId="0" xfId="0" applyFont="1">
      <alignment vertical="center"/>
    </xf>
    <xf numFmtId="0" fontId="12" fillId="27" borderId="62" xfId="45" applyFill="1" applyBorder="1"/>
    <xf numFmtId="0" fontId="12" fillId="27" borderId="0" xfId="45" applyFill="1" applyAlignment="1" applyProtection="1">
      <alignment vertical="center"/>
      <protection hidden="1"/>
    </xf>
    <xf numFmtId="0" fontId="12" fillId="27" borderId="0" xfId="45" applyFill="1" applyAlignment="1" applyProtection="1">
      <alignment horizontal="left" vertical="center"/>
      <protection hidden="1"/>
    </xf>
    <xf numFmtId="0" fontId="12" fillId="27" borderId="63" xfId="0" applyFont="1" applyFill="1" applyBorder="1">
      <alignment vertical="center"/>
    </xf>
    <xf numFmtId="0" fontId="12" fillId="27" borderId="53" xfId="0" applyFont="1" applyFill="1" applyBorder="1">
      <alignment vertical="center"/>
    </xf>
    <xf numFmtId="0" fontId="0" fillId="27" borderId="54" xfId="0" applyFill="1" applyBorder="1">
      <alignment vertical="center"/>
    </xf>
    <xf numFmtId="0" fontId="0" fillId="0" borderId="10" xfId="0" applyBorder="1" applyProtection="1">
      <alignment vertical="center"/>
      <protection locked="0"/>
    </xf>
    <xf numFmtId="0" fontId="12" fillId="27" borderId="62" xfId="45" applyFill="1" applyBorder="1" applyAlignment="1">
      <alignment vertical="center"/>
    </xf>
    <xf numFmtId="0" fontId="7" fillId="31" borderId="51" xfId="0" applyFont="1" applyFill="1" applyBorder="1" applyAlignment="1">
      <alignment horizontal="center" vertical="center" wrapText="1"/>
    </xf>
    <xf numFmtId="0" fontId="12" fillId="27" borderId="64" xfId="0" applyFont="1" applyFill="1" applyBorder="1">
      <alignment vertical="center"/>
    </xf>
    <xf numFmtId="0" fontId="0" fillId="27" borderId="17" xfId="0" applyFill="1" applyBorder="1">
      <alignment vertical="center"/>
    </xf>
    <xf numFmtId="201" fontId="12" fillId="27" borderId="26" xfId="45" applyNumberFormat="1" applyFill="1" applyBorder="1" applyAlignment="1" applyProtection="1">
      <alignment vertical="center" shrinkToFit="1"/>
      <protection hidden="1"/>
    </xf>
    <xf numFmtId="0" fontId="12" fillId="27" borderId="10" xfId="35" applyNumberFormat="1" applyFont="1" applyFill="1" applyBorder="1" applyAlignment="1" applyProtection="1">
      <alignment horizontal="right" vertical="center" shrinkToFit="1"/>
    </xf>
    <xf numFmtId="0" fontId="12" fillId="27" borderId="10" xfId="45" applyFill="1" applyBorder="1" applyAlignment="1" applyProtection="1">
      <alignment vertical="center"/>
      <protection hidden="1"/>
    </xf>
    <xf numFmtId="200" fontId="12" fillId="27" borderId="10" xfId="45" applyNumberFormat="1" applyFill="1" applyBorder="1" applyAlignment="1" applyProtection="1">
      <alignment vertical="center"/>
      <protection hidden="1"/>
    </xf>
    <xf numFmtId="0" fontId="12" fillId="27" borderId="17" xfId="0" applyFont="1" applyFill="1" applyBorder="1">
      <alignment vertical="center"/>
    </xf>
    <xf numFmtId="0" fontId="7" fillId="31" borderId="10" xfId="0" applyFont="1" applyFill="1" applyBorder="1" applyAlignment="1">
      <alignment horizontal="center" vertical="center" wrapText="1"/>
    </xf>
    <xf numFmtId="0" fontId="12" fillId="27" borderId="26" xfId="45" applyFill="1" applyBorder="1" applyAlignment="1" applyProtection="1">
      <alignment vertical="center"/>
      <protection locked="0"/>
    </xf>
    <xf numFmtId="0" fontId="12" fillId="27" borderId="10" xfId="45" applyFill="1" applyBorder="1" applyAlignment="1" applyProtection="1">
      <alignment vertical="center"/>
      <protection locked="0"/>
    </xf>
    <xf numFmtId="0" fontId="12" fillId="27" borderId="62" xfId="45" applyFill="1" applyBorder="1" applyAlignment="1">
      <alignment horizontal="right" vertical="top"/>
    </xf>
    <xf numFmtId="0" fontId="0" fillId="27" borderId="0" xfId="0" applyFill="1">
      <alignment vertical="center"/>
    </xf>
    <xf numFmtId="0" fontId="7" fillId="27" borderId="10" xfId="0" applyFont="1" applyFill="1" applyBorder="1" applyAlignment="1">
      <alignment horizontal="center" vertical="center" wrapText="1"/>
    </xf>
    <xf numFmtId="0" fontId="12" fillId="27" borderId="10" xfId="45" applyFill="1" applyBorder="1" applyAlignment="1">
      <alignment vertical="center"/>
    </xf>
    <xf numFmtId="0" fontId="12" fillId="27" borderId="62" xfId="0" applyFont="1" applyFill="1" applyBorder="1">
      <alignment vertical="center"/>
    </xf>
    <xf numFmtId="0" fontId="12" fillId="27" borderId="10" xfId="45" applyFill="1" applyBorder="1" applyAlignment="1" applyProtection="1">
      <alignment horizontal="center" vertical="center"/>
      <protection hidden="1"/>
    </xf>
    <xf numFmtId="0" fontId="12" fillId="27" borderId="65" xfId="0" applyFont="1" applyFill="1" applyBorder="1">
      <alignment vertical="center"/>
    </xf>
    <xf numFmtId="0" fontId="12" fillId="27" borderId="66" xfId="0" applyFont="1" applyFill="1" applyBorder="1">
      <alignment vertical="center"/>
    </xf>
    <xf numFmtId="0" fontId="12" fillId="27" borderId="67" xfId="0" applyFont="1" applyFill="1" applyBorder="1">
      <alignment vertical="center"/>
    </xf>
    <xf numFmtId="0" fontId="12" fillId="27" borderId="56" xfId="0" applyFont="1" applyFill="1" applyBorder="1">
      <alignment vertical="center"/>
    </xf>
    <xf numFmtId="0" fontId="12" fillId="27" borderId="57" xfId="0" applyFont="1" applyFill="1" applyBorder="1">
      <alignment vertical="center"/>
    </xf>
    <xf numFmtId="0" fontId="12" fillId="27" borderId="58" xfId="0" applyFont="1" applyFill="1" applyBorder="1">
      <alignment vertical="center"/>
    </xf>
    <xf numFmtId="0" fontId="12" fillId="0" borderId="0" xfId="0" applyFont="1">
      <alignment vertical="center"/>
    </xf>
    <xf numFmtId="0" fontId="0" fillId="0" borderId="0" xfId="0" applyAlignment="1">
      <alignment horizontal="right" vertical="center"/>
    </xf>
    <xf numFmtId="0" fontId="47" fillId="0" borderId="0" xfId="0" applyFont="1" applyProtection="1">
      <alignment vertical="center"/>
      <protection hidden="1"/>
    </xf>
    <xf numFmtId="0" fontId="47" fillId="0" borderId="0" xfId="0" applyFont="1" applyAlignment="1" applyProtection="1">
      <alignment horizontal="left" vertical="center"/>
      <protection hidden="1"/>
    </xf>
    <xf numFmtId="0" fontId="48" fillId="0" borderId="0" xfId="0" applyFont="1" applyAlignment="1" applyProtection="1">
      <alignment horizontal="left" vertical="center"/>
      <protection hidden="1"/>
    </xf>
    <xf numFmtId="0" fontId="47" fillId="0" borderId="0" xfId="0" applyFont="1" applyAlignment="1" applyProtection="1">
      <alignment horizontal="right" vertical="center"/>
      <protection hidden="1"/>
    </xf>
    <xf numFmtId="0" fontId="49" fillId="0" borderId="0" xfId="0" applyFont="1" applyProtection="1">
      <alignment vertical="center"/>
      <protection hidden="1"/>
    </xf>
    <xf numFmtId="0" fontId="49" fillId="0" borderId="0" xfId="0" applyFont="1" applyAlignment="1" applyProtection="1">
      <alignment horizontal="center" vertical="center"/>
      <protection hidden="1"/>
    </xf>
    <xf numFmtId="14" fontId="50" fillId="0" borderId="0" xfId="0" applyNumberFormat="1" applyFont="1" applyAlignment="1" applyProtection="1">
      <alignment horizontal="center" vertical="center"/>
      <protection hidden="1"/>
    </xf>
    <xf numFmtId="0" fontId="51" fillId="0" borderId="0" xfId="0" applyFont="1" applyProtection="1">
      <alignment vertical="center"/>
      <protection hidden="1"/>
    </xf>
    <xf numFmtId="178" fontId="51" fillId="0" borderId="0" xfId="0" applyNumberFormat="1" applyFont="1" applyProtection="1">
      <alignment vertical="center"/>
      <protection hidden="1"/>
    </xf>
    <xf numFmtId="0" fontId="50" fillId="0" borderId="0" xfId="0" applyFont="1" applyProtection="1">
      <alignment vertical="center"/>
      <protection hidden="1"/>
    </xf>
    <xf numFmtId="0" fontId="31" fillId="0" borderId="0" xfId="0" applyFont="1" applyAlignment="1" applyProtection="1">
      <protection hidden="1"/>
    </xf>
    <xf numFmtId="0" fontId="52" fillId="0" borderId="0" xfId="0" applyFont="1" applyAlignment="1" applyProtection="1">
      <alignment horizontal="left" vertical="center"/>
      <protection hidden="1"/>
    </xf>
    <xf numFmtId="0" fontId="53" fillId="0" borderId="0" xfId="0" applyFont="1" applyAlignment="1" applyProtection="1">
      <alignment horizontal="right" vertical="center"/>
      <protection hidden="1"/>
    </xf>
    <xf numFmtId="0" fontId="53" fillId="0" borderId="0" xfId="0" applyFont="1" applyProtection="1">
      <alignment vertical="center"/>
      <protection hidden="1"/>
    </xf>
    <xf numFmtId="0" fontId="54" fillId="0" borderId="0" xfId="0" applyFont="1" applyProtection="1">
      <alignment vertical="center"/>
      <protection hidden="1"/>
    </xf>
    <xf numFmtId="0" fontId="55" fillId="0" borderId="0" xfId="0" applyFont="1" applyProtection="1">
      <alignment vertical="center"/>
      <protection hidden="1"/>
    </xf>
    <xf numFmtId="0" fontId="56" fillId="0" borderId="0" xfId="0" applyFont="1" applyAlignment="1" applyProtection="1">
      <alignment horizontal="center" vertical="center"/>
      <protection hidden="1"/>
    </xf>
    <xf numFmtId="0" fontId="33" fillId="0" borderId="0" xfId="0" applyFont="1" applyAlignment="1" applyProtection="1">
      <alignment horizontal="left" vertical="center"/>
      <protection hidden="1"/>
    </xf>
    <xf numFmtId="0" fontId="57" fillId="0" borderId="0" xfId="0" applyFont="1" applyProtection="1">
      <alignment vertical="center"/>
      <protection hidden="1"/>
    </xf>
    <xf numFmtId="0" fontId="34" fillId="0" borderId="0" xfId="0" applyFont="1" applyAlignment="1" applyProtection="1">
      <alignment horizontal="left" vertical="center"/>
      <protection hidden="1"/>
    </xf>
    <xf numFmtId="0" fontId="56" fillId="0" borderId="0" xfId="0" applyFont="1" applyAlignment="1" applyProtection="1">
      <alignment horizontal="right" vertical="center"/>
      <protection hidden="1"/>
    </xf>
    <xf numFmtId="0" fontId="58" fillId="0" borderId="0" xfId="0" applyFont="1" applyAlignment="1" applyProtection="1">
      <alignment horizontal="left" vertical="top"/>
      <protection hidden="1"/>
    </xf>
    <xf numFmtId="0" fontId="53" fillId="0" borderId="0" xfId="0" applyFont="1" applyAlignment="1" applyProtection="1">
      <alignment horizontal="left" vertical="center"/>
      <protection hidden="1"/>
    </xf>
    <xf numFmtId="0" fontId="55" fillId="0" borderId="0" xfId="0" applyFont="1" applyAlignment="1" applyProtection="1">
      <alignment horizontal="center" vertical="center"/>
      <protection hidden="1"/>
    </xf>
    <xf numFmtId="0" fontId="33" fillId="0" borderId="0" xfId="0" applyFont="1" applyAlignment="1" applyProtection="1">
      <alignment horizontal="right" vertical="top"/>
      <protection hidden="1"/>
    </xf>
    <xf numFmtId="0" fontId="59" fillId="0" borderId="0" xfId="0" applyFont="1" applyProtection="1">
      <alignment vertical="center"/>
      <protection hidden="1"/>
    </xf>
    <xf numFmtId="0" fontId="60" fillId="0" borderId="0" xfId="0" applyFont="1" applyAlignment="1" applyProtection="1">
      <alignment horizontal="left" vertical="center"/>
      <protection hidden="1"/>
    </xf>
    <xf numFmtId="0" fontId="60" fillId="0" borderId="0" xfId="0" applyFont="1" applyAlignment="1" applyProtection="1">
      <alignment horizontal="right" vertical="center"/>
      <protection hidden="1"/>
    </xf>
    <xf numFmtId="0" fontId="60" fillId="0" borderId="0" xfId="0" applyFont="1" applyProtection="1">
      <alignment vertical="center"/>
      <protection hidden="1"/>
    </xf>
    <xf numFmtId="0" fontId="61" fillId="0" borderId="0" xfId="0" applyFont="1" applyProtection="1">
      <alignment vertical="center"/>
      <protection hidden="1"/>
    </xf>
    <xf numFmtId="0" fontId="61" fillId="0" borderId="0" xfId="0" applyFont="1" applyAlignment="1" applyProtection="1">
      <alignment horizontal="center" vertical="center"/>
      <protection hidden="1"/>
    </xf>
    <xf numFmtId="0" fontId="62" fillId="0" borderId="0" xfId="0" applyFont="1" applyAlignment="1" applyProtection="1">
      <alignment horizontal="center" vertical="center"/>
      <protection hidden="1"/>
    </xf>
    <xf numFmtId="0" fontId="63" fillId="0" borderId="0" xfId="0" applyFont="1" applyProtection="1">
      <alignment vertical="center"/>
      <protection hidden="1"/>
    </xf>
    <xf numFmtId="0" fontId="65" fillId="30" borderId="68" xfId="0" applyFont="1" applyFill="1" applyBorder="1" applyAlignment="1" applyProtection="1">
      <alignment horizontal="left" vertical="center"/>
      <protection hidden="1"/>
    </xf>
    <xf numFmtId="0" fontId="65" fillId="30" borderId="69" xfId="0" applyFont="1" applyFill="1" applyBorder="1" applyAlignment="1" applyProtection="1">
      <alignment horizontal="left" vertical="center"/>
      <protection hidden="1"/>
    </xf>
    <xf numFmtId="0" fontId="66" fillId="30" borderId="69" xfId="0" applyFont="1" applyFill="1" applyBorder="1" applyAlignment="1" applyProtection="1">
      <alignment horizontal="right" vertical="top"/>
      <protection hidden="1"/>
    </xf>
    <xf numFmtId="0" fontId="57" fillId="30" borderId="70" xfId="0" applyFont="1" applyFill="1" applyBorder="1" applyProtection="1">
      <alignment vertical="center"/>
      <protection hidden="1"/>
    </xf>
    <xf numFmtId="0" fontId="57" fillId="30" borderId="60" xfId="0" applyFont="1" applyFill="1" applyBorder="1" applyProtection="1">
      <alignment vertical="center"/>
      <protection hidden="1"/>
    </xf>
    <xf numFmtId="56" fontId="65" fillId="30" borderId="70" xfId="0" applyNumberFormat="1" applyFont="1" applyFill="1" applyBorder="1" applyProtection="1">
      <alignment vertical="center"/>
      <protection hidden="1"/>
    </xf>
    <xf numFmtId="0" fontId="65" fillId="30" borderId="71" xfId="0" applyFont="1" applyFill="1" applyBorder="1" applyAlignment="1" applyProtection="1">
      <alignment horizontal="left" vertical="center"/>
      <protection hidden="1"/>
    </xf>
    <xf numFmtId="0" fontId="67" fillId="0" borderId="0" xfId="0" applyFont="1" applyProtection="1">
      <alignment vertical="center"/>
      <protection hidden="1"/>
    </xf>
    <xf numFmtId="49" fontId="38" fillId="0" borderId="72" xfId="0" applyNumberFormat="1" applyFont="1" applyBorder="1" applyAlignment="1" applyProtection="1">
      <alignment horizontal="left" vertical="center"/>
      <protection hidden="1"/>
    </xf>
    <xf numFmtId="3" fontId="32" fillId="0" borderId="73" xfId="0" applyNumberFormat="1" applyFont="1" applyBorder="1" applyAlignment="1" applyProtection="1">
      <alignment horizontal="left" vertical="center"/>
      <protection hidden="1"/>
    </xf>
    <xf numFmtId="3" fontId="38" fillId="0" borderId="74" xfId="0" applyNumberFormat="1" applyFont="1" applyBorder="1" applyProtection="1">
      <alignment vertical="center"/>
      <protection hidden="1"/>
    </xf>
    <xf numFmtId="0" fontId="57" fillId="0" borderId="75" xfId="0" applyFont="1" applyBorder="1" applyProtection="1">
      <alignment vertical="center"/>
      <protection hidden="1"/>
    </xf>
    <xf numFmtId="0" fontId="38" fillId="0" borderId="62" xfId="0" applyFont="1" applyBorder="1" applyAlignment="1" applyProtection="1">
      <alignment horizontal="left" vertical="center"/>
      <protection hidden="1"/>
    </xf>
    <xf numFmtId="0" fontId="39" fillId="0" borderId="0" xfId="0" applyFont="1" applyAlignment="1" applyProtection="1">
      <alignment horizontal="left" vertical="center"/>
      <protection hidden="1"/>
    </xf>
    <xf numFmtId="0" fontId="38" fillId="0" borderId="76" xfId="0" quotePrefix="1" applyFont="1" applyBorder="1" applyAlignment="1" applyProtection="1">
      <alignment horizontal="left" vertical="center"/>
      <protection hidden="1"/>
    </xf>
    <xf numFmtId="2" fontId="39" fillId="0" borderId="0" xfId="0" applyNumberFormat="1" applyFont="1" applyAlignment="1" applyProtection="1">
      <alignment horizontal="left" vertical="center"/>
      <protection hidden="1"/>
    </xf>
    <xf numFmtId="0" fontId="68" fillId="0" borderId="59" xfId="0" applyFont="1" applyBorder="1" applyProtection="1">
      <alignment vertical="center"/>
      <protection hidden="1"/>
    </xf>
    <xf numFmtId="0" fontId="68" fillId="0" borderId="0" xfId="0" applyFont="1" applyProtection="1">
      <alignment vertical="center"/>
      <protection hidden="1"/>
    </xf>
    <xf numFmtId="0" fontId="68" fillId="0" borderId="63" xfId="0" applyFont="1" applyBorder="1" applyProtection="1">
      <alignment vertical="center"/>
      <protection hidden="1"/>
    </xf>
    <xf numFmtId="0" fontId="57" fillId="0" borderId="10" xfId="0" applyFont="1" applyBorder="1" applyProtection="1">
      <alignment vertical="center"/>
      <protection hidden="1"/>
    </xf>
    <xf numFmtId="0" fontId="12" fillId="0" borderId="10" xfId="0" applyFont="1" applyBorder="1" applyProtection="1">
      <alignment vertical="center"/>
      <protection hidden="1"/>
    </xf>
    <xf numFmtId="0" fontId="69" fillId="0" borderId="10" xfId="0" applyFont="1" applyBorder="1" applyProtection="1">
      <alignment vertical="center"/>
      <protection hidden="1"/>
    </xf>
    <xf numFmtId="0" fontId="50" fillId="0" borderId="10" xfId="0" applyFont="1" applyBorder="1" applyProtection="1">
      <alignment vertical="center"/>
      <protection hidden="1"/>
    </xf>
    <xf numFmtId="0" fontId="38" fillId="0" borderId="62" xfId="0" applyFont="1" applyBorder="1" applyProtection="1">
      <alignment vertical="center"/>
      <protection hidden="1"/>
    </xf>
    <xf numFmtId="3" fontId="32" fillId="0" borderId="0" xfId="0" applyNumberFormat="1" applyFont="1" applyAlignment="1" applyProtection="1">
      <alignment horizontal="left" vertical="center"/>
      <protection hidden="1"/>
    </xf>
    <xf numFmtId="3" fontId="38" fillId="0" borderId="76" xfId="0" applyNumberFormat="1" applyFont="1" applyBorder="1" applyProtection="1">
      <alignment vertical="center"/>
      <protection hidden="1"/>
    </xf>
    <xf numFmtId="3" fontId="38" fillId="0" borderId="0" xfId="0" applyNumberFormat="1" applyFont="1" applyAlignment="1" applyProtection="1">
      <alignment horizontal="left" vertical="center"/>
      <protection hidden="1"/>
    </xf>
    <xf numFmtId="0" fontId="38" fillId="0" borderId="77" xfId="0" applyFont="1" applyBorder="1" applyAlignment="1" applyProtection="1">
      <alignment horizontal="left" vertical="center"/>
      <protection hidden="1"/>
    </xf>
    <xf numFmtId="0" fontId="39" fillId="0" borderId="57" xfId="0" applyFont="1" applyBorder="1" applyAlignment="1" applyProtection="1">
      <alignment horizontal="left" vertical="center"/>
      <protection hidden="1"/>
    </xf>
    <xf numFmtId="0" fontId="38" fillId="0" borderId="78" xfId="0" applyFont="1" applyBorder="1" applyAlignment="1" applyProtection="1">
      <alignment horizontal="left" vertical="center"/>
      <protection hidden="1"/>
    </xf>
    <xf numFmtId="3" fontId="39" fillId="0" borderId="79" xfId="0" applyNumberFormat="1" applyFont="1" applyBorder="1" applyAlignment="1" applyProtection="1">
      <alignment horizontal="left" vertical="center"/>
      <protection hidden="1"/>
    </xf>
    <xf numFmtId="0" fontId="57" fillId="0" borderId="62" xfId="0" applyFont="1" applyBorder="1" applyProtection="1">
      <alignment vertical="center"/>
      <protection hidden="1"/>
    </xf>
    <xf numFmtId="0" fontId="57" fillId="0" borderId="63" xfId="0" applyFont="1" applyBorder="1" applyProtection="1">
      <alignment vertical="center"/>
      <protection hidden="1"/>
    </xf>
    <xf numFmtId="0" fontId="50" fillId="0" borderId="10" xfId="35" applyNumberFormat="1" applyFont="1" applyFill="1" applyBorder="1" applyAlignment="1" applyProtection="1">
      <protection hidden="1"/>
    </xf>
    <xf numFmtId="3" fontId="39" fillId="0" borderId="0" xfId="0" applyNumberFormat="1" applyFont="1" applyAlignment="1" applyProtection="1">
      <alignment horizontal="left" vertical="center"/>
      <protection hidden="1"/>
    </xf>
    <xf numFmtId="181" fontId="38" fillId="0" borderId="76" xfId="0" applyNumberFormat="1" applyFont="1" applyBorder="1" applyAlignment="1" applyProtection="1">
      <alignment horizontal="right" vertical="center"/>
      <protection hidden="1"/>
    </xf>
    <xf numFmtId="0" fontId="57" fillId="0" borderId="62" xfId="0" applyFont="1" applyBorder="1" applyProtection="1">
      <alignment vertical="center"/>
      <protection locked="0"/>
    </xf>
    <xf numFmtId="0" fontId="57" fillId="0" borderId="0" xfId="0" applyFont="1" applyProtection="1">
      <alignment vertical="center"/>
      <protection locked="0"/>
    </xf>
    <xf numFmtId="0" fontId="57" fillId="0" borderId="63" xfId="0" applyFont="1" applyBorder="1" applyProtection="1">
      <alignment vertical="center"/>
      <protection locked="0"/>
    </xf>
    <xf numFmtId="0" fontId="50" fillId="0" borderId="10" xfId="0" applyFont="1" applyBorder="1" applyAlignment="1" applyProtection="1">
      <alignment horizontal="left" vertical="center" wrapText="1"/>
      <protection hidden="1"/>
    </xf>
    <xf numFmtId="0" fontId="38" fillId="0" borderId="77" xfId="0" applyFont="1" applyBorder="1" applyProtection="1">
      <alignment vertical="center"/>
      <protection hidden="1"/>
    </xf>
    <xf numFmtId="3" fontId="32" fillId="0" borderId="57" xfId="0" applyNumberFormat="1" applyFont="1" applyBorder="1" applyAlignment="1" applyProtection="1">
      <alignment horizontal="left" vertical="center"/>
      <protection hidden="1"/>
    </xf>
    <xf numFmtId="3" fontId="38" fillId="0" borderId="57" xfId="0" applyNumberFormat="1" applyFont="1" applyBorder="1" applyAlignment="1" applyProtection="1">
      <alignment horizontal="left" vertical="center"/>
      <protection hidden="1"/>
    </xf>
    <xf numFmtId="0" fontId="57" fillId="0" borderId="79" xfId="0" applyFont="1" applyBorder="1" applyProtection="1">
      <alignment vertical="center"/>
      <protection hidden="1"/>
    </xf>
    <xf numFmtId="181" fontId="38" fillId="0" borderId="78" xfId="0" applyNumberFormat="1" applyFont="1" applyBorder="1" applyAlignment="1" applyProtection="1">
      <alignment horizontal="right" vertical="center"/>
      <protection hidden="1"/>
    </xf>
    <xf numFmtId="0" fontId="12" fillId="0" borderId="10" xfId="0" applyFont="1" applyBorder="1" applyAlignment="1" applyProtection="1">
      <alignment vertical="center" wrapText="1"/>
      <protection hidden="1"/>
    </xf>
    <xf numFmtId="49" fontId="38" fillId="0" borderId="80" xfId="0" applyNumberFormat="1" applyFont="1" applyBorder="1" applyAlignment="1" applyProtection="1">
      <alignment horizontal="left" vertical="center"/>
      <protection hidden="1"/>
    </xf>
    <xf numFmtId="3" fontId="32" fillId="0" borderId="50" xfId="0" applyNumberFormat="1" applyFont="1" applyBorder="1" applyAlignment="1" applyProtection="1">
      <alignment horizontal="left" vertical="center"/>
      <protection hidden="1"/>
    </xf>
    <xf numFmtId="3" fontId="38" fillId="0" borderId="81" xfId="0" applyNumberFormat="1" applyFont="1" applyBorder="1" applyProtection="1">
      <alignment vertical="center"/>
      <protection hidden="1"/>
    </xf>
    <xf numFmtId="0" fontId="57" fillId="0" borderId="82" xfId="0" applyFont="1" applyBorder="1" applyProtection="1">
      <alignment vertical="center"/>
      <protection hidden="1"/>
    </xf>
    <xf numFmtId="0" fontId="39" fillId="0" borderId="57" xfId="0" applyFont="1" applyBorder="1" applyProtection="1">
      <alignment vertical="center"/>
      <protection hidden="1"/>
    </xf>
    <xf numFmtId="0" fontId="39" fillId="0" borderId="79" xfId="0" applyFont="1" applyBorder="1" applyProtection="1">
      <alignment vertical="center"/>
      <protection hidden="1"/>
    </xf>
    <xf numFmtId="3" fontId="70" fillId="0" borderId="0" xfId="0" applyNumberFormat="1" applyFont="1" applyAlignment="1" applyProtection="1">
      <alignment horizontal="left" vertical="center"/>
      <protection locked="0"/>
    </xf>
    <xf numFmtId="0" fontId="71" fillId="0" borderId="0" xfId="0" applyFont="1" applyProtection="1">
      <alignment vertical="center"/>
      <protection hidden="1"/>
    </xf>
    <xf numFmtId="31" fontId="38" fillId="0" borderId="76" xfId="0" applyNumberFormat="1" applyFont="1" applyBorder="1" applyAlignment="1" applyProtection="1">
      <alignment horizontal="left" vertical="center" shrinkToFit="1"/>
      <protection hidden="1"/>
    </xf>
    <xf numFmtId="0" fontId="39" fillId="0" borderId="0" xfId="0" applyFont="1" applyProtection="1">
      <alignment vertical="center"/>
      <protection hidden="1"/>
    </xf>
    <xf numFmtId="3" fontId="72" fillId="0" borderId="0" xfId="0" applyNumberFormat="1" applyFont="1" applyAlignment="1" applyProtection="1">
      <alignment horizontal="left" vertical="center"/>
      <protection locked="0"/>
    </xf>
    <xf numFmtId="186" fontId="73" fillId="0" borderId="10" xfId="35" applyNumberFormat="1" applyFont="1" applyFill="1" applyBorder="1" applyAlignment="1" applyProtection="1">
      <alignment horizontal="center" vertical="center"/>
      <protection hidden="1"/>
    </xf>
    <xf numFmtId="37" fontId="39" fillId="0" borderId="0" xfId="0" applyNumberFormat="1" applyFont="1" applyAlignment="1" applyProtection="1">
      <alignment horizontal="left" vertical="center"/>
      <protection hidden="1"/>
    </xf>
    <xf numFmtId="0" fontId="57" fillId="0" borderId="76" xfId="0" applyFont="1" applyBorder="1" applyProtection="1">
      <alignment vertical="center"/>
      <protection hidden="1"/>
    </xf>
    <xf numFmtId="3" fontId="38" fillId="0" borderId="0" xfId="0" applyNumberFormat="1" applyFont="1" applyAlignment="1" applyProtection="1">
      <alignment horizontal="right" vertical="center"/>
      <protection hidden="1"/>
    </xf>
    <xf numFmtId="182" fontId="38" fillId="0" borderId="0" xfId="0" applyNumberFormat="1" applyFont="1" applyAlignment="1" applyProtection="1">
      <alignment horizontal="left" vertical="center"/>
      <protection hidden="1"/>
    </xf>
    <xf numFmtId="14" fontId="38" fillId="0" borderId="76" xfId="0" applyNumberFormat="1" applyFont="1" applyBorder="1" applyAlignment="1" applyProtection="1">
      <alignment horizontal="left" vertical="center"/>
      <protection hidden="1"/>
    </xf>
    <xf numFmtId="186" fontId="0" fillId="0" borderId="10" xfId="0" applyNumberFormat="1" applyBorder="1" applyProtection="1">
      <alignment vertical="center"/>
      <protection hidden="1"/>
    </xf>
    <xf numFmtId="37" fontId="38" fillId="0" borderId="0" xfId="0" applyNumberFormat="1" applyFont="1" applyAlignment="1" applyProtection="1">
      <alignment horizontal="right" vertical="center"/>
      <protection hidden="1"/>
    </xf>
    <xf numFmtId="0" fontId="38" fillId="0" borderId="0" xfId="0" applyFont="1" applyAlignment="1" applyProtection="1">
      <alignment horizontal="left" vertical="center"/>
      <protection hidden="1"/>
    </xf>
    <xf numFmtId="0" fontId="57" fillId="0" borderId="65" xfId="0" applyFont="1" applyBorder="1" applyProtection="1">
      <alignment vertical="center"/>
      <protection locked="0"/>
    </xf>
    <xf numFmtId="0" fontId="57" fillId="0" borderId="66" xfId="0" applyFont="1" applyBorder="1" applyProtection="1">
      <alignment vertical="center"/>
      <protection locked="0"/>
    </xf>
    <xf numFmtId="0" fontId="57" fillId="0" borderId="67" xfId="0" applyFont="1" applyBorder="1" applyProtection="1">
      <alignment vertical="center"/>
      <protection locked="0"/>
    </xf>
    <xf numFmtId="186" fontId="50" fillId="0" borderId="10" xfId="0" applyNumberFormat="1" applyFont="1" applyBorder="1" applyProtection="1">
      <alignment vertical="center"/>
      <protection hidden="1"/>
    </xf>
    <xf numFmtId="0" fontId="12" fillId="0" borderId="0" xfId="0" applyFont="1" applyProtection="1">
      <alignment vertical="center"/>
      <protection hidden="1"/>
    </xf>
    <xf numFmtId="3" fontId="74" fillId="0" borderId="64" xfId="0" applyNumberFormat="1" applyFont="1" applyBorder="1" applyAlignment="1" applyProtection="1">
      <alignment horizontal="left" vertical="center"/>
      <protection hidden="1"/>
    </xf>
    <xf numFmtId="3" fontId="74" fillId="0" borderId="17" xfId="0" applyNumberFormat="1" applyFont="1" applyBorder="1" applyAlignment="1" applyProtection="1">
      <alignment horizontal="left" vertical="center"/>
      <protection hidden="1"/>
    </xf>
    <xf numFmtId="3" fontId="75" fillId="0" borderId="0" xfId="0" applyNumberFormat="1" applyFont="1" applyAlignment="1" applyProtection="1">
      <alignment horizontal="left" vertical="center"/>
      <protection hidden="1"/>
    </xf>
    <xf numFmtId="0" fontId="76" fillId="0" borderId="64" xfId="0" applyFont="1" applyBorder="1" applyProtection="1">
      <alignment vertical="center"/>
      <protection hidden="1"/>
    </xf>
    <xf numFmtId="0" fontId="50" fillId="0" borderId="63" xfId="0" applyFont="1" applyBorder="1" applyProtection="1">
      <alignment vertical="center"/>
      <protection hidden="1"/>
    </xf>
    <xf numFmtId="0" fontId="57" fillId="0" borderId="66" xfId="0" applyFont="1" applyBorder="1" applyProtection="1">
      <alignment vertical="center"/>
      <protection hidden="1"/>
    </xf>
    <xf numFmtId="0" fontId="50" fillId="0" borderId="66" xfId="0" applyFont="1" applyBorder="1" applyProtection="1">
      <alignment vertical="center"/>
      <protection hidden="1"/>
    </xf>
    <xf numFmtId="0" fontId="76" fillId="0" borderId="83" xfId="0" applyFont="1" applyBorder="1" applyProtection="1">
      <alignment vertical="center"/>
      <protection hidden="1"/>
    </xf>
    <xf numFmtId="3" fontId="74" fillId="0" borderId="84" xfId="0" applyNumberFormat="1" applyFont="1" applyBorder="1" applyAlignment="1" applyProtection="1">
      <alignment horizontal="left" vertical="center"/>
      <protection hidden="1"/>
    </xf>
    <xf numFmtId="0" fontId="50" fillId="0" borderId="67" xfId="0" applyFont="1" applyBorder="1" applyProtection="1">
      <alignment vertical="center"/>
      <protection hidden="1"/>
    </xf>
    <xf numFmtId="0" fontId="77" fillId="0" borderId="60" xfId="0" applyFont="1" applyBorder="1" applyProtection="1">
      <alignment vertical="center"/>
      <protection hidden="1"/>
    </xf>
    <xf numFmtId="0" fontId="78" fillId="0" borderId="60" xfId="0" applyFont="1" applyBorder="1" applyProtection="1">
      <alignment vertical="center"/>
      <protection hidden="1"/>
    </xf>
    <xf numFmtId="0" fontId="57" fillId="0" borderId="60" xfId="0" applyFont="1" applyBorder="1" applyProtection="1">
      <alignment vertical="center"/>
      <protection hidden="1"/>
    </xf>
    <xf numFmtId="3" fontId="79" fillId="0" borderId="60" xfId="0" applyNumberFormat="1" applyFont="1" applyBorder="1" applyAlignment="1" applyProtection="1">
      <alignment horizontal="left" vertical="center"/>
      <protection hidden="1"/>
    </xf>
    <xf numFmtId="0" fontId="80" fillId="0" borderId="60" xfId="0" applyFont="1" applyBorder="1" applyProtection="1">
      <alignment vertical="center"/>
      <protection hidden="1"/>
    </xf>
    <xf numFmtId="37" fontId="38" fillId="0" borderId="60" xfId="0" applyNumberFormat="1" applyFont="1" applyBorder="1" applyAlignment="1" applyProtection="1">
      <alignment horizontal="left" vertical="center"/>
      <protection hidden="1"/>
    </xf>
    <xf numFmtId="0" fontId="65" fillId="30" borderId="59" xfId="0" applyFont="1" applyFill="1" applyBorder="1" applyProtection="1">
      <alignment vertical="center"/>
      <protection hidden="1"/>
    </xf>
    <xf numFmtId="0" fontId="81" fillId="30" borderId="60" xfId="0" applyFont="1" applyFill="1" applyBorder="1" applyAlignment="1" applyProtection="1">
      <alignment horizontal="right" vertical="center"/>
      <protection hidden="1"/>
    </xf>
    <xf numFmtId="0" fontId="81" fillId="30" borderId="60" xfId="0" applyFont="1" applyFill="1" applyBorder="1" applyProtection="1">
      <alignment vertical="center"/>
      <protection hidden="1"/>
    </xf>
    <xf numFmtId="0" fontId="82" fillId="30" borderId="60" xfId="0" applyFont="1" applyFill="1" applyBorder="1" applyProtection="1">
      <alignment vertical="center"/>
      <protection hidden="1"/>
    </xf>
    <xf numFmtId="56" fontId="65" fillId="30" borderId="85" xfId="0" applyNumberFormat="1" applyFont="1" applyFill="1" applyBorder="1" applyProtection="1">
      <alignment vertical="center"/>
      <protection hidden="1"/>
    </xf>
    <xf numFmtId="0" fontId="64" fillId="30" borderId="69" xfId="0" applyFont="1" applyFill="1" applyBorder="1" applyAlignment="1" applyProtection="1">
      <alignment horizontal="left" vertical="center"/>
      <protection hidden="1"/>
    </xf>
    <xf numFmtId="0" fontId="84" fillId="30" borderId="69" xfId="0" applyFont="1" applyFill="1" applyBorder="1" applyAlignment="1" applyProtection="1">
      <alignment horizontal="right" vertical="center"/>
      <protection hidden="1"/>
    </xf>
    <xf numFmtId="0" fontId="65" fillId="30" borderId="85" xfId="0" applyFont="1" applyFill="1" applyBorder="1" applyProtection="1">
      <alignment vertical="center"/>
      <protection hidden="1"/>
    </xf>
    <xf numFmtId="0" fontId="34" fillId="0" borderId="59" xfId="0" applyFont="1" applyBorder="1" applyProtection="1">
      <alignment vertical="center"/>
      <protection hidden="1"/>
    </xf>
    <xf numFmtId="0" fontId="34" fillId="0" borderId="60" xfId="0" applyFont="1" applyBorder="1" applyProtection="1">
      <alignment vertical="center"/>
      <protection hidden="1"/>
    </xf>
    <xf numFmtId="0" fontId="85" fillId="0" borderId="61" xfId="0" applyFont="1" applyBorder="1" applyAlignment="1" applyProtection="1">
      <alignment horizontal="right" vertical="center"/>
      <protection hidden="1"/>
    </xf>
    <xf numFmtId="0" fontId="57" fillId="0" borderId="59" xfId="0" applyFont="1" applyBorder="1" applyProtection="1">
      <alignment vertical="center"/>
      <protection hidden="1"/>
    </xf>
    <xf numFmtId="38" fontId="50" fillId="0" borderId="10" xfId="35" applyFont="1" applyFill="1" applyBorder="1" applyAlignment="1" applyProtection="1">
      <protection hidden="1"/>
    </xf>
    <xf numFmtId="0" fontId="49" fillId="0" borderId="62" xfId="0" applyFont="1" applyBorder="1" applyProtection="1">
      <alignment vertical="center"/>
      <protection hidden="1"/>
    </xf>
    <xf numFmtId="186" fontId="73" fillId="0" borderId="0" xfId="0" applyNumberFormat="1" applyFont="1" applyAlignment="1" applyProtection="1">
      <alignment horizontal="center" vertical="center"/>
      <protection hidden="1"/>
    </xf>
    <xf numFmtId="0" fontId="34" fillId="0" borderId="62" xfId="0" applyFont="1" applyBorder="1" applyProtection="1">
      <alignment vertical="center"/>
      <protection hidden="1"/>
    </xf>
    <xf numFmtId="0" fontId="34" fillId="0" borderId="0" xfId="0" applyFont="1" applyProtection="1">
      <alignment vertical="center"/>
      <protection hidden="1"/>
    </xf>
    <xf numFmtId="0" fontId="40" fillId="0" borderId="0" xfId="0" applyFont="1" applyAlignment="1" applyProtection="1">
      <alignment horizontal="center" vertical="center"/>
      <protection hidden="1"/>
    </xf>
    <xf numFmtId="0" fontId="40" fillId="0" borderId="63" xfId="0" applyFont="1" applyBorder="1" applyAlignment="1" applyProtection="1">
      <alignment horizontal="center" vertical="center"/>
      <protection hidden="1"/>
    </xf>
    <xf numFmtId="0" fontId="49" fillId="0" borderId="62" xfId="0" applyFont="1" applyBorder="1" applyAlignment="1" applyProtection="1">
      <alignment horizontal="right" vertical="center"/>
      <protection hidden="1"/>
    </xf>
    <xf numFmtId="38" fontId="12" fillId="0" borderId="10" xfId="0" applyNumberFormat="1" applyFont="1" applyBorder="1" applyProtection="1">
      <alignment vertical="center"/>
      <protection hidden="1"/>
    </xf>
    <xf numFmtId="0" fontId="57" fillId="0" borderId="86" xfId="0" applyFont="1" applyBorder="1" applyProtection="1">
      <alignment vertical="center"/>
      <protection hidden="1"/>
    </xf>
    <xf numFmtId="0" fontId="57" fillId="0" borderId="87" xfId="0" applyFont="1" applyBorder="1" applyProtection="1">
      <alignment vertical="center"/>
      <protection hidden="1"/>
    </xf>
    <xf numFmtId="0" fontId="34" fillId="0" borderId="86" xfId="0" applyFont="1" applyBorder="1" applyProtection="1">
      <alignment vertical="center"/>
      <protection hidden="1"/>
    </xf>
    <xf numFmtId="0" fontId="34" fillId="0" borderId="87" xfId="0" applyFont="1" applyBorder="1" applyProtection="1">
      <alignment vertical="center"/>
      <protection hidden="1"/>
    </xf>
    <xf numFmtId="0" fontId="40" fillId="0" borderId="87" xfId="0" applyFont="1" applyBorder="1" applyAlignment="1" applyProtection="1">
      <alignment horizontal="center" vertical="center"/>
      <protection hidden="1"/>
    </xf>
    <xf numFmtId="0" fontId="40" fillId="0" borderId="88" xfId="0" applyFont="1" applyBorder="1" applyAlignment="1" applyProtection="1">
      <alignment horizontal="center" vertical="center"/>
      <protection hidden="1"/>
    </xf>
    <xf numFmtId="38" fontId="12" fillId="0" borderId="10" xfId="35" applyFont="1" applyFill="1" applyBorder="1" applyProtection="1">
      <alignment vertical="center"/>
      <protection hidden="1"/>
    </xf>
    <xf numFmtId="0" fontId="85" fillId="0" borderId="62" xfId="0" applyFont="1" applyBorder="1" applyProtection="1">
      <alignment vertical="center"/>
      <protection hidden="1"/>
    </xf>
    <xf numFmtId="0" fontId="49" fillId="0" borderId="62" xfId="0" applyFont="1" applyBorder="1" applyAlignment="1" applyProtection="1">
      <alignment horizontal="left" vertical="center"/>
      <protection hidden="1"/>
    </xf>
    <xf numFmtId="0" fontId="86" fillId="0" borderId="0" xfId="0" applyFont="1" applyAlignment="1" applyProtection="1">
      <alignment horizontal="center" vertical="center"/>
      <protection hidden="1"/>
    </xf>
    <xf numFmtId="0" fontId="57" fillId="0" borderId="0" xfId="0" applyFont="1">
      <alignment vertical="center"/>
    </xf>
    <xf numFmtId="0" fontId="33" fillId="0" borderId="63" xfId="0" applyFont="1" applyBorder="1" applyAlignment="1" applyProtection="1">
      <alignment horizontal="right" vertical="center"/>
      <protection hidden="1"/>
    </xf>
    <xf numFmtId="0" fontId="12" fillId="0" borderId="10" xfId="0" applyFont="1" applyBorder="1" applyAlignment="1" applyProtection="1">
      <alignment horizontal="center"/>
      <protection hidden="1"/>
    </xf>
    <xf numFmtId="0" fontId="12" fillId="0" borderId="10" xfId="35" applyNumberFormat="1" applyFont="1" applyFill="1" applyBorder="1" applyAlignment="1" applyProtection="1">
      <protection hidden="1"/>
    </xf>
    <xf numFmtId="0" fontId="12" fillId="0" borderId="10" xfId="35" quotePrefix="1" applyNumberFormat="1" applyFont="1" applyFill="1" applyBorder="1" applyAlignment="1" applyProtection="1">
      <protection hidden="1"/>
    </xf>
    <xf numFmtId="0" fontId="49" fillId="0" borderId="86" xfId="0" applyFont="1" applyBorder="1" applyAlignment="1" applyProtection="1">
      <alignment horizontal="left" vertical="center"/>
      <protection hidden="1"/>
    </xf>
    <xf numFmtId="0" fontId="86" fillId="0" borderId="87" xfId="0" applyFont="1" applyBorder="1" applyAlignment="1" applyProtection="1">
      <alignment horizontal="center" vertical="center"/>
      <protection hidden="1"/>
    </xf>
    <xf numFmtId="0" fontId="57" fillId="0" borderId="87" xfId="0" applyFont="1" applyBorder="1">
      <alignment vertical="center"/>
    </xf>
    <xf numFmtId="0" fontId="33" fillId="0" borderId="88" xfId="0" applyFont="1" applyBorder="1" applyAlignment="1" applyProtection="1">
      <alignment horizontal="right" vertical="center"/>
      <protection hidden="1"/>
    </xf>
    <xf numFmtId="0" fontId="12" fillId="0" borderId="0" xfId="0" applyFont="1" applyAlignment="1" applyProtection="1">
      <alignment horizontal="center"/>
      <protection hidden="1"/>
    </xf>
    <xf numFmtId="0" fontId="12" fillId="0" borderId="0" xfId="35" applyNumberFormat="1" applyFont="1" applyFill="1" applyBorder="1" applyAlignment="1" applyProtection="1">
      <protection hidden="1"/>
    </xf>
    <xf numFmtId="0" fontId="68" fillId="0" borderId="62" xfId="0" applyFont="1" applyBorder="1" applyAlignment="1" applyProtection="1">
      <alignment vertical="center" wrapText="1"/>
      <protection hidden="1"/>
    </xf>
    <xf numFmtId="0" fontId="68" fillId="0" borderId="0" xfId="0" applyFont="1" applyAlignment="1" applyProtection="1">
      <alignment vertical="center" wrapText="1"/>
      <protection hidden="1"/>
    </xf>
    <xf numFmtId="0" fontId="68" fillId="0" borderId="63" xfId="0" applyFont="1" applyBorder="1" applyAlignment="1" applyProtection="1">
      <alignment vertical="center" wrapText="1"/>
      <protection hidden="1"/>
    </xf>
    <xf numFmtId="186" fontId="49" fillId="0" borderId="0" xfId="35" applyNumberFormat="1" applyFont="1" applyFill="1" applyBorder="1" applyAlignment="1" applyProtection="1">
      <alignment horizontal="right" vertical="center"/>
      <protection hidden="1"/>
    </xf>
    <xf numFmtId="0" fontId="17" fillId="0" borderId="0" xfId="0" applyFont="1" applyProtection="1">
      <alignment vertical="center"/>
      <protection hidden="1"/>
    </xf>
    <xf numFmtId="0" fontId="12" fillId="0" borderId="0" xfId="35" applyNumberFormat="1" applyFont="1" applyFill="1" applyBorder="1" applyAlignment="1" applyProtection="1">
      <alignment wrapText="1"/>
      <protection hidden="1"/>
    </xf>
    <xf numFmtId="186" fontId="49" fillId="0" borderId="0" xfId="35" applyNumberFormat="1" applyFont="1" applyFill="1" applyBorder="1" applyAlignment="1" applyProtection="1">
      <alignment horizontal="right" vertical="top"/>
      <protection hidden="1"/>
    </xf>
    <xf numFmtId="0" fontId="68" fillId="0" borderId="0" xfId="0" applyFont="1" applyAlignment="1" applyProtection="1">
      <alignment horizontal="left"/>
      <protection hidden="1"/>
    </xf>
    <xf numFmtId="0" fontId="57" fillId="0" borderId="65" xfId="0" applyFont="1" applyBorder="1" applyProtection="1">
      <alignment vertical="center"/>
      <protection hidden="1"/>
    </xf>
    <xf numFmtId="0" fontId="68" fillId="0" borderId="66" xfId="0" applyFont="1" applyBorder="1" applyAlignment="1" applyProtection="1">
      <alignment horizontal="left" vertical="top"/>
      <protection hidden="1"/>
    </xf>
    <xf numFmtId="0" fontId="57" fillId="0" borderId="67" xfId="0" applyFont="1" applyBorder="1" applyProtection="1">
      <alignment vertical="center"/>
      <protection hidden="1"/>
    </xf>
    <xf numFmtId="0" fontId="85" fillId="0" borderId="10" xfId="0" applyFont="1" applyBorder="1" applyProtection="1">
      <alignment vertical="center"/>
      <protection hidden="1"/>
    </xf>
    <xf numFmtId="0" fontId="17" fillId="0" borderId="10" xfId="0" applyFont="1" applyBorder="1" applyProtection="1">
      <alignment vertical="center"/>
      <protection hidden="1"/>
    </xf>
    <xf numFmtId="0" fontId="65" fillId="30" borderId="68" xfId="0" applyFont="1" applyFill="1" applyBorder="1" applyProtection="1">
      <alignment vertical="center"/>
      <protection hidden="1"/>
    </xf>
    <xf numFmtId="0" fontId="87" fillId="30" borderId="69" xfId="0" applyFont="1" applyFill="1" applyBorder="1" applyProtection="1">
      <alignment vertical="center"/>
      <protection hidden="1"/>
    </xf>
    <xf numFmtId="0" fontId="87" fillId="30" borderId="69" xfId="0" applyFont="1" applyFill="1" applyBorder="1" applyAlignment="1" applyProtection="1">
      <alignment horizontal="right" vertical="center"/>
      <protection hidden="1"/>
    </xf>
    <xf numFmtId="0" fontId="88" fillId="30" borderId="69" xfId="0" applyFont="1" applyFill="1" applyBorder="1" applyAlignment="1" applyProtection="1">
      <alignment horizontal="right" vertical="top"/>
      <protection hidden="1"/>
    </xf>
    <xf numFmtId="0" fontId="61" fillId="30" borderId="69" xfId="0" applyFont="1" applyFill="1" applyBorder="1" applyAlignment="1" applyProtection="1">
      <alignment horizontal="center" vertical="center"/>
      <protection hidden="1"/>
    </xf>
    <xf numFmtId="0" fontId="68" fillId="30" borderId="69" xfId="0" applyFont="1" applyFill="1" applyBorder="1" applyProtection="1">
      <alignment vertical="center"/>
      <protection hidden="1"/>
    </xf>
    <xf numFmtId="0" fontId="88" fillId="30" borderId="71" xfId="0" applyFont="1" applyFill="1" applyBorder="1" applyAlignment="1" applyProtection="1">
      <alignment horizontal="right" vertical="center"/>
      <protection hidden="1"/>
    </xf>
    <xf numFmtId="38" fontId="57" fillId="32" borderId="10" xfId="35" applyFont="1" applyFill="1" applyBorder="1" applyProtection="1">
      <alignment vertical="center"/>
      <protection hidden="1"/>
    </xf>
    <xf numFmtId="0" fontId="57" fillId="32" borderId="10" xfId="0" applyFont="1" applyFill="1" applyBorder="1" applyProtection="1">
      <alignment vertical="center"/>
      <protection hidden="1"/>
    </xf>
    <xf numFmtId="9" fontId="57" fillId="0" borderId="10" xfId="0" applyNumberFormat="1" applyFont="1" applyBorder="1" applyProtection="1">
      <alignment vertical="center"/>
      <protection hidden="1"/>
    </xf>
    <xf numFmtId="38" fontId="57" fillId="0" borderId="0" xfId="0" applyNumberFormat="1" applyFont="1" applyProtection="1">
      <alignment vertical="center"/>
      <protection hidden="1"/>
    </xf>
    <xf numFmtId="0" fontId="90" fillId="33" borderId="62" xfId="0" applyFont="1" applyFill="1" applyBorder="1" applyProtection="1">
      <alignment vertical="center"/>
      <protection hidden="1"/>
    </xf>
    <xf numFmtId="0" fontId="87" fillId="33" borderId="0" xfId="0" applyFont="1" applyFill="1" applyProtection="1">
      <alignment vertical="center"/>
      <protection hidden="1"/>
    </xf>
    <xf numFmtId="0" fontId="61" fillId="33" borderId="0" xfId="0" applyFont="1" applyFill="1" applyAlignment="1" applyProtection="1">
      <alignment horizontal="center" vertical="center"/>
      <protection hidden="1"/>
    </xf>
    <xf numFmtId="0" fontId="91" fillId="33" borderId="0" xfId="0" applyFont="1" applyFill="1" applyAlignment="1" applyProtection="1">
      <alignment horizontal="right" vertical="center"/>
      <protection hidden="1"/>
    </xf>
    <xf numFmtId="0" fontId="92" fillId="33" borderId="0" xfId="0" applyFont="1" applyFill="1" applyAlignment="1" applyProtection="1">
      <alignment horizontal="right" vertical="center"/>
      <protection hidden="1"/>
    </xf>
    <xf numFmtId="0" fontId="94" fillId="33" borderId="0" xfId="0" applyFont="1" applyFill="1" applyAlignment="1" applyProtection="1">
      <alignment horizontal="right" vertical="center"/>
      <protection hidden="1"/>
    </xf>
    <xf numFmtId="177" fontId="94" fillId="33" borderId="0" xfId="0" applyNumberFormat="1" applyFont="1" applyFill="1" applyAlignment="1" applyProtection="1">
      <alignment horizontal="right" vertical="center"/>
      <protection hidden="1"/>
    </xf>
    <xf numFmtId="0" fontId="88" fillId="33" borderId="63" xfId="0" applyFont="1" applyFill="1" applyBorder="1" applyAlignment="1" applyProtection="1">
      <alignment horizontal="right" vertical="center"/>
      <protection hidden="1"/>
    </xf>
    <xf numFmtId="182" fontId="67" fillId="0" borderId="0" xfId="0" applyNumberFormat="1" applyFont="1" applyAlignment="1" applyProtection="1">
      <alignment horizontal="left" vertical="center"/>
      <protection hidden="1"/>
    </xf>
    <xf numFmtId="0" fontId="67" fillId="0" borderId="0" xfId="0" applyFont="1" applyAlignment="1" applyProtection="1">
      <alignment horizontal="left" vertical="center"/>
      <protection hidden="1"/>
    </xf>
    <xf numFmtId="38" fontId="17" fillId="32" borderId="10" xfId="0" applyNumberFormat="1" applyFont="1" applyFill="1" applyBorder="1" applyProtection="1">
      <alignment vertical="center"/>
      <protection hidden="1"/>
    </xf>
    <xf numFmtId="0" fontId="95" fillId="0" borderId="0" xfId="0" applyFont="1" applyProtection="1">
      <alignment vertical="center"/>
      <protection hidden="1"/>
    </xf>
    <xf numFmtId="0" fontId="96" fillId="0" borderId="0" xfId="0" applyFont="1" applyAlignment="1" applyProtection="1">
      <alignment horizontal="left" vertical="center"/>
      <protection hidden="1"/>
    </xf>
    <xf numFmtId="0" fontId="97" fillId="0" borderId="0" xfId="0" applyFont="1" applyAlignment="1" applyProtection="1">
      <alignment horizontal="right" vertical="center"/>
      <protection hidden="1"/>
    </xf>
    <xf numFmtId="0" fontId="98" fillId="0" borderId="0" xfId="0" applyFont="1" applyProtection="1">
      <alignment vertical="center"/>
      <protection hidden="1"/>
    </xf>
    <xf numFmtId="182" fontId="67" fillId="0" borderId="63" xfId="0" applyNumberFormat="1" applyFont="1" applyBorder="1" applyAlignment="1" applyProtection="1">
      <alignment horizontal="center" vertical="center"/>
      <protection hidden="1"/>
    </xf>
    <xf numFmtId="38" fontId="57" fillId="32" borderId="10" xfId="0" applyNumberFormat="1" applyFont="1" applyFill="1" applyBorder="1" applyProtection="1">
      <alignment vertical="center"/>
      <protection hidden="1"/>
    </xf>
    <xf numFmtId="0" fontId="57" fillId="0" borderId="0" xfId="0" quotePrefix="1" applyFont="1" applyProtection="1">
      <alignment vertical="center"/>
      <protection hidden="1"/>
    </xf>
    <xf numFmtId="0" fontId="50" fillId="0" borderId="10" xfId="0" applyFont="1" applyBorder="1" applyAlignment="1" applyProtection="1">
      <alignment horizontal="left" vertical="center"/>
      <protection hidden="1"/>
    </xf>
    <xf numFmtId="194" fontId="50" fillId="0" borderId="10" xfId="0" applyNumberFormat="1" applyFont="1" applyBorder="1" applyAlignment="1" applyProtection="1">
      <alignment horizontal="left"/>
      <protection hidden="1"/>
    </xf>
    <xf numFmtId="177" fontId="50" fillId="0" borderId="10" xfId="0" applyNumberFormat="1" applyFont="1" applyBorder="1" applyAlignment="1" applyProtection="1">
      <alignment horizontal="right"/>
      <protection hidden="1"/>
    </xf>
    <xf numFmtId="177" fontId="50" fillId="0" borderId="10" xfId="0" applyNumberFormat="1" applyFont="1" applyBorder="1" applyProtection="1">
      <alignment vertical="center"/>
      <protection hidden="1"/>
    </xf>
    <xf numFmtId="182" fontId="32" fillId="0" borderId="0" xfId="0" applyNumberFormat="1" applyFont="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61" fillId="0" borderId="57" xfId="0" applyFont="1" applyBorder="1" applyAlignment="1" applyProtection="1">
      <alignment horizontal="center" vertical="center"/>
      <protection hidden="1"/>
    </xf>
    <xf numFmtId="0" fontId="61" fillId="0" borderId="57" xfId="0" applyFont="1" applyBorder="1" applyProtection="1">
      <alignment vertical="center"/>
      <protection hidden="1"/>
    </xf>
    <xf numFmtId="0" fontId="50" fillId="0" borderId="57" xfId="0" applyFont="1" applyBorder="1" applyProtection="1">
      <alignment vertical="center"/>
      <protection hidden="1"/>
    </xf>
    <xf numFmtId="0" fontId="50" fillId="0" borderId="79" xfId="0" applyFont="1" applyBorder="1" applyProtection="1">
      <alignment vertical="center"/>
      <protection hidden="1"/>
    </xf>
    <xf numFmtId="0" fontId="50" fillId="0" borderId="53" xfId="0" applyFont="1" applyBorder="1" applyProtection="1">
      <alignment vertical="center"/>
      <protection hidden="1"/>
    </xf>
    <xf numFmtId="0" fontId="100" fillId="33" borderId="89" xfId="0" applyFont="1" applyFill="1" applyBorder="1" applyProtection="1">
      <alignment vertical="center"/>
      <protection hidden="1"/>
    </xf>
    <xf numFmtId="0" fontId="87" fillId="33" borderId="53" xfId="0" applyFont="1" applyFill="1" applyBorder="1" applyProtection="1">
      <alignment vertical="center"/>
      <protection hidden="1"/>
    </xf>
    <xf numFmtId="0" fontId="87" fillId="33" borderId="53" xfId="0" applyFont="1" applyFill="1" applyBorder="1" applyAlignment="1" applyProtection="1">
      <alignment horizontal="right" vertical="center"/>
      <protection hidden="1"/>
    </xf>
    <xf numFmtId="182" fontId="94" fillId="33" borderId="0" xfId="0" applyNumberFormat="1" applyFont="1" applyFill="1" applyAlignment="1" applyProtection="1">
      <alignment horizontal="right" vertical="center"/>
      <protection hidden="1"/>
    </xf>
    <xf numFmtId="0" fontId="67" fillId="0" borderId="62" xfId="0" applyFont="1" applyBorder="1" applyAlignment="1" applyProtection="1">
      <alignment horizontal="left" vertical="center"/>
      <protection hidden="1"/>
    </xf>
    <xf numFmtId="1" fontId="67" fillId="0" borderId="0" xfId="0" applyNumberFormat="1" applyFont="1" applyAlignment="1" applyProtection="1">
      <alignment horizontal="left" vertical="center"/>
      <protection hidden="1"/>
    </xf>
    <xf numFmtId="0" fontId="67" fillId="0" borderId="63" xfId="0" applyFont="1" applyBorder="1" applyAlignment="1" applyProtection="1">
      <alignment horizontal="left" vertical="center"/>
      <protection hidden="1"/>
    </xf>
    <xf numFmtId="0" fontId="68" fillId="0" borderId="62" xfId="0" applyFont="1" applyBorder="1" applyProtection="1">
      <alignment vertical="center"/>
      <protection hidden="1"/>
    </xf>
    <xf numFmtId="0" fontId="101" fillId="0" borderId="0" xfId="0" applyFont="1" applyProtection="1">
      <alignment vertical="center"/>
      <protection hidden="1"/>
    </xf>
    <xf numFmtId="0" fontId="39" fillId="0" borderId="0" xfId="0" applyFont="1" applyAlignment="1" applyProtection="1">
      <alignment horizontal="right" vertical="center"/>
      <protection hidden="1"/>
    </xf>
    <xf numFmtId="1" fontId="39" fillId="0" borderId="0" xfId="0" applyNumberFormat="1" applyFont="1" applyProtection="1">
      <alignment vertical="center"/>
      <protection hidden="1"/>
    </xf>
    <xf numFmtId="0" fontId="68" fillId="0" borderId="0" xfId="0" applyFont="1" applyAlignment="1" applyProtection="1">
      <alignment horizontal="right" vertical="center"/>
      <protection hidden="1"/>
    </xf>
    <xf numFmtId="0" fontId="32" fillId="0" borderId="0" xfId="0" applyFont="1" applyAlignment="1" applyProtection="1">
      <alignment horizontal="left" vertical="center"/>
      <protection hidden="1"/>
    </xf>
    <xf numFmtId="0" fontId="50" fillId="0" borderId="10" xfId="0" applyFont="1" applyBorder="1" applyAlignment="1" applyProtection="1">
      <alignment horizontal="right"/>
      <protection hidden="1"/>
    </xf>
    <xf numFmtId="0" fontId="39" fillId="0" borderId="62" xfId="0" applyFont="1" applyBorder="1" applyProtection="1">
      <alignment vertical="center"/>
      <protection hidden="1"/>
    </xf>
    <xf numFmtId="177" fontId="57" fillId="0" borderId="0" xfId="0" applyNumberFormat="1" applyFont="1" applyProtection="1">
      <alignment vertical="center"/>
      <protection hidden="1"/>
    </xf>
    <xf numFmtId="186" fontId="50" fillId="0" borderId="10" xfId="35" applyNumberFormat="1" applyFont="1" applyFill="1" applyBorder="1" applyAlignment="1" applyProtection="1">
      <alignment horizontal="right"/>
      <protection hidden="1"/>
    </xf>
    <xf numFmtId="0" fontId="12" fillId="0" borderId="10" xfId="0" applyFont="1" applyBorder="1" applyAlignment="1" applyProtection="1">
      <alignment horizontal="left"/>
      <protection hidden="1"/>
    </xf>
    <xf numFmtId="0" fontId="39" fillId="0" borderId="65" xfId="0" applyFont="1" applyBorder="1" applyProtection="1">
      <alignment vertical="center"/>
      <protection hidden="1"/>
    </xf>
    <xf numFmtId="0" fontId="39" fillId="0" borderId="66" xfId="0" applyFont="1" applyBorder="1" applyProtection="1">
      <alignment vertical="center"/>
      <protection hidden="1"/>
    </xf>
    <xf numFmtId="0" fontId="39" fillId="0" borderId="66" xfId="0" applyFont="1" applyBorder="1" applyAlignment="1" applyProtection="1">
      <alignment horizontal="right" vertical="center"/>
      <protection hidden="1"/>
    </xf>
    <xf numFmtId="0" fontId="61" fillId="0" borderId="66" xfId="0" applyFont="1" applyBorder="1" applyProtection="1">
      <alignment vertical="center"/>
      <protection hidden="1"/>
    </xf>
    <xf numFmtId="0" fontId="32" fillId="0" borderId="66" xfId="0" applyFont="1" applyBorder="1" applyAlignment="1" applyProtection="1">
      <alignment horizontal="left" vertical="center"/>
      <protection hidden="1"/>
    </xf>
    <xf numFmtId="0" fontId="68" fillId="0" borderId="66" xfId="0" applyFont="1" applyBorder="1" applyProtection="1">
      <alignment vertical="center"/>
      <protection hidden="1"/>
    </xf>
    <xf numFmtId="0" fontId="68" fillId="0" borderId="67" xfId="0" applyFont="1" applyBorder="1" applyProtection="1">
      <alignment vertical="center"/>
      <protection hidden="1"/>
    </xf>
    <xf numFmtId="0" fontId="0" fillId="0" borderId="10" xfId="0" applyBorder="1" applyProtection="1">
      <alignment vertical="center"/>
      <protection hidden="1"/>
    </xf>
    <xf numFmtId="177" fontId="50" fillId="34" borderId="10" xfId="0" applyNumberFormat="1" applyFont="1" applyFill="1" applyBorder="1" applyAlignment="1" applyProtection="1">
      <alignment horizontal="right"/>
      <protection hidden="1"/>
    </xf>
    <xf numFmtId="0" fontId="80" fillId="0" borderId="0" xfId="0" applyFont="1" applyProtection="1">
      <alignment vertical="center"/>
      <protection hidden="1"/>
    </xf>
    <xf numFmtId="0" fontId="32" fillId="0" borderId="0" xfId="0" applyFont="1" applyAlignment="1" applyProtection="1">
      <alignment horizontal="right" vertical="center"/>
      <protection hidden="1"/>
    </xf>
    <xf numFmtId="0" fontId="50" fillId="0" borderId="0" xfId="0" applyFont="1" applyAlignment="1" applyProtection="1">
      <alignment horizontal="right"/>
      <protection hidden="1"/>
    </xf>
    <xf numFmtId="0" fontId="64" fillId="36" borderId="68" xfId="0" applyFont="1" applyFill="1" applyBorder="1" applyProtection="1">
      <alignment vertical="center"/>
      <protection hidden="1"/>
    </xf>
    <xf numFmtId="0" fontId="87" fillId="36" borderId="69" xfId="0" applyFont="1" applyFill="1" applyBorder="1" applyProtection="1">
      <alignment vertical="center"/>
      <protection hidden="1"/>
    </xf>
    <xf numFmtId="0" fontId="87" fillId="36" borderId="69" xfId="0" applyFont="1" applyFill="1" applyBorder="1" applyAlignment="1" applyProtection="1">
      <alignment horizontal="right" vertical="center"/>
      <protection hidden="1"/>
    </xf>
    <xf numFmtId="0" fontId="88" fillId="36" borderId="69" xfId="0" applyFont="1" applyFill="1" applyBorder="1" applyAlignment="1" applyProtection="1">
      <alignment vertical="top"/>
      <protection hidden="1"/>
    </xf>
    <xf numFmtId="0" fontId="68" fillId="36" borderId="69" xfId="0" applyFont="1" applyFill="1" applyBorder="1" applyProtection="1">
      <alignment vertical="center"/>
      <protection hidden="1"/>
    </xf>
    <xf numFmtId="0" fontId="102" fillId="36" borderId="69" xfId="0" applyFont="1" applyFill="1" applyBorder="1" applyProtection="1">
      <alignment vertical="center"/>
      <protection hidden="1"/>
    </xf>
    <xf numFmtId="0" fontId="88" fillId="36" borderId="71" xfId="0" applyFont="1" applyFill="1" applyBorder="1" applyAlignment="1" applyProtection="1">
      <alignment horizontal="right" vertical="center"/>
      <protection hidden="1"/>
    </xf>
    <xf numFmtId="0" fontId="64" fillId="37" borderId="59" xfId="0" applyFont="1" applyFill="1" applyBorder="1" applyProtection="1">
      <alignment vertical="center"/>
      <protection hidden="1"/>
    </xf>
    <xf numFmtId="0" fontId="87" fillId="37" borderId="60" xfId="0" applyFont="1" applyFill="1" applyBorder="1" applyProtection="1">
      <alignment vertical="center"/>
      <protection hidden="1"/>
    </xf>
    <xf numFmtId="0" fontId="87" fillId="37" borderId="60" xfId="0" applyFont="1" applyFill="1" applyBorder="1" applyAlignment="1" applyProtection="1">
      <alignment horizontal="right" vertical="center"/>
      <protection hidden="1"/>
    </xf>
    <xf numFmtId="0" fontId="102" fillId="37" borderId="60" xfId="0" applyFont="1" applyFill="1" applyBorder="1" applyProtection="1">
      <alignment vertical="center"/>
      <protection hidden="1"/>
    </xf>
    <xf numFmtId="0" fontId="8" fillId="37" borderId="60" xfId="0" applyFont="1" applyFill="1" applyBorder="1" applyProtection="1">
      <alignment vertical="center"/>
      <protection hidden="1"/>
    </xf>
    <xf numFmtId="0" fontId="68" fillId="37" borderId="60" xfId="0" applyFont="1" applyFill="1" applyBorder="1" applyProtection="1">
      <alignment vertical="center"/>
      <protection hidden="1"/>
    </xf>
    <xf numFmtId="0" fontId="8" fillId="37" borderId="61" xfId="0" applyFont="1" applyFill="1" applyBorder="1" applyAlignment="1" applyProtection="1">
      <alignment horizontal="right" vertical="center"/>
      <protection hidden="1"/>
    </xf>
    <xf numFmtId="0" fontId="60" fillId="38" borderId="59" xfId="0" applyFont="1" applyFill="1" applyBorder="1" applyAlignment="1" applyProtection="1">
      <alignment horizontal="left" vertical="center"/>
      <protection hidden="1"/>
    </xf>
    <xf numFmtId="0" fontId="60" fillId="38" borderId="60" xfId="0" applyFont="1" applyFill="1" applyBorder="1" applyAlignment="1" applyProtection="1">
      <alignment horizontal="left" vertical="center"/>
      <protection hidden="1"/>
    </xf>
    <xf numFmtId="0" fontId="60" fillId="38" borderId="60" xfId="0" applyFont="1" applyFill="1" applyBorder="1" applyAlignment="1" applyProtection="1">
      <alignment horizontal="right" vertical="center"/>
      <protection hidden="1"/>
    </xf>
    <xf numFmtId="0" fontId="41" fillId="31" borderId="60" xfId="0" applyFont="1" applyFill="1" applyBorder="1" applyProtection="1">
      <alignment vertical="center"/>
      <protection hidden="1"/>
    </xf>
    <xf numFmtId="0" fontId="39" fillId="31" borderId="60" xfId="0" applyFont="1" applyFill="1" applyBorder="1" applyProtection="1">
      <alignment vertical="center"/>
      <protection hidden="1"/>
    </xf>
    <xf numFmtId="0" fontId="68" fillId="31" borderId="60" xfId="0" applyFont="1" applyFill="1" applyBorder="1" applyProtection="1">
      <alignment vertical="center"/>
      <protection hidden="1"/>
    </xf>
    <xf numFmtId="0" fontId="39" fillId="31" borderId="61" xfId="0" applyFont="1" applyFill="1" applyBorder="1" applyAlignment="1" applyProtection="1">
      <alignment horizontal="right" vertical="center"/>
      <protection hidden="1"/>
    </xf>
    <xf numFmtId="0" fontId="60" fillId="38" borderId="62" xfId="0" applyFont="1" applyFill="1" applyBorder="1" applyAlignment="1" applyProtection="1">
      <alignment horizontal="left" vertical="center"/>
      <protection hidden="1"/>
    </xf>
    <xf numFmtId="49" fontId="38" fillId="38" borderId="0" xfId="0" applyNumberFormat="1" applyFont="1" applyFill="1" applyAlignment="1" applyProtection="1">
      <alignment horizontal="left" vertical="center"/>
      <protection hidden="1"/>
    </xf>
    <xf numFmtId="49" fontId="39" fillId="38" borderId="0" xfId="0" applyNumberFormat="1" applyFont="1" applyFill="1" applyAlignment="1" applyProtection="1">
      <alignment horizontal="right" vertical="center"/>
      <protection hidden="1"/>
    </xf>
    <xf numFmtId="49" fontId="32" fillId="24" borderId="0" xfId="0" applyNumberFormat="1" applyFont="1" applyFill="1" applyAlignment="1" applyProtection="1">
      <alignment horizontal="left" vertical="center"/>
      <protection locked="0"/>
    </xf>
    <xf numFmtId="49" fontId="38" fillId="0" borderId="0" xfId="0" applyNumberFormat="1" applyFont="1" applyAlignment="1" applyProtection="1">
      <alignment horizontal="left" vertical="center"/>
      <protection hidden="1"/>
    </xf>
    <xf numFmtId="49" fontId="39" fillId="0" borderId="0" xfId="0" applyNumberFormat="1" applyFont="1" applyAlignment="1" applyProtection="1">
      <alignment horizontal="left" vertical="center"/>
      <protection hidden="1"/>
    </xf>
    <xf numFmtId="49" fontId="32" fillId="24" borderId="0" xfId="0" applyNumberFormat="1" applyFont="1" applyFill="1" applyAlignment="1" applyProtection="1">
      <alignment horizontal="right" vertical="center"/>
      <protection locked="0"/>
    </xf>
    <xf numFmtId="0" fontId="39" fillId="24" borderId="0" xfId="0" applyFont="1" applyFill="1" applyAlignment="1" applyProtection="1">
      <alignment horizontal="center" vertical="center"/>
      <protection locked="0"/>
    </xf>
    <xf numFmtId="0" fontId="39" fillId="0" borderId="0" xfId="0" applyFont="1" applyAlignment="1" applyProtection="1">
      <alignment horizontal="center" vertical="center"/>
      <protection hidden="1"/>
    </xf>
    <xf numFmtId="49" fontId="32" fillId="0" borderId="0" xfId="0" applyNumberFormat="1" applyFont="1" applyAlignment="1" applyProtection="1">
      <alignment horizontal="center" vertical="center"/>
      <protection hidden="1"/>
    </xf>
    <xf numFmtId="49" fontId="32" fillId="0" borderId="63" xfId="0" applyNumberFormat="1" applyFont="1" applyBorder="1" applyAlignment="1" applyProtection="1">
      <alignment horizontal="left" vertical="center"/>
      <protection hidden="1"/>
    </xf>
    <xf numFmtId="0" fontId="38" fillId="38" borderId="0" xfId="0" applyFont="1" applyFill="1" applyProtection="1">
      <alignment vertical="center"/>
      <protection hidden="1"/>
    </xf>
    <xf numFmtId="0" fontId="39" fillId="38" borderId="0" xfId="0" applyFont="1" applyFill="1" applyAlignment="1" applyProtection="1">
      <alignment horizontal="right" vertical="center"/>
      <protection hidden="1"/>
    </xf>
    <xf numFmtId="0" fontId="39" fillId="24" borderId="0" xfId="0" applyFont="1" applyFill="1" applyProtection="1">
      <alignment vertical="center"/>
      <protection locked="0"/>
    </xf>
    <xf numFmtId="0" fontId="39" fillId="24" borderId="0" xfId="0" applyFont="1" applyFill="1" applyAlignment="1" applyProtection="1">
      <alignment horizontal="right" vertical="center"/>
      <protection locked="0"/>
    </xf>
    <xf numFmtId="0" fontId="39" fillId="0" borderId="63" xfId="0" applyFont="1" applyBorder="1" applyProtection="1">
      <alignment vertical="center"/>
      <protection hidden="1"/>
    </xf>
    <xf numFmtId="0" fontId="84" fillId="0" borderId="0" xfId="0" applyFont="1" applyProtection="1">
      <alignment vertical="center"/>
      <protection hidden="1"/>
    </xf>
    <xf numFmtId="0" fontId="84" fillId="38" borderId="62" xfId="0" applyFont="1" applyFill="1" applyBorder="1" applyProtection="1">
      <alignment vertical="center"/>
      <protection hidden="1"/>
    </xf>
    <xf numFmtId="0" fontId="38" fillId="38" borderId="0" xfId="0" applyFont="1" applyFill="1" applyAlignment="1" applyProtection="1">
      <alignment horizontal="left" vertical="center"/>
      <protection hidden="1"/>
    </xf>
    <xf numFmtId="49" fontId="39" fillId="0" borderId="0" xfId="0" applyNumberFormat="1" applyFont="1" applyAlignment="1" applyProtection="1">
      <alignment horizontal="center" vertical="center"/>
      <protection hidden="1"/>
    </xf>
    <xf numFmtId="0" fontId="39" fillId="38" borderId="0" xfId="0" applyFont="1" applyFill="1" applyAlignment="1" applyProtection="1">
      <alignment horizontal="left" vertical="center"/>
      <protection hidden="1"/>
    </xf>
    <xf numFmtId="49" fontId="39" fillId="0" borderId="63" xfId="0" applyNumberFormat="1" applyFont="1" applyBorder="1" applyAlignment="1" applyProtection="1">
      <alignment horizontal="left" vertical="center"/>
      <protection hidden="1"/>
    </xf>
    <xf numFmtId="0" fontId="38" fillId="0" borderId="0" xfId="0" applyFont="1" applyProtection="1">
      <alignment vertical="center"/>
      <protection hidden="1"/>
    </xf>
    <xf numFmtId="0" fontId="60" fillId="38" borderId="65" xfId="0" applyFont="1" applyFill="1" applyBorder="1" applyAlignment="1" applyProtection="1">
      <alignment horizontal="left" vertical="center"/>
      <protection hidden="1"/>
    </xf>
    <xf numFmtId="0" fontId="39" fillId="24" borderId="66" xfId="0" applyFont="1" applyFill="1" applyBorder="1" applyAlignment="1" applyProtection="1">
      <alignment horizontal="left" vertical="center"/>
      <protection locked="0"/>
    </xf>
    <xf numFmtId="0" fontId="39" fillId="38" borderId="66" xfId="0" applyFont="1" applyFill="1" applyBorder="1" applyAlignment="1" applyProtection="1">
      <alignment horizontal="right" vertical="center"/>
      <protection hidden="1"/>
    </xf>
    <xf numFmtId="0" fontId="39" fillId="24" borderId="66" xfId="0" applyFont="1" applyFill="1" applyBorder="1" applyProtection="1">
      <alignment vertical="center"/>
      <protection locked="0"/>
    </xf>
    <xf numFmtId="0" fontId="38" fillId="0" borderId="66" xfId="0" applyFont="1" applyBorder="1" applyProtection="1">
      <alignment vertical="center"/>
      <protection hidden="1"/>
    </xf>
    <xf numFmtId="0" fontId="39" fillId="24" borderId="66" xfId="0" applyFont="1" applyFill="1" applyBorder="1" applyAlignment="1" applyProtection="1">
      <alignment horizontal="right" vertical="center"/>
      <protection locked="0"/>
    </xf>
    <xf numFmtId="0" fontId="39" fillId="0" borderId="66" xfId="0" applyFont="1" applyBorder="1" applyAlignment="1" applyProtection="1">
      <alignment horizontal="center" vertical="center"/>
      <protection hidden="1"/>
    </xf>
    <xf numFmtId="0" fontId="39" fillId="0" borderId="67" xfId="0" applyFont="1" applyBorder="1" applyProtection="1">
      <alignment vertical="center"/>
      <protection hidden="1"/>
    </xf>
    <xf numFmtId="0" fontId="64" fillId="37" borderId="68" xfId="0" applyFont="1" applyFill="1" applyBorder="1" applyAlignment="1" applyProtection="1">
      <alignment horizontal="left" vertical="center"/>
      <protection hidden="1"/>
    </xf>
    <xf numFmtId="0" fontId="102" fillId="37" borderId="69" xfId="0" applyFont="1" applyFill="1" applyBorder="1" applyAlignment="1" applyProtection="1">
      <alignment horizontal="left" vertical="center"/>
      <protection hidden="1"/>
    </xf>
    <xf numFmtId="0" fontId="102" fillId="37" borderId="69" xfId="0" applyFont="1" applyFill="1" applyBorder="1" applyAlignment="1" applyProtection="1">
      <alignment horizontal="right" vertical="center"/>
      <protection hidden="1"/>
    </xf>
    <xf numFmtId="0" fontId="102" fillId="37" borderId="69" xfId="0" applyFont="1" applyFill="1" applyBorder="1" applyProtection="1">
      <alignment vertical="center"/>
      <protection hidden="1"/>
    </xf>
    <xf numFmtId="0" fontId="106" fillId="37" borderId="69" xfId="0" applyFont="1" applyFill="1" applyBorder="1" applyProtection="1">
      <alignment vertical="center"/>
      <protection hidden="1"/>
    </xf>
    <xf numFmtId="0" fontId="106" fillId="37" borderId="71" xfId="0" applyFont="1" applyFill="1" applyBorder="1" applyProtection="1">
      <alignment vertical="center"/>
      <protection hidden="1"/>
    </xf>
    <xf numFmtId="0" fontId="10" fillId="33" borderId="59" xfId="0" applyFont="1" applyFill="1" applyBorder="1" applyProtection="1">
      <alignment vertical="center"/>
      <protection hidden="1"/>
    </xf>
    <xf numFmtId="0" fontId="103" fillId="33" borderId="60" xfId="0" applyFont="1" applyFill="1" applyBorder="1" applyProtection="1">
      <alignment vertical="center"/>
      <protection hidden="1"/>
    </xf>
    <xf numFmtId="0" fontId="103" fillId="33" borderId="60" xfId="0" applyFont="1" applyFill="1" applyBorder="1" applyAlignment="1" applyProtection="1">
      <alignment horizontal="right" vertical="center"/>
      <protection hidden="1"/>
    </xf>
    <xf numFmtId="182" fontId="65" fillId="33" borderId="60" xfId="0" applyNumberFormat="1" applyFont="1" applyFill="1" applyBorder="1" applyAlignment="1" applyProtection="1">
      <alignment horizontal="center" vertical="center"/>
      <protection hidden="1"/>
    </xf>
    <xf numFmtId="0" fontId="84" fillId="33" borderId="60" xfId="0" applyFont="1" applyFill="1" applyBorder="1" applyProtection="1">
      <alignment vertical="center"/>
      <protection hidden="1"/>
    </xf>
    <xf numFmtId="0" fontId="10" fillId="33" borderId="91" xfId="0" applyFont="1" applyFill="1" applyBorder="1" applyProtection="1">
      <alignment vertical="center"/>
      <protection hidden="1"/>
    </xf>
    <xf numFmtId="0" fontId="65" fillId="33" borderId="60" xfId="0" applyFont="1" applyFill="1" applyBorder="1" applyProtection="1">
      <alignment vertical="center"/>
      <protection hidden="1"/>
    </xf>
    <xf numFmtId="0" fontId="65" fillId="33" borderId="60" xfId="0" applyFont="1" applyFill="1" applyBorder="1" applyAlignment="1" applyProtection="1">
      <alignment horizontal="right" vertical="center"/>
      <protection hidden="1"/>
    </xf>
    <xf numFmtId="0" fontId="103" fillId="33" borderId="61" xfId="0" applyFont="1" applyFill="1" applyBorder="1" applyProtection="1">
      <alignment vertical="center"/>
      <protection hidden="1"/>
    </xf>
    <xf numFmtId="0" fontId="68" fillId="0" borderId="62" xfId="0" applyFont="1" applyBorder="1" applyAlignment="1" applyProtection="1">
      <alignment horizontal="left" vertical="center"/>
      <protection hidden="1"/>
    </xf>
    <xf numFmtId="0" fontId="107" fillId="24" borderId="0" xfId="0" applyFont="1" applyFill="1" applyAlignment="1" applyProtection="1">
      <alignment horizontal="left" vertical="center"/>
      <protection locked="0"/>
    </xf>
    <xf numFmtId="0" fontId="108" fillId="0" borderId="0" xfId="0" applyFont="1" applyAlignment="1" applyProtection="1">
      <alignment horizontal="right" vertical="center"/>
      <protection hidden="1"/>
    </xf>
    <xf numFmtId="0" fontId="107" fillId="24" borderId="64" xfId="0" applyFont="1" applyFill="1" applyBorder="1" applyAlignment="1" applyProtection="1">
      <alignment horizontal="left" vertical="center"/>
      <protection locked="0"/>
    </xf>
    <xf numFmtId="0" fontId="85" fillId="0" borderId="0" xfId="0" applyFont="1" applyProtection="1">
      <alignment vertical="center"/>
      <protection hidden="1"/>
    </xf>
    <xf numFmtId="0" fontId="68" fillId="0" borderId="65" xfId="0" applyFont="1" applyBorder="1" applyAlignment="1" applyProtection="1">
      <alignment horizontal="left" vertical="center"/>
      <protection hidden="1"/>
    </xf>
    <xf numFmtId="0" fontId="108" fillId="24" borderId="66" xfId="0" applyFont="1" applyFill="1" applyBorder="1" applyAlignment="1" applyProtection="1">
      <alignment horizontal="left" vertical="center"/>
      <protection locked="0"/>
    </xf>
    <xf numFmtId="0" fontId="108" fillId="0" borderId="66" xfId="0" applyFont="1" applyBorder="1" applyAlignment="1" applyProtection="1">
      <alignment horizontal="right" vertical="center"/>
      <protection hidden="1"/>
    </xf>
    <xf numFmtId="0" fontId="108" fillId="24" borderId="83" xfId="0" applyFont="1" applyFill="1" applyBorder="1" applyAlignment="1" applyProtection="1">
      <alignment horizontal="left" vertical="center"/>
      <protection locked="0"/>
    </xf>
    <xf numFmtId="0" fontId="43" fillId="0" borderId="66" xfId="0" applyFont="1" applyBorder="1" applyAlignment="1" applyProtection="1">
      <alignment horizontal="left" vertical="top"/>
      <protection hidden="1"/>
    </xf>
    <xf numFmtId="0" fontId="43" fillId="0" borderId="67" xfId="0" applyFont="1" applyBorder="1" applyAlignment="1" applyProtection="1">
      <alignment horizontal="left" vertical="top"/>
      <protection hidden="1"/>
    </xf>
    <xf numFmtId="0" fontId="109" fillId="0" borderId="52" xfId="0" quotePrefix="1" applyFont="1" applyBorder="1" applyAlignment="1" applyProtection="1">
      <alignment horizontal="left" vertical="center"/>
      <protection hidden="1"/>
    </xf>
    <xf numFmtId="0" fontId="110" fillId="0" borderId="53" xfId="0" applyFont="1" applyBorder="1" applyAlignment="1" applyProtection="1">
      <alignment horizontal="right" vertical="center"/>
      <protection hidden="1"/>
    </xf>
    <xf numFmtId="0" fontId="60" fillId="0" borderId="53" xfId="0" applyFont="1" applyBorder="1" applyAlignment="1" applyProtection="1">
      <alignment horizontal="right" vertical="center"/>
      <protection hidden="1"/>
    </xf>
    <xf numFmtId="0" fontId="110" fillId="0" borderId="53" xfId="0" quotePrefix="1" applyFont="1" applyBorder="1" applyAlignment="1" applyProtection="1">
      <alignment horizontal="left" vertical="center"/>
      <protection hidden="1"/>
    </xf>
    <xf numFmtId="0" fontId="57" fillId="0" borderId="53" xfId="0" applyFont="1" applyBorder="1" applyProtection="1">
      <alignment vertical="center"/>
      <protection hidden="1"/>
    </xf>
    <xf numFmtId="0" fontId="110" fillId="0" borderId="53" xfId="0" quotePrefix="1" applyFont="1" applyBorder="1" applyAlignment="1" applyProtection="1">
      <alignment horizontal="center" vertical="center"/>
      <protection hidden="1"/>
    </xf>
    <xf numFmtId="0" fontId="110" fillId="0" borderId="53" xfId="0" applyFont="1" applyBorder="1" applyAlignment="1" applyProtection="1">
      <alignment horizontal="center" vertical="center"/>
      <protection hidden="1"/>
    </xf>
    <xf numFmtId="0" fontId="110" fillId="0" borderId="53" xfId="0" applyFont="1" applyBorder="1" applyProtection="1">
      <alignment vertical="center"/>
      <protection hidden="1"/>
    </xf>
    <xf numFmtId="0" fontId="110" fillId="0" borderId="54" xfId="0" applyFont="1" applyBorder="1" applyProtection="1">
      <alignment vertical="center"/>
      <protection hidden="1"/>
    </xf>
    <xf numFmtId="0" fontId="109" fillId="0" borderId="64" xfId="0" quotePrefix="1" applyFont="1" applyBorder="1" applyAlignment="1" applyProtection="1">
      <alignment horizontal="left" vertical="center"/>
      <protection hidden="1"/>
    </xf>
    <xf numFmtId="0" fontId="111" fillId="0" borderId="0" xfId="0" applyFont="1" applyAlignment="1" applyProtection="1">
      <alignment horizontal="right" vertical="center"/>
      <protection hidden="1"/>
    </xf>
    <xf numFmtId="0" fontId="110" fillId="0" borderId="0" xfId="0" applyFont="1" applyAlignment="1" applyProtection="1">
      <alignment horizontal="center" vertical="center"/>
      <protection hidden="1"/>
    </xf>
    <xf numFmtId="0" fontId="110" fillId="0" borderId="0" xfId="0" applyFont="1" applyAlignment="1" applyProtection="1">
      <alignment horizontal="right" vertical="center"/>
      <protection hidden="1"/>
    </xf>
    <xf numFmtId="0" fontId="110" fillId="0" borderId="17" xfId="0" applyFont="1" applyBorder="1" applyAlignment="1" applyProtection="1">
      <alignment horizontal="right" vertical="center"/>
      <protection hidden="1"/>
    </xf>
    <xf numFmtId="0" fontId="111" fillId="0" borderId="0" xfId="0" applyFont="1" applyAlignment="1" applyProtection="1">
      <alignment horizontal="left" vertical="center"/>
      <protection hidden="1"/>
    </xf>
    <xf numFmtId="0" fontId="111" fillId="0" borderId="0" xfId="0" quotePrefix="1" applyFont="1" applyAlignment="1" applyProtection="1">
      <alignment horizontal="left" vertical="center"/>
      <protection hidden="1"/>
    </xf>
    <xf numFmtId="0" fontId="68" fillId="0" borderId="0" xfId="0" quotePrefix="1" applyFont="1" applyAlignment="1" applyProtection="1">
      <alignment horizontal="left" vertical="center"/>
      <protection hidden="1"/>
    </xf>
    <xf numFmtId="0" fontId="112" fillId="0" borderId="0" xfId="0" quotePrefix="1" applyFont="1" applyAlignment="1" applyProtection="1">
      <alignment horizontal="center" vertical="center"/>
      <protection hidden="1"/>
    </xf>
    <xf numFmtId="0" fontId="112" fillId="0" borderId="0" xfId="0" applyFont="1" applyAlignment="1" applyProtection="1">
      <alignment horizontal="center" vertical="center"/>
      <protection hidden="1"/>
    </xf>
    <xf numFmtId="0" fontId="68" fillId="0" borderId="17" xfId="0" applyFont="1" applyBorder="1" applyProtection="1">
      <alignment vertical="center"/>
      <protection hidden="1"/>
    </xf>
    <xf numFmtId="178" fontId="57" fillId="0" borderId="0" xfId="0" applyNumberFormat="1" applyFont="1" applyProtection="1">
      <alignment vertical="center"/>
      <protection hidden="1"/>
    </xf>
    <xf numFmtId="0" fontId="60" fillId="0" borderId="64" xfId="0" applyFont="1" applyBorder="1" applyAlignment="1" applyProtection="1">
      <alignment horizontal="left" vertical="center"/>
      <protection hidden="1"/>
    </xf>
    <xf numFmtId="0" fontId="112" fillId="0" borderId="0" xfId="0" applyFont="1" applyProtection="1">
      <alignment vertical="center"/>
      <protection hidden="1"/>
    </xf>
    <xf numFmtId="0" fontId="60" fillId="0" borderId="56" xfId="0" applyFont="1" applyBorder="1" applyAlignment="1" applyProtection="1">
      <alignment horizontal="left" vertical="center"/>
      <protection hidden="1"/>
    </xf>
    <xf numFmtId="0" fontId="111" fillId="0" borderId="57" xfId="0" applyFont="1" applyBorder="1" applyAlignment="1" applyProtection="1">
      <alignment horizontal="right" vertical="center"/>
      <protection hidden="1"/>
    </xf>
    <xf numFmtId="0" fontId="111" fillId="0" borderId="57" xfId="0" applyFont="1" applyBorder="1" applyAlignment="1" applyProtection="1">
      <alignment horizontal="left" vertical="center"/>
      <protection hidden="1"/>
    </xf>
    <xf numFmtId="0" fontId="60" fillId="0" borderId="57" xfId="0" applyFont="1" applyBorder="1" applyProtection="1">
      <alignment vertical="center"/>
      <protection hidden="1"/>
    </xf>
    <xf numFmtId="0" fontId="112" fillId="0" borderId="57" xfId="0" applyFont="1" applyBorder="1" applyProtection="1">
      <alignment vertical="center"/>
      <protection hidden="1"/>
    </xf>
    <xf numFmtId="0" fontId="68" fillId="0" borderId="57" xfId="0" applyFont="1" applyBorder="1" applyProtection="1">
      <alignment vertical="center"/>
      <protection hidden="1"/>
    </xf>
    <xf numFmtId="0" fontId="68" fillId="0" borderId="58" xfId="0" applyFont="1" applyBorder="1" applyProtection="1">
      <alignment vertical="center"/>
      <protection hidden="1"/>
    </xf>
    <xf numFmtId="0" fontId="68" fillId="0" borderId="0" xfId="0" applyFont="1" applyAlignment="1" applyProtection="1">
      <alignment horizontal="left" vertical="center"/>
      <protection hidden="1"/>
    </xf>
    <xf numFmtId="0" fontId="113" fillId="0" borderId="0" xfId="0" quotePrefix="1" applyFont="1" applyAlignment="1" applyProtection="1">
      <alignment horizontal="left" vertical="center"/>
      <protection hidden="1"/>
    </xf>
    <xf numFmtId="0" fontId="114" fillId="0" borderId="0" xfId="0" quotePrefix="1" applyFont="1" applyAlignment="1" applyProtection="1">
      <alignment horizontal="left" vertical="center"/>
      <protection hidden="1"/>
    </xf>
    <xf numFmtId="0" fontId="114" fillId="0" borderId="0" xfId="0" quotePrefix="1" applyFont="1" applyAlignment="1" applyProtection="1">
      <alignment horizontal="right" vertical="center"/>
      <protection hidden="1"/>
    </xf>
    <xf numFmtId="0" fontId="113" fillId="0" borderId="0" xfId="0" quotePrefix="1" applyFont="1" applyAlignment="1" applyProtection="1">
      <alignment horizontal="right" vertical="center"/>
      <protection hidden="1"/>
    </xf>
    <xf numFmtId="0" fontId="33" fillId="0" borderId="0" xfId="0" applyFont="1" applyProtection="1">
      <alignment vertical="center"/>
      <protection hidden="1"/>
    </xf>
    <xf numFmtId="0" fontId="31" fillId="0" borderId="0" xfId="0" applyFont="1" applyAlignment="1" applyProtection="1">
      <alignment horizontal="center" vertical="justify"/>
      <protection hidden="1"/>
    </xf>
    <xf numFmtId="185" fontId="54" fillId="0" borderId="0" xfId="0" applyNumberFormat="1" applyFont="1" applyAlignment="1" applyProtection="1">
      <alignment horizontal="center"/>
      <protection hidden="1"/>
    </xf>
    <xf numFmtId="0" fontId="31" fillId="0" borderId="26" xfId="0" applyFont="1" applyBorder="1" applyAlignment="1" applyProtection="1">
      <alignment horizontal="center" vertical="justify"/>
      <protection hidden="1"/>
    </xf>
    <xf numFmtId="0" fontId="33" fillId="27" borderId="26" xfId="0" applyFont="1" applyFill="1" applyBorder="1" applyAlignment="1" applyProtection="1">
      <alignment horizontal="centerContinuous" vertical="center"/>
      <protection hidden="1"/>
    </xf>
    <xf numFmtId="0" fontId="33" fillId="0" borderId="26" xfId="0" applyFont="1" applyBorder="1" applyProtection="1">
      <alignment vertical="center"/>
      <protection hidden="1"/>
    </xf>
    <xf numFmtId="0" fontId="31" fillId="0" borderId="27" xfId="0" applyFont="1" applyBorder="1" applyAlignment="1" applyProtection="1">
      <alignment horizontal="center" vertical="justify"/>
      <protection hidden="1"/>
    </xf>
    <xf numFmtId="0" fontId="33" fillId="0" borderId="50" xfId="0" applyFont="1" applyBorder="1" applyProtection="1">
      <alignment vertical="center"/>
      <protection hidden="1"/>
    </xf>
    <xf numFmtId="0" fontId="34" fillId="0" borderId="10" xfId="0" applyFont="1" applyBorder="1" applyProtection="1">
      <alignment vertical="center"/>
      <protection hidden="1"/>
    </xf>
    <xf numFmtId="185" fontId="42" fillId="40" borderId="55" xfId="0" applyNumberFormat="1" applyFont="1" applyFill="1" applyBorder="1" applyAlignment="1" applyProtection="1">
      <alignment horizontal="left" vertical="center" wrapText="1"/>
      <protection hidden="1"/>
    </xf>
    <xf numFmtId="0" fontId="33" fillId="0" borderId="55" xfId="0" applyFont="1" applyBorder="1" applyAlignment="1" applyProtection="1">
      <alignment horizontal="center" vertical="justify"/>
      <protection hidden="1"/>
    </xf>
    <xf numFmtId="0" fontId="33" fillId="0" borderId="10" xfId="0" applyFont="1" applyBorder="1" applyAlignment="1" applyProtection="1">
      <alignment horizontal="center" vertical="justify"/>
      <protection hidden="1"/>
    </xf>
    <xf numFmtId="0" fontId="54" fillId="0" borderId="10" xfId="0" applyFont="1" applyBorder="1" applyAlignment="1" applyProtection="1">
      <alignment horizontal="center" vertical="center" wrapText="1"/>
      <protection hidden="1"/>
    </xf>
    <xf numFmtId="0" fontId="31" fillId="0" borderId="10" xfId="0" applyFont="1" applyBorder="1" applyAlignment="1" applyProtection="1">
      <alignment horizontal="center" vertical="justify"/>
      <protection hidden="1"/>
    </xf>
    <xf numFmtId="0" fontId="126" fillId="0" borderId="10" xfId="0" applyFont="1" applyBorder="1" applyAlignment="1" applyProtection="1">
      <alignment horizontal="center" vertical="center"/>
      <protection hidden="1"/>
    </xf>
    <xf numFmtId="0" fontId="34" fillId="0" borderId="51" xfId="0" applyFont="1" applyBorder="1" applyProtection="1">
      <alignment vertical="center"/>
      <protection hidden="1"/>
    </xf>
    <xf numFmtId="0" fontId="40" fillId="27" borderId="10" xfId="0" applyFont="1" applyFill="1" applyBorder="1" applyAlignment="1" applyProtection="1">
      <alignment horizontal="center" vertical="center"/>
      <protection hidden="1"/>
    </xf>
    <xf numFmtId="0" fontId="34" fillId="41" borderId="10" xfId="0" applyFont="1" applyFill="1" applyBorder="1" applyAlignment="1" applyProtection="1">
      <alignment horizontal="center" vertical="center"/>
      <protection hidden="1"/>
    </xf>
    <xf numFmtId="0" fontId="38" fillId="27" borderId="50" xfId="0" applyFont="1" applyFill="1" applyBorder="1" applyProtection="1">
      <alignment vertical="center"/>
      <protection hidden="1"/>
    </xf>
    <xf numFmtId="177" fontId="54" fillId="40" borderId="10" xfId="0" applyNumberFormat="1" applyFont="1" applyFill="1" applyBorder="1" applyAlignment="1" applyProtection="1">
      <alignment horizontal="center" vertical="center"/>
      <protection hidden="1"/>
    </xf>
    <xf numFmtId="0" fontId="54" fillId="0" borderId="10" xfId="0" applyFont="1" applyBorder="1" applyAlignment="1" applyProtection="1">
      <alignment horizontal="center" vertical="center"/>
      <protection hidden="1"/>
    </xf>
    <xf numFmtId="0" fontId="38" fillId="42" borderId="50" xfId="0" applyFont="1" applyFill="1" applyBorder="1" applyProtection="1">
      <alignment vertical="center"/>
      <protection hidden="1"/>
    </xf>
    <xf numFmtId="177" fontId="34" fillId="0" borderId="100" xfId="0" applyNumberFormat="1" applyFont="1" applyBorder="1" applyAlignment="1" applyProtection="1">
      <alignment horizontal="center" vertical="center"/>
      <protection hidden="1"/>
    </xf>
    <xf numFmtId="177" fontId="34" fillId="0" borderId="66" xfId="0" applyNumberFormat="1" applyFont="1" applyBorder="1" applyAlignment="1" applyProtection="1">
      <alignment horizontal="center" vertical="center"/>
      <protection hidden="1"/>
    </xf>
    <xf numFmtId="177" fontId="34" fillId="0" borderId="60" xfId="0" applyNumberFormat="1" applyFont="1" applyBorder="1" applyAlignment="1" applyProtection="1">
      <alignment horizontal="center" vertical="center"/>
      <protection hidden="1"/>
    </xf>
    <xf numFmtId="177" fontId="34" fillId="0" borderId="62" xfId="0" applyNumberFormat="1" applyFont="1" applyBorder="1" applyAlignment="1" applyProtection="1">
      <alignment horizontal="center" vertical="center"/>
      <protection hidden="1"/>
    </xf>
    <xf numFmtId="177" fontId="34" fillId="0" borderId="0" xfId="0" applyNumberFormat="1" applyFont="1" applyAlignment="1" applyProtection="1">
      <alignment horizontal="center" vertical="center"/>
      <protection hidden="1"/>
    </xf>
    <xf numFmtId="177" fontId="34" fillId="0" borderId="69" xfId="0" applyNumberFormat="1" applyFont="1" applyBorder="1" applyAlignment="1" applyProtection="1">
      <alignment horizontal="center" vertical="center"/>
      <protection hidden="1"/>
    </xf>
    <xf numFmtId="199" fontId="34" fillId="0" borderId="100" xfId="0" applyNumberFormat="1" applyFont="1" applyBorder="1" applyAlignment="1" applyProtection="1">
      <alignment horizontal="center" vertical="center"/>
      <protection hidden="1"/>
    </xf>
    <xf numFmtId="199" fontId="34" fillId="0" borderId="100" xfId="0" applyNumberFormat="1" applyFont="1" applyBorder="1" applyAlignment="1" applyProtection="1">
      <alignment horizontal="center" vertical="justify"/>
      <protection hidden="1"/>
    </xf>
    <xf numFmtId="199" fontId="34" fillId="0" borderId="115" xfId="0" applyNumberFormat="1" applyFont="1" applyBorder="1" applyAlignment="1" applyProtection="1">
      <alignment horizontal="center" vertical="justify"/>
      <protection hidden="1"/>
    </xf>
    <xf numFmtId="199" fontId="34" fillId="0" borderId="0" xfId="0" applyNumberFormat="1" applyFont="1" applyAlignment="1" applyProtection="1">
      <alignment horizontal="center" vertical="center"/>
      <protection hidden="1"/>
    </xf>
    <xf numFmtId="199" fontId="34" fillId="0" borderId="144" xfId="0" applyNumberFormat="1" applyFont="1" applyBorder="1" applyAlignment="1" applyProtection="1">
      <alignment horizontal="center" vertical="justify"/>
      <protection hidden="1"/>
    </xf>
    <xf numFmtId="199" fontId="34" fillId="0" borderId="66" xfId="0" applyNumberFormat="1" applyFont="1" applyBorder="1" applyAlignment="1" applyProtection="1">
      <alignment horizontal="center" vertical="center"/>
      <protection hidden="1"/>
    </xf>
    <xf numFmtId="199" fontId="34" fillId="0" borderId="69" xfId="0" applyNumberFormat="1" applyFont="1" applyBorder="1" applyAlignment="1" applyProtection="1">
      <alignment horizontal="center" vertical="center"/>
      <protection hidden="1"/>
    </xf>
    <xf numFmtId="0" fontId="38" fillId="27" borderId="26" xfId="0" applyFont="1" applyFill="1" applyBorder="1" applyAlignment="1" applyProtection="1">
      <alignment horizontal="left" vertical="center" shrinkToFit="1"/>
      <protection hidden="1"/>
    </xf>
    <xf numFmtId="0" fontId="64" fillId="37" borderId="59" xfId="0" applyFont="1" applyFill="1" applyBorder="1">
      <alignment vertical="center"/>
    </xf>
    <xf numFmtId="0" fontId="116" fillId="37" borderId="60" xfId="0" applyFont="1" applyFill="1" applyBorder="1" applyAlignment="1">
      <alignment horizontal="left" vertical="center"/>
    </xf>
    <xf numFmtId="0" fontId="116" fillId="37" borderId="60" xfId="0" applyFont="1" applyFill="1" applyBorder="1">
      <alignment vertical="center"/>
    </xf>
    <xf numFmtId="0" fontId="117" fillId="37" borderId="61" xfId="0" applyFont="1" applyFill="1" applyBorder="1">
      <alignment vertical="center"/>
    </xf>
    <xf numFmtId="0" fontId="38" fillId="0" borderId="0" xfId="0" applyFont="1">
      <alignment vertical="center"/>
    </xf>
    <xf numFmtId="0" fontId="97" fillId="0" borderId="65" xfId="0" applyFont="1" applyBorder="1">
      <alignment vertical="center"/>
    </xf>
    <xf numFmtId="0" fontId="86" fillId="0" borderId="66" xfId="0" applyFont="1" applyBorder="1" applyAlignment="1">
      <alignment horizontal="left" vertical="center"/>
    </xf>
    <xf numFmtId="0" fontId="118" fillId="0" borderId="66" xfId="0" applyFont="1" applyBorder="1">
      <alignment vertical="center"/>
    </xf>
    <xf numFmtId="0" fontId="119" fillId="0" borderId="67" xfId="0" applyFont="1" applyBorder="1">
      <alignment vertical="center"/>
    </xf>
    <xf numFmtId="184" fontId="33" fillId="0" borderId="0" xfId="0" applyNumberFormat="1" applyFont="1">
      <alignment vertical="center"/>
    </xf>
    <xf numFmtId="0" fontId="64" fillId="30" borderId="59" xfId="0" applyFont="1" applyFill="1" applyBorder="1">
      <alignment vertical="center"/>
    </xf>
    <xf numFmtId="0" fontId="37" fillId="30" borderId="60" xfId="44" applyFont="1" applyFill="1" applyBorder="1" applyAlignment="1">
      <alignment vertical="center"/>
    </xf>
    <xf numFmtId="0" fontId="37" fillId="30" borderId="60" xfId="44" applyFont="1" applyFill="1" applyBorder="1" applyAlignment="1">
      <alignment horizontal="left" vertical="center"/>
    </xf>
    <xf numFmtId="0" fontId="8" fillId="30" borderId="60" xfId="44" applyFont="1" applyFill="1" applyBorder="1" applyAlignment="1">
      <alignment vertical="center"/>
    </xf>
    <xf numFmtId="0" fontId="8" fillId="30" borderId="60" xfId="0" applyFont="1" applyFill="1" applyBorder="1" applyAlignment="1">
      <alignment horizontal="center" vertical="center"/>
    </xf>
    <xf numFmtId="0" fontId="8" fillId="30" borderId="60" xfId="0" applyFont="1" applyFill="1" applyBorder="1">
      <alignment vertical="center"/>
    </xf>
    <xf numFmtId="0" fontId="116" fillId="30" borderId="60" xfId="0" applyFont="1" applyFill="1" applyBorder="1">
      <alignment vertical="center"/>
    </xf>
    <xf numFmtId="0" fontId="37" fillId="30" borderId="61" xfId="44" applyFont="1" applyFill="1" applyBorder="1" applyAlignment="1">
      <alignment vertical="center"/>
    </xf>
    <xf numFmtId="0" fontId="64" fillId="27" borderId="62" xfId="0" applyFont="1" applyFill="1" applyBorder="1">
      <alignment vertical="center"/>
    </xf>
    <xf numFmtId="0" fontId="37" fillId="27" borderId="0" xfId="44" applyFont="1" applyFill="1" applyAlignment="1">
      <alignment vertical="center"/>
    </xf>
    <xf numFmtId="0" fontId="37" fillId="27" borderId="0" xfId="44" applyFont="1" applyFill="1" applyAlignment="1">
      <alignment horizontal="left" vertical="center"/>
    </xf>
    <xf numFmtId="0" fontId="8" fillId="27" borderId="0" xfId="44" applyFont="1" applyFill="1" applyAlignment="1">
      <alignment vertical="center"/>
    </xf>
    <xf numFmtId="0" fontId="38" fillId="27" borderId="0" xfId="0" applyFont="1" applyFill="1" applyAlignment="1">
      <alignment horizontal="center" vertical="center"/>
    </xf>
    <xf numFmtId="0" fontId="8" fillId="27" borderId="0" xfId="0" applyFont="1" applyFill="1">
      <alignment vertical="center"/>
    </xf>
    <xf numFmtId="0" fontId="116" fillId="27" borderId="0" xfId="0" applyFont="1" applyFill="1">
      <alignment vertical="center"/>
    </xf>
    <xf numFmtId="0" fontId="29" fillId="27" borderId="62" xfId="44" applyFont="1" applyFill="1" applyBorder="1" applyAlignment="1">
      <alignment vertical="center"/>
    </xf>
    <xf numFmtId="0" fontId="38" fillId="27" borderId="0" xfId="44" applyFont="1" applyFill="1" applyAlignment="1">
      <alignment horizontal="right" vertical="center"/>
    </xf>
    <xf numFmtId="0" fontId="12" fillId="27" borderId="0" xfId="44" applyFill="1" applyAlignment="1">
      <alignment vertical="center"/>
    </xf>
    <xf numFmtId="0" fontId="38" fillId="27" borderId="63" xfId="44" applyFont="1" applyFill="1" applyBorder="1" applyAlignment="1">
      <alignment horizontal="right" vertical="center"/>
    </xf>
    <xf numFmtId="0" fontId="125" fillId="27" borderId="0" xfId="44" applyFont="1" applyFill="1" applyAlignment="1">
      <alignment vertical="center"/>
    </xf>
    <xf numFmtId="0" fontId="70" fillId="27" borderId="0" xfId="44" applyFont="1" applyFill="1" applyAlignment="1">
      <alignment horizontal="left" vertical="center"/>
    </xf>
    <xf numFmtId="0" fontId="38" fillId="31" borderId="10" xfId="44" applyFont="1" applyFill="1" applyBorder="1" applyAlignment="1">
      <alignment horizontal="center" vertical="center"/>
    </xf>
    <xf numFmtId="180" fontId="38" fillId="31" borderId="10" xfId="44" applyNumberFormat="1" applyFont="1" applyFill="1" applyBorder="1" applyAlignment="1">
      <alignment horizontal="center" vertical="center"/>
    </xf>
    <xf numFmtId="0" fontId="38" fillId="31" borderId="10" xfId="44" applyFont="1" applyFill="1" applyBorder="1" applyAlignment="1">
      <alignment vertical="center"/>
    </xf>
    <xf numFmtId="0" fontId="38" fillId="27" borderId="0" xfId="44" applyFont="1" applyFill="1" applyAlignment="1">
      <alignment vertical="center"/>
    </xf>
    <xf numFmtId="0" fontId="38" fillId="31" borderId="148" xfId="44" applyFont="1" applyFill="1" applyBorder="1" applyAlignment="1">
      <alignment vertical="center"/>
    </xf>
    <xf numFmtId="0" fontId="38" fillId="27" borderId="0" xfId="44" applyFont="1" applyFill="1" applyAlignment="1">
      <alignment horizontal="left" vertical="center"/>
    </xf>
    <xf numFmtId="0" fontId="38" fillId="27" borderId="26" xfId="0" applyFont="1" applyFill="1" applyBorder="1">
      <alignment vertical="center"/>
    </xf>
    <xf numFmtId="0" fontId="12" fillId="27" borderId="63" xfId="44" applyFill="1" applyBorder="1" applyAlignment="1">
      <alignment vertical="center"/>
    </xf>
    <xf numFmtId="178" fontId="38" fillId="27" borderId="144" xfId="44" applyNumberFormat="1" applyFont="1" applyFill="1" applyBorder="1" applyAlignment="1">
      <alignment horizontal="right" vertical="center"/>
    </xf>
    <xf numFmtId="0" fontId="125" fillId="27" borderId="0" xfId="44" applyFont="1" applyFill="1" applyAlignment="1">
      <alignment horizontal="right" vertical="center"/>
    </xf>
    <xf numFmtId="178" fontId="38" fillId="27" borderId="0" xfId="44" applyNumberFormat="1" applyFont="1" applyFill="1" applyAlignment="1">
      <alignment horizontal="right" vertical="center"/>
    </xf>
    <xf numFmtId="38" fontId="38" fillId="27" borderId="10" xfId="35" applyFont="1" applyFill="1" applyBorder="1" applyAlignment="1">
      <alignment vertical="center"/>
    </xf>
    <xf numFmtId="0" fontId="38" fillId="27" borderId="10" xfId="0" applyFont="1" applyFill="1" applyBorder="1">
      <alignment vertical="center"/>
    </xf>
    <xf numFmtId="180" fontId="38" fillId="27" borderId="17" xfId="44" applyNumberFormat="1" applyFont="1" applyFill="1" applyBorder="1" applyAlignment="1">
      <alignment horizontal="center" vertical="center"/>
    </xf>
    <xf numFmtId="0" fontId="12" fillId="27" borderId="26" xfId="44" applyFill="1" applyBorder="1" applyAlignment="1">
      <alignment horizontal="left" vertical="center"/>
    </xf>
    <xf numFmtId="0" fontId="38" fillId="27" borderId="50" xfId="44" applyFont="1" applyFill="1" applyBorder="1" applyAlignment="1">
      <alignment vertical="center"/>
    </xf>
    <xf numFmtId="0" fontId="12" fillId="27" borderId="27" xfId="44" applyFill="1" applyBorder="1" applyAlignment="1">
      <alignment vertical="center"/>
    </xf>
    <xf numFmtId="179" fontId="12" fillId="27" borderId="10" xfId="44" applyNumberFormat="1" applyFill="1" applyBorder="1" applyAlignment="1">
      <alignment vertical="center"/>
    </xf>
    <xf numFmtId="179" fontId="12" fillId="27" borderId="148" xfId="44" applyNumberFormat="1" applyFill="1" applyBorder="1" applyAlignment="1">
      <alignment vertical="center"/>
    </xf>
    <xf numFmtId="179" fontId="12" fillId="27" borderId="51" xfId="44" applyNumberFormat="1" applyFill="1" applyBorder="1" applyAlignment="1">
      <alignment vertical="center"/>
    </xf>
    <xf numFmtId="179" fontId="12" fillId="27" borderId="150" xfId="44" applyNumberFormat="1" applyFill="1" applyBorder="1" applyAlignment="1">
      <alignment horizontal="right" vertical="center"/>
    </xf>
    <xf numFmtId="0" fontId="10" fillId="33" borderId="151" xfId="44" applyFont="1" applyFill="1" applyBorder="1" applyAlignment="1">
      <alignment vertical="center"/>
    </xf>
    <xf numFmtId="0" fontId="37" fillId="33" borderId="126" xfId="44" applyFont="1" applyFill="1" applyBorder="1" applyAlignment="1">
      <alignment horizontal="left" vertical="center"/>
    </xf>
    <xf numFmtId="0" fontId="37" fillId="33" borderId="126" xfId="44" applyFont="1" applyFill="1" applyBorder="1" applyAlignment="1">
      <alignment vertical="center"/>
    </xf>
    <xf numFmtId="0" fontId="8" fillId="33" borderId="152" xfId="44" applyFont="1" applyFill="1" applyBorder="1" applyAlignment="1">
      <alignment vertical="center"/>
    </xf>
    <xf numFmtId="179" fontId="10" fillId="33" borderId="136" xfId="44" applyNumberFormat="1" applyFont="1" applyFill="1" applyBorder="1" applyAlignment="1">
      <alignment horizontal="right" vertical="center"/>
    </xf>
    <xf numFmtId="0" fontId="38" fillId="27" borderId="66" xfId="44" applyFont="1" applyFill="1" applyBorder="1" applyAlignment="1">
      <alignment vertical="center"/>
    </xf>
    <xf numFmtId="179" fontId="10" fillId="33" borderId="153" xfId="44" applyNumberFormat="1" applyFont="1" applyFill="1" applyBorder="1" applyAlignment="1">
      <alignment horizontal="right" vertical="center"/>
    </xf>
    <xf numFmtId="0" fontId="49" fillId="0" borderId="0" xfId="0" applyFont="1" applyAlignment="1">
      <alignment horizontal="left" vertical="center"/>
    </xf>
    <xf numFmtId="0" fontId="33" fillId="0" borderId="0" xfId="0" applyFont="1">
      <alignment vertical="center"/>
    </xf>
    <xf numFmtId="0" fontId="38" fillId="0" borderId="57" xfId="0" applyFont="1" applyBorder="1" applyAlignment="1">
      <alignment horizontal="center" vertical="center"/>
    </xf>
    <xf numFmtId="0" fontId="38" fillId="0" borderId="57" xfId="0" applyFont="1" applyBorder="1">
      <alignment vertical="center"/>
    </xf>
    <xf numFmtId="0" fontId="49" fillId="0" borderId="0" xfId="0" applyFont="1" applyAlignment="1" applyProtection="1">
      <alignment horizontal="left" vertical="center"/>
      <protection hidden="1"/>
    </xf>
    <xf numFmtId="0" fontId="148" fillId="0" borderId="0" xfId="0" applyFont="1" applyProtection="1">
      <alignment vertical="center"/>
      <protection hidden="1"/>
    </xf>
    <xf numFmtId="0" fontId="33" fillId="41" borderId="144" xfId="0" applyFont="1" applyFill="1" applyBorder="1" applyProtection="1">
      <alignment vertical="center"/>
      <protection hidden="1"/>
    </xf>
    <xf numFmtId="0" fontId="41" fillId="0" borderId="0" xfId="0" applyFont="1" applyProtection="1">
      <alignment vertical="center"/>
      <protection hidden="1"/>
    </xf>
    <xf numFmtId="0" fontId="31" fillId="0" borderId="0" xfId="0" applyFont="1" applyProtection="1">
      <alignment vertical="center"/>
      <protection hidden="1"/>
    </xf>
    <xf numFmtId="0" fontId="46" fillId="0" borderId="0" xfId="0" applyFont="1" applyProtection="1">
      <alignment vertical="center"/>
      <protection hidden="1"/>
    </xf>
    <xf numFmtId="0" fontId="149" fillId="0" borderId="0" xfId="0" applyFont="1" applyProtection="1">
      <alignment vertical="center"/>
      <protection hidden="1"/>
    </xf>
    <xf numFmtId="0" fontId="46" fillId="0" borderId="0" xfId="0" applyFont="1" applyAlignment="1" applyProtection="1">
      <alignment horizontal="left" vertical="center"/>
      <protection hidden="1"/>
    </xf>
    <xf numFmtId="0" fontId="32" fillId="0" borderId="0" xfId="0" applyFont="1" applyAlignment="1">
      <alignment horizontal="left" vertical="center"/>
    </xf>
    <xf numFmtId="0" fontId="150" fillId="0" borderId="0" xfId="0" applyFont="1" applyProtection="1">
      <alignment vertical="center"/>
      <protection hidden="1"/>
    </xf>
    <xf numFmtId="0" fontId="29" fillId="0" borderId="0" xfId="0" applyFont="1" applyAlignment="1" applyProtection="1">
      <alignment horizontal="right" vertical="center"/>
      <protection hidden="1"/>
    </xf>
    <xf numFmtId="0" fontId="31" fillId="0" borderId="0" xfId="0" applyFont="1" applyAlignment="1" applyProtection="1">
      <alignment horizontal="right" vertical="center"/>
      <protection hidden="1"/>
    </xf>
    <xf numFmtId="179" fontId="33" fillId="31" borderId="52" xfId="0" applyNumberFormat="1" applyFont="1" applyFill="1" applyBorder="1" applyAlignment="1" applyProtection="1">
      <alignment horizontal="left" vertical="center"/>
      <protection hidden="1"/>
    </xf>
    <xf numFmtId="179" fontId="33" fillId="31" borderId="50" xfId="0" applyNumberFormat="1" applyFont="1" applyFill="1" applyBorder="1" applyAlignment="1" applyProtection="1">
      <alignment horizontal="left" vertical="center"/>
      <protection hidden="1"/>
    </xf>
    <xf numFmtId="179" fontId="33" fillId="31" borderId="50" xfId="0" applyNumberFormat="1" applyFont="1" applyFill="1" applyBorder="1" applyAlignment="1" applyProtection="1">
      <alignment horizontal="centerContinuous" vertical="center"/>
      <protection hidden="1"/>
    </xf>
    <xf numFmtId="0" fontId="41" fillId="31" borderId="50" xfId="0" applyFont="1" applyFill="1" applyBorder="1" applyAlignment="1" applyProtection="1">
      <alignment horizontal="right" vertical="center"/>
      <protection hidden="1"/>
    </xf>
    <xf numFmtId="2" fontId="33" fillId="31" borderId="50" xfId="0" applyNumberFormat="1" applyFont="1" applyFill="1" applyBorder="1" applyAlignment="1" applyProtection="1">
      <alignment horizontal="left" vertical="center"/>
      <protection hidden="1"/>
    </xf>
    <xf numFmtId="179" fontId="33" fillId="31" borderId="27" xfId="0" applyNumberFormat="1" applyFont="1" applyFill="1" applyBorder="1" applyAlignment="1" applyProtection="1">
      <alignment horizontal="left" vertical="center"/>
      <protection hidden="1"/>
    </xf>
    <xf numFmtId="2" fontId="33" fillId="31" borderId="27" xfId="0" applyNumberFormat="1" applyFont="1" applyFill="1" applyBorder="1" applyAlignment="1" applyProtection="1">
      <alignment horizontal="left" vertical="center"/>
      <protection hidden="1"/>
    </xf>
    <xf numFmtId="193" fontId="31" fillId="31" borderId="144" xfId="0" applyNumberFormat="1" applyFont="1" applyFill="1" applyBorder="1" applyAlignment="1" applyProtection="1">
      <alignment horizontal="center" vertical="center"/>
      <protection locked="0" hidden="1"/>
    </xf>
    <xf numFmtId="0" fontId="33" fillId="31" borderId="56" xfId="0" applyFont="1" applyFill="1" applyBorder="1" applyAlignment="1" applyProtection="1">
      <alignment horizontal="centerContinuous" vertical="center" wrapText="1"/>
      <protection hidden="1"/>
    </xf>
    <xf numFmtId="0" fontId="33" fillId="31" borderId="55" xfId="0" applyFont="1" applyFill="1" applyBorder="1" applyAlignment="1" applyProtection="1">
      <alignment horizontal="center" vertical="center"/>
      <protection hidden="1"/>
    </xf>
    <xf numFmtId="0" fontId="33" fillId="31" borderId="57" xfId="0" applyFont="1" applyFill="1" applyBorder="1" applyAlignment="1" applyProtection="1">
      <alignment horizontal="center" vertical="center"/>
      <protection hidden="1"/>
    </xf>
    <xf numFmtId="0" fontId="33" fillId="31" borderId="80" xfId="0" applyFont="1" applyFill="1" applyBorder="1" applyAlignment="1" applyProtection="1">
      <alignment horizontal="centerContinuous" vertical="center"/>
      <protection hidden="1"/>
    </xf>
    <xf numFmtId="0" fontId="33" fillId="31" borderId="50" xfId="0" applyFont="1" applyFill="1" applyBorder="1" applyAlignment="1" applyProtection="1">
      <alignment horizontal="centerContinuous" vertical="center"/>
      <protection hidden="1"/>
    </xf>
    <xf numFmtId="0" fontId="33" fillId="31" borderId="27" xfId="0" applyFont="1" applyFill="1" applyBorder="1" applyAlignment="1" applyProtection="1">
      <alignment horizontal="centerContinuous" vertical="center"/>
      <protection hidden="1"/>
    </xf>
    <xf numFmtId="0" fontId="31" fillId="27" borderId="155" xfId="0" applyFont="1" applyFill="1" applyBorder="1" applyAlignment="1" applyProtection="1">
      <alignment horizontal="center" vertical="center"/>
      <protection hidden="1"/>
    </xf>
    <xf numFmtId="0" fontId="33" fillId="27" borderId="156" xfId="0" applyFont="1" applyFill="1" applyBorder="1" applyAlignment="1" applyProtection="1">
      <alignment horizontal="left" vertical="center" wrapText="1"/>
      <protection hidden="1"/>
    </xf>
    <xf numFmtId="0" fontId="33" fillId="27" borderId="156" xfId="0" applyFont="1" applyFill="1" applyBorder="1" applyAlignment="1" applyProtection="1">
      <alignment horizontal="left" vertical="center"/>
      <protection hidden="1"/>
    </xf>
    <xf numFmtId="0" fontId="33" fillId="27" borderId="157" xfId="0" applyFont="1" applyFill="1" applyBorder="1" applyAlignment="1" applyProtection="1">
      <alignment horizontal="left" vertical="center"/>
      <protection hidden="1"/>
    </xf>
    <xf numFmtId="0" fontId="33" fillId="27" borderId="158" xfId="0" applyFont="1" applyFill="1" applyBorder="1" applyAlignment="1" applyProtection="1">
      <alignment horizontal="left" vertical="center"/>
      <protection hidden="1"/>
    </xf>
    <xf numFmtId="0" fontId="31" fillId="27" borderId="159" xfId="0" applyFont="1" applyFill="1" applyBorder="1" applyAlignment="1" applyProtection="1">
      <alignment horizontal="center" vertical="center"/>
      <protection hidden="1"/>
    </xf>
    <xf numFmtId="0" fontId="33" fillId="27" borderId="14" xfId="0" applyFont="1" applyFill="1" applyBorder="1" applyAlignment="1" applyProtection="1">
      <alignment vertical="center" shrinkToFit="1"/>
      <protection hidden="1"/>
    </xf>
    <xf numFmtId="0" fontId="33" fillId="27" borderId="12" xfId="0" applyFont="1" applyFill="1" applyBorder="1" applyAlignment="1" applyProtection="1">
      <alignment horizontal="left" vertical="center" wrapText="1"/>
      <protection hidden="1"/>
    </xf>
    <xf numFmtId="0" fontId="33" fillId="27" borderId="12" xfId="0" applyFont="1" applyFill="1" applyBorder="1" applyAlignment="1" applyProtection="1">
      <alignment horizontal="left" vertical="center"/>
      <protection hidden="1"/>
    </xf>
    <xf numFmtId="0" fontId="33" fillId="27" borderId="13" xfId="0" applyFont="1" applyFill="1" applyBorder="1" applyAlignment="1" applyProtection="1">
      <alignment horizontal="left" vertical="center"/>
      <protection hidden="1"/>
    </xf>
    <xf numFmtId="0" fontId="33" fillId="27" borderId="14" xfId="0" applyFont="1" applyFill="1" applyBorder="1" applyAlignment="1" applyProtection="1">
      <alignment horizontal="left" vertical="center"/>
      <protection hidden="1"/>
    </xf>
    <xf numFmtId="0" fontId="33" fillId="27" borderId="11" xfId="0" applyFont="1" applyFill="1" applyBorder="1" applyAlignment="1" applyProtection="1">
      <alignment horizontal="left" vertical="center" wrapText="1"/>
      <protection hidden="1"/>
    </xf>
    <xf numFmtId="0" fontId="33" fillId="27" borderId="12" xfId="0" applyFont="1" applyFill="1" applyBorder="1" applyAlignment="1" applyProtection="1">
      <alignment vertical="center" wrapText="1"/>
      <protection hidden="1"/>
    </xf>
    <xf numFmtId="0" fontId="33" fillId="27" borderId="11" xfId="0" applyFont="1" applyFill="1" applyBorder="1" applyAlignment="1" applyProtection="1">
      <alignment vertical="center" wrapText="1"/>
      <protection hidden="1"/>
    </xf>
    <xf numFmtId="0" fontId="33" fillId="27" borderId="14" xfId="0" applyFont="1" applyFill="1" applyBorder="1" applyAlignment="1" applyProtection="1">
      <alignment vertical="center" wrapText="1"/>
      <protection hidden="1"/>
    </xf>
    <xf numFmtId="0" fontId="31" fillId="27" borderId="160" xfId="0" applyFont="1" applyFill="1" applyBorder="1" applyAlignment="1" applyProtection="1">
      <alignment horizontal="center" vertical="center"/>
      <protection hidden="1"/>
    </xf>
    <xf numFmtId="0" fontId="33" fillId="27" borderId="161" xfId="0" applyFont="1" applyFill="1" applyBorder="1" applyAlignment="1" applyProtection="1">
      <alignment vertical="center" wrapText="1"/>
      <protection hidden="1"/>
    </xf>
    <xf numFmtId="0" fontId="33" fillId="27" borderId="160" xfId="0" applyFont="1" applyFill="1" applyBorder="1" applyAlignment="1" applyProtection="1">
      <alignment vertical="center" wrapText="1"/>
      <protection hidden="1"/>
    </xf>
    <xf numFmtId="0" fontId="33" fillId="27" borderId="162" xfId="0" applyFont="1" applyFill="1" applyBorder="1" applyAlignment="1" applyProtection="1">
      <alignment vertical="center" wrapText="1"/>
      <protection hidden="1"/>
    </xf>
    <xf numFmtId="0" fontId="33" fillId="27" borderId="161" xfId="0" applyFont="1" applyFill="1" applyBorder="1" applyAlignment="1" applyProtection="1">
      <alignment horizontal="left" vertical="center"/>
      <protection hidden="1"/>
    </xf>
    <xf numFmtId="0" fontId="33" fillId="27" borderId="163" xfId="0" applyFont="1" applyFill="1" applyBorder="1" applyAlignment="1" applyProtection="1">
      <alignment horizontal="left" vertical="center"/>
      <protection hidden="1"/>
    </xf>
    <xf numFmtId="0" fontId="33" fillId="27" borderId="162" xfId="0" applyFont="1" applyFill="1" applyBorder="1" applyAlignment="1" applyProtection="1">
      <alignment horizontal="left" vertical="center"/>
      <protection hidden="1"/>
    </xf>
    <xf numFmtId="192" fontId="33" fillId="0" borderId="10" xfId="35" applyNumberFormat="1" applyFont="1" applyFill="1" applyBorder="1" applyAlignment="1" applyProtection="1">
      <alignment horizontal="center" vertical="center"/>
      <protection hidden="1"/>
    </xf>
    <xf numFmtId="0" fontId="31" fillId="0" borderId="0" xfId="0" applyFont="1">
      <alignment vertical="center"/>
    </xf>
    <xf numFmtId="0" fontId="33" fillId="27" borderId="10" xfId="0" applyFont="1" applyFill="1" applyBorder="1">
      <alignment vertical="center"/>
    </xf>
    <xf numFmtId="0" fontId="33" fillId="27" borderId="10" xfId="0" quotePrefix="1" applyFont="1" applyFill="1" applyBorder="1" applyAlignment="1">
      <alignment horizontal="center" vertical="center"/>
    </xf>
    <xf numFmtId="0" fontId="33" fillId="27" borderId="51" xfId="0" applyFont="1" applyFill="1" applyBorder="1" applyAlignment="1">
      <alignment horizontal="center" vertical="center"/>
    </xf>
    <xf numFmtId="0" fontId="33" fillId="27" borderId="26" xfId="0" applyFont="1" applyFill="1" applyBorder="1">
      <alignment vertical="center"/>
    </xf>
    <xf numFmtId="0" fontId="41" fillId="27" borderId="26" xfId="0" applyFont="1" applyFill="1" applyBorder="1" applyAlignment="1">
      <alignment horizontal="right" vertical="center"/>
    </xf>
    <xf numFmtId="0" fontId="41" fillId="27" borderId="50" xfId="0" applyFont="1" applyFill="1" applyBorder="1">
      <alignment vertical="center"/>
    </xf>
    <xf numFmtId="0" fontId="41" fillId="27" borderId="52" xfId="0" applyFont="1" applyFill="1" applyBorder="1">
      <alignment vertical="center"/>
    </xf>
    <xf numFmtId="0" fontId="41" fillId="27" borderId="53" xfId="0" applyFont="1" applyFill="1" applyBorder="1">
      <alignment vertical="center"/>
    </xf>
    <xf numFmtId="0" fontId="41" fillId="27" borderId="53" xfId="0" applyFont="1" applyFill="1" applyBorder="1" applyAlignment="1">
      <alignment vertical="top" wrapText="1"/>
    </xf>
    <xf numFmtId="0" fontId="41" fillId="27" borderId="53" xfId="0" applyFont="1" applyFill="1" applyBorder="1" applyAlignment="1">
      <alignment horizontal="center" vertical="top"/>
    </xf>
    <xf numFmtId="0" fontId="41" fillId="27" borderId="56" xfId="0" applyFont="1" applyFill="1" applyBorder="1">
      <alignment vertical="center"/>
    </xf>
    <xf numFmtId="0" fontId="41" fillId="27" borderId="57" xfId="0" applyFont="1" applyFill="1" applyBorder="1">
      <alignment vertical="center"/>
    </xf>
    <xf numFmtId="0" fontId="41" fillId="27" borderId="57" xfId="0" applyFont="1" applyFill="1" applyBorder="1" applyAlignment="1">
      <alignment horizontal="left" vertical="center"/>
    </xf>
    <xf numFmtId="0" fontId="41" fillId="27" borderId="57" xfId="0" applyFont="1" applyFill="1" applyBorder="1" applyAlignment="1">
      <alignment vertical="center" wrapText="1"/>
    </xf>
    <xf numFmtId="0" fontId="33" fillId="27" borderId="51" xfId="0" applyFont="1" applyFill="1" applyBorder="1">
      <alignment vertical="center"/>
    </xf>
    <xf numFmtId="0" fontId="33" fillId="27" borderId="15" xfId="0" applyFont="1" applyFill="1" applyBorder="1">
      <alignment vertical="center"/>
    </xf>
    <xf numFmtId="0" fontId="41" fillId="27" borderId="0" xfId="0" applyFont="1" applyFill="1">
      <alignment vertical="center"/>
    </xf>
    <xf numFmtId="0" fontId="41" fillId="27" borderId="0" xfId="0" applyFont="1" applyFill="1" applyAlignment="1">
      <alignment horizontal="left" vertical="center"/>
    </xf>
    <xf numFmtId="0" fontId="41" fillId="27" borderId="0" xfId="0" applyFont="1" applyFill="1" applyAlignment="1">
      <alignment vertical="top" wrapText="1"/>
    </xf>
    <xf numFmtId="0" fontId="41" fillId="27" borderId="57" xfId="0" applyFont="1" applyFill="1" applyBorder="1" applyAlignment="1">
      <alignment horizontal="center" vertical="top" wrapText="1"/>
    </xf>
    <xf numFmtId="0" fontId="41" fillId="38" borderId="0" xfId="0" applyFont="1" applyFill="1">
      <alignment vertical="center"/>
    </xf>
    <xf numFmtId="0" fontId="33" fillId="38" borderId="0" xfId="0" applyFont="1" applyFill="1" applyProtection="1">
      <alignment vertical="center"/>
      <protection hidden="1"/>
    </xf>
    <xf numFmtId="0" fontId="150" fillId="38" borderId="0" xfId="0" applyFont="1" applyFill="1" applyProtection="1">
      <alignment vertical="center"/>
      <protection hidden="1"/>
    </xf>
    <xf numFmtId="0" fontId="31" fillId="38" borderId="0" xfId="0" applyFont="1" applyFill="1" applyAlignment="1" applyProtection="1">
      <alignment horizontal="right" vertical="center"/>
      <protection hidden="1"/>
    </xf>
    <xf numFmtId="0" fontId="149" fillId="38" borderId="0" xfId="0" applyFont="1" applyFill="1">
      <alignment vertical="center"/>
    </xf>
    <xf numFmtId="0" fontId="29" fillId="38" borderId="0" xfId="0" applyFont="1" applyFill="1" applyAlignment="1" applyProtection="1">
      <alignment horizontal="right" vertical="center"/>
      <protection hidden="1"/>
    </xf>
    <xf numFmtId="0" fontId="31" fillId="31" borderId="144" xfId="0" applyFont="1" applyFill="1" applyBorder="1" applyAlignment="1" applyProtection="1">
      <alignment horizontal="center" vertical="center"/>
      <protection hidden="1"/>
    </xf>
    <xf numFmtId="0" fontId="33" fillId="31" borderId="50" xfId="0" applyFont="1" applyFill="1" applyBorder="1" applyAlignment="1" applyProtection="1">
      <alignment horizontal="center" vertical="center"/>
      <protection hidden="1"/>
    </xf>
    <xf numFmtId="0" fontId="33" fillId="31" borderId="26" xfId="0" applyFont="1" applyFill="1" applyBorder="1" applyProtection="1">
      <alignment vertical="center"/>
      <protection hidden="1"/>
    </xf>
    <xf numFmtId="0" fontId="33" fillId="27" borderId="156" xfId="0" applyFont="1" applyFill="1" applyBorder="1" applyAlignment="1" applyProtection="1">
      <alignment vertical="center" wrapText="1"/>
      <protection hidden="1"/>
    </xf>
    <xf numFmtId="0" fontId="33" fillId="0" borderId="0" xfId="0" applyFont="1" applyAlignment="1" applyProtection="1">
      <alignment horizontal="left"/>
      <protection hidden="1"/>
    </xf>
    <xf numFmtId="0" fontId="33" fillId="38" borderId="0" xfId="0" applyFont="1" applyFill="1" applyAlignment="1" applyProtection="1">
      <protection hidden="1"/>
    </xf>
    <xf numFmtId="0" fontId="33" fillId="38" borderId="0" xfId="0" applyFont="1" applyFill="1" applyAlignment="1"/>
    <xf numFmtId="0" fontId="33" fillId="31" borderId="144" xfId="0" applyFont="1" applyFill="1" applyBorder="1" applyAlignment="1" applyProtection="1">
      <alignment horizontal="center"/>
      <protection locked="0"/>
    </xf>
    <xf numFmtId="0" fontId="33" fillId="38" borderId="0" xfId="0" applyFont="1" applyFill="1" applyAlignment="1" applyProtection="1">
      <alignment horizontal="right"/>
      <protection hidden="1"/>
    </xf>
    <xf numFmtId="0" fontId="49" fillId="0" borderId="0" xfId="0" applyFont="1" applyAlignment="1" applyProtection="1">
      <alignment horizontal="left"/>
      <protection hidden="1"/>
    </xf>
    <xf numFmtId="0" fontId="49" fillId="38" borderId="0" xfId="0" applyFont="1" applyFill="1" applyAlignment="1" applyProtection="1">
      <alignment horizontal="left"/>
      <protection hidden="1"/>
    </xf>
    <xf numFmtId="0" fontId="41" fillId="31" borderId="10" xfId="0" applyFont="1" applyFill="1" applyBorder="1" applyAlignment="1">
      <alignment horizontal="center"/>
    </xf>
    <xf numFmtId="0" fontId="33" fillId="31" borderId="10" xfId="0" applyFont="1" applyFill="1" applyBorder="1" applyAlignment="1">
      <alignment horizontal="center"/>
    </xf>
    <xf numFmtId="0" fontId="33" fillId="38" borderId="0" xfId="0" applyFont="1" applyFill="1" applyAlignment="1">
      <alignment horizontal="right" vertical="center"/>
    </xf>
    <xf numFmtId="0" fontId="33" fillId="27" borderId="10" xfId="0" applyFont="1" applyFill="1" applyBorder="1" applyAlignment="1" applyProtection="1">
      <alignment horizontal="left" vertical="center"/>
      <protection locked="0"/>
    </xf>
    <xf numFmtId="0" fontId="38" fillId="31" borderId="26" xfId="0" applyFont="1" applyFill="1" applyBorder="1" applyAlignment="1" applyProtection="1">
      <alignment horizontal="centerContinuous" vertical="center"/>
      <protection hidden="1"/>
    </xf>
    <xf numFmtId="0" fontId="38" fillId="31" borderId="27" xfId="0" applyFont="1" applyFill="1" applyBorder="1" applyAlignment="1" applyProtection="1">
      <alignment horizontal="centerContinuous" vertical="center"/>
      <protection hidden="1"/>
    </xf>
    <xf numFmtId="179" fontId="33" fillId="31" borderId="26" xfId="0" applyNumberFormat="1" applyFont="1" applyFill="1" applyBorder="1" applyAlignment="1" applyProtection="1">
      <alignment horizontal="right" vertical="center"/>
      <protection hidden="1"/>
    </xf>
    <xf numFmtId="190" fontId="33" fillId="31" borderId="27" xfId="0" applyNumberFormat="1" applyFont="1" applyFill="1" applyBorder="1" applyAlignment="1" applyProtection="1">
      <alignment horizontal="right" vertical="center"/>
      <protection hidden="1"/>
    </xf>
    <xf numFmtId="0" fontId="33" fillId="31" borderId="26" xfId="0" applyFont="1" applyFill="1" applyBorder="1" applyAlignment="1">
      <alignment horizontal="center" vertical="center"/>
    </xf>
    <xf numFmtId="190" fontId="33" fillId="31" borderId="27" xfId="0" applyNumberFormat="1" applyFont="1" applyFill="1" applyBorder="1" applyProtection="1">
      <alignment vertical="center"/>
      <protection hidden="1"/>
    </xf>
    <xf numFmtId="9" fontId="33" fillId="27" borderId="164" xfId="0" applyNumberFormat="1" applyFont="1" applyFill="1" applyBorder="1" applyAlignment="1" applyProtection="1">
      <alignment horizontal="center" vertical="center"/>
      <protection locked="0" hidden="1"/>
    </xf>
    <xf numFmtId="0" fontId="33" fillId="38" borderId="0" xfId="0" applyFont="1" applyFill="1">
      <alignment vertical="center"/>
    </xf>
    <xf numFmtId="9" fontId="33" fillId="27" borderId="165" xfId="0" applyNumberFormat="1" applyFont="1" applyFill="1" applyBorder="1" applyAlignment="1" applyProtection="1">
      <alignment horizontal="center" vertical="center"/>
      <protection locked="0" hidden="1"/>
    </xf>
    <xf numFmtId="0" fontId="41" fillId="27" borderId="80" xfId="0" applyFont="1" applyFill="1" applyBorder="1" applyAlignment="1" applyProtection="1">
      <alignment horizontal="left" vertical="center"/>
      <protection hidden="1"/>
    </xf>
    <xf numFmtId="0" fontId="12" fillId="27" borderId="27" xfId="0" applyFont="1" applyFill="1" applyBorder="1" applyAlignment="1">
      <alignment horizontal="left" vertical="center" wrapText="1"/>
    </xf>
    <xf numFmtId="0" fontId="41" fillId="27" borderId="26" xfId="0" applyFont="1" applyFill="1" applyBorder="1" applyAlignment="1" applyProtection="1">
      <alignment horizontal="left" vertical="center"/>
      <protection hidden="1"/>
    </xf>
    <xf numFmtId="179" fontId="33" fillId="31" borderId="27" xfId="0" applyNumberFormat="1" applyFont="1" applyFill="1" applyBorder="1" applyAlignment="1" applyProtection="1">
      <alignment horizontal="centerContinuous" vertical="center"/>
      <protection hidden="1"/>
    </xf>
    <xf numFmtId="0" fontId="38" fillId="31" borderId="56" xfId="0" applyFont="1" applyFill="1" applyBorder="1" applyAlignment="1" applyProtection="1">
      <alignment horizontal="centerContinuous" vertical="center"/>
      <protection hidden="1"/>
    </xf>
    <xf numFmtId="9" fontId="33" fillId="27" borderId="166" xfId="0" applyNumberFormat="1" applyFont="1" applyFill="1" applyBorder="1" applyAlignment="1" applyProtection="1">
      <alignment horizontal="center" vertical="center"/>
      <protection locked="0" hidden="1"/>
    </xf>
    <xf numFmtId="0" fontId="31" fillId="0" borderId="55" xfId="0" applyFont="1" applyBorder="1" applyAlignment="1" applyProtection="1">
      <alignment horizontal="center" vertical="center"/>
      <protection hidden="1"/>
    </xf>
    <xf numFmtId="0" fontId="31" fillId="38" borderId="55" xfId="0" applyFont="1" applyFill="1" applyBorder="1" applyAlignment="1" applyProtection="1">
      <alignment horizontal="center" vertical="center"/>
      <protection hidden="1"/>
    </xf>
    <xf numFmtId="0" fontId="12" fillId="38" borderId="0" xfId="0" applyFont="1" applyFill="1" applyAlignment="1">
      <alignment horizontal="left" vertical="center" wrapText="1"/>
    </xf>
    <xf numFmtId="0" fontId="31" fillId="38" borderId="0" xfId="0" applyFont="1" applyFill="1" applyAlignment="1" applyProtection="1">
      <protection hidden="1"/>
    </xf>
    <xf numFmtId="0" fontId="33" fillId="0" borderId="0" xfId="0" applyFont="1" applyAlignment="1"/>
    <xf numFmtId="0" fontId="33" fillId="31" borderId="50" xfId="0" applyFont="1" applyFill="1" applyBorder="1" applyAlignment="1" applyProtection="1">
      <alignment horizontal="right" vertical="center"/>
      <protection hidden="1"/>
    </xf>
    <xf numFmtId="0" fontId="49" fillId="38" borderId="0" xfId="0" applyFont="1" applyFill="1" applyAlignment="1" applyProtection="1">
      <alignment horizontal="left" vertical="center"/>
      <protection hidden="1"/>
    </xf>
    <xf numFmtId="0" fontId="31" fillId="0" borderId="0" xfId="0" applyFont="1" applyAlignment="1" applyProtection="1">
      <alignment horizontal="center" vertical="center"/>
      <protection hidden="1"/>
    </xf>
    <xf numFmtId="0" fontId="46" fillId="38" borderId="0" xfId="0" applyFont="1" applyFill="1" applyProtection="1">
      <alignment vertical="center"/>
      <protection hidden="1"/>
    </xf>
    <xf numFmtId="0" fontId="33" fillId="31" borderId="26" xfId="0" applyFont="1" applyFill="1" applyBorder="1" applyAlignment="1" applyProtection="1">
      <alignment horizontal="centerContinuous" vertical="center"/>
      <protection hidden="1"/>
    </xf>
    <xf numFmtId="0" fontId="33" fillId="27" borderId="10" xfId="0" applyFont="1" applyFill="1" applyBorder="1" applyProtection="1">
      <alignment vertical="center"/>
      <protection hidden="1"/>
    </xf>
    <xf numFmtId="0" fontId="33" fillId="27" borderId="51" xfId="0" applyFont="1" applyFill="1" applyBorder="1" applyProtection="1">
      <alignment vertical="center"/>
      <protection hidden="1"/>
    </xf>
    <xf numFmtId="0" fontId="31" fillId="27" borderId="16" xfId="0" applyFont="1" applyFill="1" applyBorder="1" applyAlignment="1" applyProtection="1">
      <alignment horizontal="center" vertical="center"/>
      <protection hidden="1"/>
    </xf>
    <xf numFmtId="0" fontId="33" fillId="38" borderId="0" xfId="0" applyFont="1" applyFill="1" applyAlignment="1" applyProtection="1">
      <alignment horizontal="left" vertical="center"/>
      <protection hidden="1"/>
    </xf>
    <xf numFmtId="0" fontId="33" fillId="31" borderId="58" xfId="0" applyFont="1" applyFill="1" applyBorder="1" applyAlignment="1" applyProtection="1">
      <alignment horizontal="centerContinuous" vertical="center"/>
      <protection hidden="1"/>
    </xf>
    <xf numFmtId="0" fontId="33" fillId="27" borderId="167" xfId="0" applyFont="1" applyFill="1" applyBorder="1" applyAlignment="1" applyProtection="1">
      <alignment horizontal="left" vertical="center"/>
      <protection hidden="1"/>
    </xf>
    <xf numFmtId="0" fontId="33" fillId="27" borderId="87" xfId="0" applyFont="1" applyFill="1" applyBorder="1" applyAlignment="1" applyProtection="1">
      <alignment horizontal="left" vertical="center"/>
      <protection hidden="1"/>
    </xf>
    <xf numFmtId="0" fontId="33" fillId="27" borderId="14" xfId="0" applyFont="1" applyFill="1" applyBorder="1" applyAlignment="1" applyProtection="1">
      <alignment horizontal="left" vertical="center" wrapText="1"/>
      <protection hidden="1"/>
    </xf>
    <xf numFmtId="0" fontId="33" fillId="27" borderId="13" xfId="0" applyFont="1" applyFill="1" applyBorder="1" applyAlignment="1" applyProtection="1">
      <alignment horizontal="left" vertical="center" wrapText="1"/>
      <protection hidden="1"/>
    </xf>
    <xf numFmtId="0" fontId="33" fillId="0" borderId="0" xfId="0" applyFont="1" applyAlignment="1" applyProtection="1">
      <alignment horizontal="center" vertical="center"/>
      <protection hidden="1"/>
    </xf>
    <xf numFmtId="0" fontId="32" fillId="0" borderId="0" xfId="0" applyFont="1">
      <alignment vertical="center"/>
    </xf>
    <xf numFmtId="179" fontId="33" fillId="31" borderId="26" xfId="0" applyNumberFormat="1" applyFont="1" applyFill="1" applyBorder="1" applyAlignment="1" applyProtection="1">
      <alignment horizontal="left" vertical="center"/>
      <protection hidden="1"/>
    </xf>
    <xf numFmtId="0" fontId="33" fillId="31" borderId="50" xfId="0" applyFont="1" applyFill="1" applyBorder="1">
      <alignment vertical="center"/>
    </xf>
    <xf numFmtId="179" fontId="33" fillId="31" borderId="50" xfId="0" applyNumberFormat="1" applyFont="1" applyFill="1" applyBorder="1" applyAlignment="1" applyProtection="1">
      <alignment horizontal="centerContinuous" vertical="center" wrapText="1"/>
      <protection hidden="1"/>
    </xf>
    <xf numFmtId="0" fontId="33" fillId="31" borderId="27" xfId="0" applyFont="1" applyFill="1" applyBorder="1">
      <alignment vertical="center"/>
    </xf>
    <xf numFmtId="0" fontId="33" fillId="31" borderId="151" xfId="0" applyFont="1" applyFill="1" applyBorder="1" applyAlignment="1" applyProtection="1">
      <alignment horizontal="centerContinuous" vertical="center"/>
      <protection hidden="1"/>
    </xf>
    <xf numFmtId="0" fontId="33" fillId="31" borderId="55" xfId="0" applyFont="1" applyFill="1" applyBorder="1" applyAlignment="1" applyProtection="1">
      <alignment horizontal="centerContinuous" vertical="center"/>
      <protection hidden="1"/>
    </xf>
    <xf numFmtId="0" fontId="33" fillId="31" borderId="57" xfId="0" applyFont="1" applyFill="1" applyBorder="1" applyAlignment="1" applyProtection="1">
      <alignment horizontal="centerContinuous" vertical="center"/>
      <protection hidden="1"/>
    </xf>
    <xf numFmtId="0" fontId="33" fillId="31" borderId="10" xfId="0" applyFont="1" applyFill="1" applyBorder="1" applyAlignment="1" applyProtection="1">
      <alignment horizontal="centerContinuous" vertical="center"/>
      <protection hidden="1"/>
    </xf>
    <xf numFmtId="0" fontId="33" fillId="27" borderId="156" xfId="0" applyFont="1" applyFill="1" applyBorder="1" applyAlignment="1" applyProtection="1">
      <alignment horizontal="left" vertical="center" shrinkToFit="1"/>
      <protection hidden="1"/>
    </xf>
    <xf numFmtId="0" fontId="33" fillId="27" borderId="16" xfId="0" applyFont="1" applyFill="1" applyBorder="1" applyAlignment="1" applyProtection="1">
      <alignment vertical="center" wrapText="1"/>
      <protection hidden="1"/>
    </xf>
    <xf numFmtId="0" fontId="33" fillId="27" borderId="168" xfId="0" applyFont="1" applyFill="1" applyBorder="1" applyAlignment="1" applyProtection="1">
      <alignment vertical="center" wrapText="1"/>
      <protection hidden="1"/>
    </xf>
    <xf numFmtId="0" fontId="33" fillId="27" borderId="169" xfId="0" applyFont="1" applyFill="1" applyBorder="1" applyAlignment="1" applyProtection="1">
      <alignment vertical="center" wrapText="1"/>
      <protection hidden="1"/>
    </xf>
    <xf numFmtId="0" fontId="33" fillId="27" borderId="163" xfId="0" applyFont="1" applyFill="1" applyBorder="1" applyAlignment="1" applyProtection="1">
      <alignment vertical="center" wrapText="1"/>
      <protection hidden="1"/>
    </xf>
    <xf numFmtId="0" fontId="33" fillId="38" borderId="0" xfId="0" applyFont="1" applyFill="1" applyAlignment="1" applyProtection="1">
      <alignment vertical="center" wrapText="1"/>
      <protection hidden="1"/>
    </xf>
    <xf numFmtId="0" fontId="33" fillId="38" borderId="0" xfId="0" applyFont="1" applyFill="1" applyAlignment="1" applyProtection="1">
      <alignment horizontal="left" vertical="center" wrapText="1"/>
      <protection hidden="1"/>
    </xf>
    <xf numFmtId="0" fontId="32" fillId="38" borderId="0" xfId="0" applyFont="1" applyFill="1" applyAlignment="1">
      <alignment horizontal="left" vertical="center"/>
    </xf>
    <xf numFmtId="0" fontId="33" fillId="27" borderId="170" xfId="0" applyFont="1" applyFill="1" applyBorder="1" applyProtection="1">
      <alignment vertical="center"/>
      <protection hidden="1"/>
    </xf>
    <xf numFmtId="0" fontId="33" fillId="27" borderId="13" xfId="0" applyFont="1" applyFill="1" applyBorder="1" applyAlignment="1" applyProtection="1">
      <alignment vertical="center" wrapText="1"/>
      <protection hidden="1"/>
    </xf>
    <xf numFmtId="179" fontId="33" fillId="31" borderId="27" xfId="0" applyNumberFormat="1" applyFont="1" applyFill="1" applyBorder="1" applyAlignment="1" applyProtection="1">
      <alignment horizontal="centerContinuous" vertical="center" wrapText="1"/>
      <protection hidden="1"/>
    </xf>
    <xf numFmtId="0" fontId="33" fillId="27" borderId="10" xfId="0" applyFont="1" applyFill="1" applyBorder="1" applyAlignment="1" applyProtection="1">
      <alignment horizontal="center" vertical="center"/>
      <protection hidden="1"/>
    </xf>
    <xf numFmtId="0" fontId="31" fillId="27" borderId="11" xfId="0" applyFont="1" applyFill="1" applyBorder="1" applyAlignment="1" applyProtection="1">
      <alignment horizontal="center" vertical="center"/>
      <protection hidden="1"/>
    </xf>
    <xf numFmtId="0" fontId="33" fillId="27" borderId="160" xfId="0" applyFont="1" applyFill="1" applyBorder="1" applyAlignment="1" applyProtection="1">
      <alignment horizontal="left" vertical="center" wrapText="1"/>
      <protection hidden="1"/>
    </xf>
    <xf numFmtId="179" fontId="33" fillId="31" borderId="26" xfId="0" applyNumberFormat="1" applyFont="1" applyFill="1" applyBorder="1" applyAlignment="1" applyProtection="1">
      <alignment horizontal="centerContinuous" vertical="center" wrapText="1"/>
      <protection hidden="1"/>
    </xf>
    <xf numFmtId="0" fontId="33" fillId="31" borderId="171" xfId="0" applyFont="1" applyFill="1" applyBorder="1" applyAlignment="1" applyProtection="1">
      <alignment horizontal="left" vertical="center"/>
      <protection hidden="1"/>
    </xf>
    <xf numFmtId="0" fontId="33" fillId="31" borderId="54" xfId="0" applyFont="1" applyFill="1" applyBorder="1" applyAlignment="1" applyProtection="1">
      <alignment horizontal="left" vertical="center"/>
      <protection hidden="1"/>
    </xf>
    <xf numFmtId="0" fontId="33" fillId="31" borderId="172" xfId="0" applyFont="1" applyFill="1" applyBorder="1" applyAlignment="1" applyProtection="1">
      <alignment horizontal="left" vertical="center"/>
      <protection hidden="1"/>
    </xf>
    <xf numFmtId="0" fontId="33" fillId="31" borderId="58" xfId="0" applyFont="1" applyFill="1" applyBorder="1" applyAlignment="1" applyProtection="1">
      <alignment horizontal="left" vertical="center"/>
      <protection hidden="1"/>
    </xf>
    <xf numFmtId="0" fontId="33" fillId="27" borderId="168" xfId="0" applyFont="1" applyFill="1" applyBorder="1" applyAlignment="1" applyProtection="1">
      <alignment horizontal="left" vertical="center"/>
      <protection hidden="1"/>
    </xf>
    <xf numFmtId="0" fontId="33" fillId="27" borderId="173" xfId="0" applyFont="1" applyFill="1" applyBorder="1" applyAlignment="1" applyProtection="1">
      <alignment horizontal="left" vertical="center"/>
      <protection hidden="1"/>
    </xf>
    <xf numFmtId="0" fontId="33" fillId="27" borderId="174" xfId="0" applyFont="1" applyFill="1" applyBorder="1" applyAlignment="1" applyProtection="1">
      <alignment horizontal="left" vertical="center"/>
      <protection hidden="1"/>
    </xf>
    <xf numFmtId="0" fontId="41" fillId="27" borderId="175" xfId="0" applyFont="1" applyFill="1" applyBorder="1" applyAlignment="1" applyProtection="1">
      <alignment horizontal="left" vertical="center"/>
      <protection hidden="1"/>
    </xf>
    <xf numFmtId="0" fontId="41" fillId="27" borderId="14" xfId="0" applyFont="1" applyFill="1" applyBorder="1" applyAlignment="1" applyProtection="1">
      <alignment horizontal="left" vertical="center"/>
      <protection hidden="1"/>
    </xf>
    <xf numFmtId="0" fontId="33" fillId="27" borderId="12" xfId="0" applyFont="1" applyFill="1" applyBorder="1" applyProtection="1">
      <alignment vertical="center"/>
      <protection hidden="1"/>
    </xf>
    <xf numFmtId="0" fontId="33" fillId="27" borderId="13" xfId="0" applyFont="1" applyFill="1" applyBorder="1" applyProtection="1">
      <alignment vertical="center"/>
      <protection hidden="1"/>
    </xf>
    <xf numFmtId="0" fontId="33" fillId="0" borderId="0" xfId="0" applyFont="1" applyAlignment="1" applyProtection="1">
      <alignment horizontal="left" vertical="center" wrapText="1"/>
      <protection hidden="1"/>
    </xf>
    <xf numFmtId="0" fontId="49" fillId="0" borderId="0" xfId="29" applyFont="1" applyFill="1" applyAlignment="1" applyProtection="1">
      <alignment horizontal="left" vertical="center"/>
      <protection hidden="1"/>
    </xf>
    <xf numFmtId="0" fontId="33" fillId="27" borderId="156" xfId="0" applyFont="1" applyFill="1" applyBorder="1" applyAlignment="1" applyProtection="1">
      <alignment vertical="center" shrinkToFit="1"/>
      <protection hidden="1"/>
    </xf>
    <xf numFmtId="0" fontId="33" fillId="27" borderId="52" xfId="0" applyFont="1" applyFill="1" applyBorder="1" applyProtection="1">
      <alignment vertical="center"/>
      <protection hidden="1"/>
    </xf>
    <xf numFmtId="0" fontId="33" fillId="38" borderId="0" xfId="0" applyFont="1" applyFill="1" applyAlignment="1" applyProtection="1">
      <alignment horizontal="center" vertical="center"/>
      <protection hidden="1"/>
    </xf>
    <xf numFmtId="0" fontId="12" fillId="38" borderId="0" xfId="0" applyFont="1" applyFill="1" applyProtection="1">
      <alignment vertical="center"/>
      <protection hidden="1"/>
    </xf>
    <xf numFmtId="0" fontId="0" fillId="43" borderId="0" xfId="0" applyFill="1">
      <alignment vertical="center"/>
    </xf>
    <xf numFmtId="0" fontId="31" fillId="38" borderId="0" xfId="0" applyFont="1" applyFill="1" applyProtection="1">
      <alignment vertical="center"/>
      <protection hidden="1"/>
    </xf>
    <xf numFmtId="0" fontId="33" fillId="27" borderId="26" xfId="0" applyFont="1" applyFill="1" applyBorder="1" applyProtection="1">
      <alignment vertical="center"/>
      <protection hidden="1"/>
    </xf>
    <xf numFmtId="0" fontId="33" fillId="27" borderId="50" xfId="0" applyFont="1" applyFill="1" applyBorder="1" applyProtection="1">
      <alignment vertical="center"/>
      <protection hidden="1"/>
    </xf>
    <xf numFmtId="0" fontId="33" fillId="27" borderId="27" xfId="0" applyFont="1" applyFill="1" applyBorder="1" applyProtection="1">
      <alignment vertical="center"/>
      <protection hidden="1"/>
    </xf>
    <xf numFmtId="0" fontId="33" fillId="27" borderId="51" xfId="0" applyFont="1" applyFill="1" applyBorder="1" applyAlignment="1" applyProtection="1">
      <alignment vertical="center" wrapText="1"/>
      <protection hidden="1"/>
    </xf>
    <xf numFmtId="0" fontId="33" fillId="27" borderId="16" xfId="0" applyFont="1" applyFill="1" applyBorder="1" applyAlignment="1" applyProtection="1">
      <alignment horizontal="left" vertical="center" wrapText="1"/>
      <protection hidden="1"/>
    </xf>
    <xf numFmtId="0" fontId="33" fillId="27" borderId="11" xfId="0" applyFont="1" applyFill="1" applyBorder="1" applyAlignment="1">
      <alignment vertical="center" wrapText="1"/>
    </xf>
    <xf numFmtId="0" fontId="12" fillId="38" borderId="0" xfId="0" applyFont="1" applyFill="1">
      <alignment vertical="center"/>
    </xf>
    <xf numFmtId="0" fontId="150" fillId="38" borderId="57" xfId="0" applyFont="1" applyFill="1" applyBorder="1" applyProtection="1">
      <alignment vertical="center"/>
      <protection hidden="1"/>
    </xf>
    <xf numFmtId="0" fontId="46" fillId="38" borderId="57" xfId="0" applyFont="1" applyFill="1" applyBorder="1" applyProtection="1">
      <alignment vertical="center"/>
      <protection hidden="1"/>
    </xf>
    <xf numFmtId="0" fontId="41" fillId="31" borderId="26" xfId="0" applyFont="1" applyFill="1" applyBorder="1" applyAlignment="1" applyProtection="1">
      <alignment horizontal="right" vertical="center"/>
      <protection hidden="1"/>
    </xf>
    <xf numFmtId="179" fontId="33" fillId="31" borderId="10" xfId="0" applyNumberFormat="1" applyFont="1" applyFill="1" applyBorder="1" applyAlignment="1" applyProtection="1">
      <alignment horizontal="centerContinuous" vertical="center"/>
      <protection hidden="1"/>
    </xf>
    <xf numFmtId="0" fontId="31" fillId="42" borderId="155" xfId="0" applyFont="1" applyFill="1" applyBorder="1" applyAlignment="1" applyProtection="1">
      <alignment horizontal="center" vertical="center"/>
      <protection hidden="1"/>
    </xf>
    <xf numFmtId="0" fontId="31" fillId="42" borderId="159" xfId="0" applyFont="1" applyFill="1" applyBorder="1" applyAlignment="1" applyProtection="1">
      <alignment horizontal="center" vertical="center"/>
      <protection hidden="1"/>
    </xf>
    <xf numFmtId="0" fontId="31" fillId="42" borderId="160" xfId="0" applyFont="1" applyFill="1" applyBorder="1" applyAlignment="1" applyProtection="1">
      <alignment horizontal="center" vertical="center"/>
      <protection hidden="1"/>
    </xf>
    <xf numFmtId="0" fontId="33" fillId="44" borderId="26" xfId="0" applyFont="1" applyFill="1" applyBorder="1" applyAlignment="1" applyProtection="1">
      <alignment horizontal="centerContinuous" vertical="center"/>
      <protection hidden="1"/>
    </xf>
    <xf numFmtId="0" fontId="33" fillId="44" borderId="50" xfId="0" applyFont="1" applyFill="1" applyBorder="1" applyAlignment="1" applyProtection="1">
      <alignment horizontal="centerContinuous" vertical="center"/>
      <protection hidden="1"/>
    </xf>
    <xf numFmtId="0" fontId="0" fillId="25" borderId="10" xfId="0" applyFill="1" applyBorder="1">
      <alignment vertical="center"/>
    </xf>
    <xf numFmtId="0" fontId="31" fillId="27" borderId="167" xfId="0" applyFont="1" applyFill="1" applyBorder="1" applyAlignment="1" applyProtection="1">
      <alignment horizontal="center" vertical="center"/>
      <protection hidden="1"/>
    </xf>
    <xf numFmtId="0" fontId="31" fillId="27" borderId="161" xfId="0" applyFont="1" applyFill="1" applyBorder="1" applyAlignment="1" applyProtection="1">
      <alignment horizontal="center" vertical="center"/>
      <protection hidden="1"/>
    </xf>
    <xf numFmtId="0" fontId="33" fillId="0" borderId="17" xfId="0" applyFont="1" applyBorder="1" applyAlignment="1" applyProtection="1">
      <alignment horizontal="center" vertical="center"/>
      <protection hidden="1"/>
    </xf>
    <xf numFmtId="0" fontId="33" fillId="38" borderId="0" xfId="0" applyFont="1" applyFill="1" applyAlignment="1">
      <alignment horizontal="center" vertical="center"/>
    </xf>
    <xf numFmtId="190" fontId="33" fillId="31" borderId="54" xfId="0" applyNumberFormat="1" applyFont="1" applyFill="1" applyBorder="1" applyAlignment="1" applyProtection="1">
      <alignment horizontal="center" vertical="center"/>
      <protection hidden="1"/>
    </xf>
    <xf numFmtId="0" fontId="33" fillId="31" borderId="52" xfId="0" applyFont="1" applyFill="1" applyBorder="1" applyAlignment="1" applyProtection="1">
      <alignment horizontal="centerContinuous" vertical="center"/>
      <protection hidden="1"/>
    </xf>
    <xf numFmtId="0" fontId="33" fillId="31" borderId="54" xfId="0" applyFont="1" applyFill="1" applyBorder="1" applyAlignment="1" applyProtection="1">
      <alignment horizontal="centerContinuous" vertical="center"/>
      <protection hidden="1"/>
    </xf>
    <xf numFmtId="0" fontId="33" fillId="38" borderId="0" xfId="0" applyFont="1" applyFill="1" applyAlignment="1" applyProtection="1">
      <alignment horizontal="left" vertical="top"/>
      <protection hidden="1"/>
    </xf>
    <xf numFmtId="0" fontId="33" fillId="27" borderId="176" xfId="0" applyFont="1" applyFill="1" applyBorder="1" applyProtection="1">
      <alignment vertical="center"/>
      <protection hidden="1"/>
    </xf>
    <xf numFmtId="0" fontId="33" fillId="27" borderId="157" xfId="0" applyFont="1" applyFill="1" applyBorder="1" applyProtection="1">
      <alignment vertical="center"/>
      <protection hidden="1"/>
    </xf>
    <xf numFmtId="0" fontId="33" fillId="27" borderId="158" xfId="0" applyFont="1" applyFill="1" applyBorder="1" applyProtection="1">
      <alignment vertical="center"/>
      <protection hidden="1"/>
    </xf>
    <xf numFmtId="0" fontId="33" fillId="27" borderId="177" xfId="0" applyFont="1" applyFill="1" applyBorder="1" applyProtection="1">
      <alignment vertical="center"/>
      <protection hidden="1"/>
    </xf>
    <xf numFmtId="0" fontId="33" fillId="27" borderId="14" xfId="0" applyFont="1" applyFill="1" applyBorder="1" applyProtection="1">
      <alignment vertical="center"/>
      <protection hidden="1"/>
    </xf>
    <xf numFmtId="0" fontId="33" fillId="27" borderId="178" xfId="0" applyFont="1" applyFill="1" applyBorder="1" applyProtection="1">
      <alignment vertical="center"/>
      <protection hidden="1"/>
    </xf>
    <xf numFmtId="0" fontId="33" fillId="27" borderId="163" xfId="0" applyFont="1" applyFill="1" applyBorder="1" applyProtection="1">
      <alignment vertical="center"/>
      <protection hidden="1"/>
    </xf>
    <xf numFmtId="0" fontId="33" fillId="27" borderId="162" xfId="0" applyFont="1" applyFill="1" applyBorder="1" applyProtection="1">
      <alignment vertical="center"/>
      <protection hidden="1"/>
    </xf>
    <xf numFmtId="0" fontId="33" fillId="27" borderId="50" xfId="0" applyFont="1" applyFill="1" applyBorder="1" applyAlignment="1" applyProtection="1">
      <alignment horizontal="center" vertical="center"/>
      <protection hidden="1"/>
    </xf>
    <xf numFmtId="0" fontId="31" fillId="27" borderId="50" xfId="0" applyFont="1" applyFill="1" applyBorder="1" applyAlignment="1" applyProtection="1">
      <alignment horizontal="center" vertical="center" wrapText="1"/>
      <protection hidden="1"/>
    </xf>
    <xf numFmtId="0" fontId="31" fillId="27" borderId="27" xfId="0" applyFont="1" applyFill="1" applyBorder="1" applyAlignment="1" applyProtection="1">
      <alignment horizontal="center" vertical="center" wrapText="1"/>
      <protection hidden="1"/>
    </xf>
    <xf numFmtId="0" fontId="33" fillId="27" borderId="51" xfId="0" applyFont="1" applyFill="1" applyBorder="1" applyAlignment="1" applyProtection="1">
      <alignment horizontal="center" vertical="center"/>
      <protection hidden="1"/>
    </xf>
    <xf numFmtId="0" fontId="12" fillId="27" borderId="11" xfId="0" applyFont="1" applyFill="1" applyBorder="1" applyAlignment="1" applyProtection="1">
      <alignment horizontal="center" vertical="center"/>
      <protection hidden="1"/>
    </xf>
    <xf numFmtId="178" fontId="31" fillId="27" borderId="27" xfId="0" applyNumberFormat="1" applyFont="1" applyFill="1" applyBorder="1" applyAlignment="1" applyProtection="1">
      <alignment horizontal="center" vertical="center" wrapText="1"/>
      <protection hidden="1"/>
    </xf>
    <xf numFmtId="0" fontId="33" fillId="27" borderId="177" xfId="0" applyFont="1" applyFill="1" applyBorder="1" applyAlignment="1" applyProtection="1">
      <alignment horizontal="left" vertical="center"/>
      <protection hidden="1"/>
    </xf>
    <xf numFmtId="0" fontId="33" fillId="27" borderId="13" xfId="0" applyFont="1" applyFill="1" applyBorder="1">
      <alignment vertical="center"/>
    </xf>
    <xf numFmtId="0" fontId="46" fillId="27" borderId="50" xfId="0" applyFont="1" applyFill="1" applyBorder="1" applyAlignment="1" applyProtection="1">
      <alignment vertical="center" wrapText="1"/>
      <protection hidden="1"/>
    </xf>
    <xf numFmtId="0" fontId="0" fillId="25" borderId="0" xfId="0" applyFill="1">
      <alignment vertical="center"/>
    </xf>
    <xf numFmtId="0" fontId="33" fillId="27" borderId="10" xfId="0" quotePrefix="1" applyFont="1" applyFill="1" applyBorder="1" applyAlignment="1" applyProtection="1">
      <alignment horizontal="left" vertical="center"/>
      <protection hidden="1"/>
    </xf>
    <xf numFmtId="0" fontId="12" fillId="27" borderId="51" xfId="0" quotePrefix="1" applyFont="1" applyFill="1" applyBorder="1" applyAlignment="1" applyProtection="1">
      <alignment horizontal="center" vertical="center"/>
      <protection hidden="1"/>
    </xf>
    <xf numFmtId="0" fontId="12" fillId="27" borderId="11" xfId="0" quotePrefix="1" applyFont="1" applyFill="1" applyBorder="1" applyAlignment="1" applyProtection="1">
      <alignment horizontal="center" vertical="center"/>
      <protection hidden="1"/>
    </xf>
    <xf numFmtId="0" fontId="12" fillId="27" borderId="160" xfId="0" applyFont="1" applyFill="1" applyBorder="1" applyAlignment="1" applyProtection="1">
      <alignment horizontal="center" vertical="center"/>
      <protection hidden="1"/>
    </xf>
    <xf numFmtId="0" fontId="49" fillId="0" borderId="0" xfId="29" applyFont="1" applyFill="1" applyAlignment="1" applyProtection="1">
      <alignment horizontal="left"/>
      <protection hidden="1"/>
    </xf>
    <xf numFmtId="0" fontId="33" fillId="27" borderId="157" xfId="0" applyFont="1" applyFill="1" applyBorder="1" applyAlignment="1" applyProtection="1">
      <alignment vertical="center" wrapText="1"/>
      <protection hidden="1"/>
    </xf>
    <xf numFmtId="0" fontId="33" fillId="31" borderId="27" xfId="0" applyFont="1" applyFill="1" applyBorder="1" applyAlignment="1" applyProtection="1">
      <alignment horizontal="centerContinuous" vertical="top"/>
      <protection hidden="1"/>
    </xf>
    <xf numFmtId="0" fontId="31" fillId="27" borderId="27" xfId="0" applyFont="1" applyFill="1" applyBorder="1" applyAlignment="1" applyProtection="1">
      <alignment horizontal="centerContinuous" vertical="center"/>
      <protection hidden="1"/>
    </xf>
    <xf numFmtId="0" fontId="31" fillId="27" borderId="164" xfId="0" applyFont="1" applyFill="1" applyBorder="1" applyAlignment="1" applyProtection="1">
      <alignment horizontal="center" vertical="center"/>
      <protection locked="0" hidden="1"/>
    </xf>
    <xf numFmtId="0" fontId="33" fillId="27" borderId="157" xfId="0" applyFont="1" applyFill="1" applyBorder="1" applyAlignment="1" applyProtection="1">
      <alignment horizontal="left" vertical="center" wrapText="1"/>
      <protection hidden="1"/>
    </xf>
    <xf numFmtId="0" fontId="33" fillId="27" borderId="158" xfId="0" applyFont="1" applyFill="1" applyBorder="1" applyAlignment="1" applyProtection="1">
      <alignment horizontal="left" vertical="center" wrapText="1"/>
      <protection hidden="1"/>
    </xf>
    <xf numFmtId="0" fontId="31" fillId="27" borderId="165" xfId="0" applyFont="1" applyFill="1" applyBorder="1" applyAlignment="1" applyProtection="1">
      <alignment horizontal="center" vertical="center"/>
      <protection locked="0" hidden="1"/>
    </xf>
    <xf numFmtId="0" fontId="33" fillId="27" borderId="176" xfId="0" applyFont="1" applyFill="1" applyBorder="1" applyAlignment="1" applyProtection="1">
      <alignment horizontal="left" vertical="center"/>
      <protection hidden="1"/>
    </xf>
    <xf numFmtId="0" fontId="33" fillId="31" borderId="50" xfId="0" applyFont="1" applyFill="1" applyBorder="1" applyAlignment="1" applyProtection="1">
      <alignment horizontal="centerContinuous" vertical="top"/>
      <protection hidden="1"/>
    </xf>
    <xf numFmtId="0" fontId="33" fillId="27" borderId="157" xfId="0" applyFont="1" applyFill="1" applyBorder="1" applyAlignment="1" applyProtection="1">
      <alignment horizontal="left" vertical="top"/>
      <protection hidden="1"/>
    </xf>
    <xf numFmtId="0" fontId="33" fillId="27" borderId="13" xfId="0" applyFont="1" applyFill="1" applyBorder="1" applyAlignment="1" applyProtection="1">
      <alignment horizontal="left" vertical="top"/>
      <protection hidden="1"/>
    </xf>
    <xf numFmtId="0" fontId="33" fillId="27" borderId="163" xfId="0" applyFont="1" applyFill="1" applyBorder="1" applyAlignment="1" applyProtection="1">
      <alignment horizontal="left" vertical="top"/>
      <protection hidden="1"/>
    </xf>
    <xf numFmtId="0" fontId="33" fillId="27" borderId="157" xfId="0" applyFont="1" applyFill="1" applyBorder="1">
      <alignment vertical="center"/>
    </xf>
    <xf numFmtId="0" fontId="33" fillId="27" borderId="158" xfId="0" applyFont="1" applyFill="1" applyBorder="1" applyAlignment="1" applyProtection="1">
      <alignment horizontal="left" vertical="top"/>
      <protection hidden="1"/>
    </xf>
    <xf numFmtId="0" fontId="33" fillId="27" borderId="14" xfId="0" applyFont="1" applyFill="1" applyBorder="1" applyAlignment="1" applyProtection="1">
      <alignment horizontal="left" vertical="top"/>
      <protection hidden="1"/>
    </xf>
    <xf numFmtId="0" fontId="33" fillId="27" borderId="162" xfId="0" applyFont="1" applyFill="1" applyBorder="1" applyAlignment="1" applyProtection="1">
      <alignment horizontal="left" vertical="top"/>
      <protection hidden="1"/>
    </xf>
    <xf numFmtId="0" fontId="33" fillId="0" borderId="0" xfId="0" applyFont="1" applyAlignment="1" applyProtection="1">
      <alignment horizontal="left" vertical="top"/>
      <protection hidden="1"/>
    </xf>
    <xf numFmtId="0" fontId="73" fillId="0" borderId="0" xfId="0" applyFont="1" applyAlignment="1" applyProtection="1">
      <alignment horizontal="left" vertical="center"/>
      <protection hidden="1"/>
    </xf>
    <xf numFmtId="0" fontId="147" fillId="0" borderId="0" xfId="0" applyFont="1" applyProtection="1">
      <alignment vertical="center"/>
      <protection hidden="1"/>
    </xf>
    <xf numFmtId="0" fontId="148" fillId="0" borderId="0" xfId="0" applyFont="1" applyAlignment="1" applyProtection="1">
      <alignment horizontal="left" vertical="top"/>
      <protection hidden="1"/>
    </xf>
    <xf numFmtId="0" fontId="33" fillId="31" borderId="58" xfId="0" applyFont="1" applyFill="1" applyBorder="1" applyAlignment="1" applyProtection="1">
      <alignment horizontal="center" vertical="center"/>
      <protection hidden="1"/>
    </xf>
    <xf numFmtId="0" fontId="29" fillId="0" borderId="0" xfId="0" applyFont="1" applyProtection="1">
      <alignment vertical="center"/>
      <protection hidden="1"/>
    </xf>
    <xf numFmtId="0" fontId="12" fillId="27" borderId="16" xfId="0" quotePrefix="1" applyFont="1" applyFill="1" applyBorder="1" applyAlignment="1" applyProtection="1">
      <alignment horizontal="center" vertical="center" wrapText="1"/>
      <protection hidden="1"/>
    </xf>
    <xf numFmtId="0" fontId="12" fillId="27" borderId="14" xfId="0" quotePrefix="1" applyFont="1" applyFill="1" applyBorder="1" applyAlignment="1" applyProtection="1">
      <alignment horizontal="center" vertical="center" wrapText="1"/>
      <protection hidden="1"/>
    </xf>
    <xf numFmtId="0" fontId="33" fillId="27" borderId="173" xfId="0" applyFont="1" applyFill="1" applyBorder="1" applyAlignment="1" applyProtection="1">
      <alignment horizontal="left" vertical="center" wrapText="1"/>
      <protection hidden="1"/>
    </xf>
    <xf numFmtId="0" fontId="33" fillId="27" borderId="174" xfId="0" applyFont="1" applyFill="1" applyBorder="1" applyAlignment="1" applyProtection="1">
      <alignment horizontal="left" vertical="center" wrapText="1"/>
      <protection hidden="1"/>
    </xf>
    <xf numFmtId="0" fontId="33" fillId="27" borderId="163" xfId="0" applyFont="1" applyFill="1" applyBorder="1" applyAlignment="1" applyProtection="1">
      <alignment horizontal="left" vertical="center" wrapText="1"/>
      <protection hidden="1"/>
    </xf>
    <xf numFmtId="0" fontId="33" fillId="27" borderId="162" xfId="0" applyFont="1" applyFill="1" applyBorder="1" applyAlignment="1" applyProtection="1">
      <alignment horizontal="left" vertical="center" wrapText="1"/>
      <protection hidden="1"/>
    </xf>
    <xf numFmtId="0" fontId="12" fillId="27" borderId="14" xfId="0" applyFont="1" applyFill="1" applyBorder="1" applyAlignment="1" applyProtection="1">
      <alignment horizontal="center" vertical="center" wrapText="1"/>
      <protection hidden="1"/>
    </xf>
    <xf numFmtId="0" fontId="149" fillId="0" borderId="0" xfId="0" applyFont="1" applyAlignment="1" applyProtection="1">
      <alignment horizontal="left" vertical="top"/>
      <protection hidden="1"/>
    </xf>
    <xf numFmtId="0" fontId="12" fillId="27" borderId="16" xfId="0" applyFont="1" applyFill="1" applyBorder="1" applyAlignment="1" applyProtection="1">
      <alignment horizontal="center" vertical="center" wrapText="1"/>
      <protection hidden="1"/>
    </xf>
    <xf numFmtId="176" fontId="12" fillId="27" borderId="15" xfId="0" applyNumberFormat="1" applyFont="1" applyFill="1" applyBorder="1" applyAlignment="1" applyProtection="1">
      <alignment horizontal="center" vertical="center" wrapText="1"/>
      <protection hidden="1"/>
    </xf>
    <xf numFmtId="0" fontId="12" fillId="27" borderId="159" xfId="0" applyFont="1" applyFill="1" applyBorder="1" applyAlignment="1" applyProtection="1">
      <alignment horizontal="center" vertical="center"/>
      <protection hidden="1"/>
    </xf>
    <xf numFmtId="0" fontId="33" fillId="31" borderId="50" xfId="0" applyFont="1" applyFill="1" applyBorder="1" applyAlignment="1">
      <alignment horizontal="centerContinuous" vertical="center"/>
    </xf>
    <xf numFmtId="0" fontId="33" fillId="31" borderId="55" xfId="0" applyFont="1" applyFill="1" applyBorder="1">
      <alignment vertical="center"/>
    </xf>
    <xf numFmtId="0" fontId="33" fillId="31" borderId="50" xfId="0" applyFont="1" applyFill="1" applyBorder="1" applyAlignment="1" applyProtection="1">
      <alignment horizontal="left" vertical="center"/>
      <protection hidden="1"/>
    </xf>
    <xf numFmtId="0" fontId="33" fillId="31" borderId="56" xfId="0" applyFont="1" applyFill="1" applyBorder="1" applyAlignment="1" applyProtection="1">
      <alignment horizontal="left" vertical="center"/>
      <protection hidden="1"/>
    </xf>
    <xf numFmtId="0" fontId="31" fillId="27" borderId="167" xfId="0" applyFont="1" applyFill="1" applyBorder="1" applyAlignment="1" applyProtection="1">
      <alignment horizontal="centerContinuous" vertical="center"/>
      <protection hidden="1"/>
    </xf>
    <xf numFmtId="0" fontId="31" fillId="27" borderId="12" xfId="0" applyFont="1" applyFill="1" applyBorder="1" applyAlignment="1" applyProtection="1">
      <alignment horizontal="centerContinuous" vertical="center"/>
      <protection hidden="1"/>
    </xf>
    <xf numFmtId="0" fontId="31" fillId="27" borderId="56" xfId="0" applyFont="1" applyFill="1" applyBorder="1" applyAlignment="1" applyProtection="1">
      <alignment horizontal="centerContinuous" vertical="center"/>
      <protection hidden="1"/>
    </xf>
    <xf numFmtId="0" fontId="29" fillId="0" borderId="0" xfId="0" applyFont="1" applyAlignment="1" applyProtection="1">
      <alignment horizontal="left" vertical="center"/>
      <protection hidden="1"/>
    </xf>
    <xf numFmtId="0" fontId="31" fillId="0" borderId="0" xfId="0" applyFont="1" applyAlignment="1" applyProtection="1">
      <alignment horizontal="left" vertical="center"/>
      <protection hidden="1"/>
    </xf>
    <xf numFmtId="0" fontId="33" fillId="31" borderId="53" xfId="0" applyFont="1" applyFill="1" applyBorder="1" applyAlignment="1" applyProtection="1">
      <alignment horizontal="centerContinuous" vertical="center"/>
      <protection hidden="1"/>
    </xf>
    <xf numFmtId="176" fontId="33" fillId="31" borderId="26" xfId="0" applyNumberFormat="1" applyFont="1" applyFill="1" applyBorder="1" applyAlignment="1" applyProtection="1">
      <alignment horizontal="centerContinuous" vertical="center"/>
      <protection hidden="1"/>
    </xf>
    <xf numFmtId="176" fontId="33" fillId="31" borderId="53" xfId="0" applyNumberFormat="1" applyFont="1" applyFill="1" applyBorder="1" applyAlignment="1" applyProtection="1">
      <alignment horizontal="centerContinuous" vertical="center"/>
      <protection hidden="1"/>
    </xf>
    <xf numFmtId="0" fontId="33" fillId="27" borderId="26" xfId="0" applyFont="1" applyFill="1" applyBorder="1" applyAlignment="1" applyProtection="1">
      <alignment horizontal="left" vertical="center"/>
      <protection hidden="1"/>
    </xf>
    <xf numFmtId="0" fontId="49" fillId="0" borderId="0" xfId="0" applyFont="1" applyAlignment="1">
      <alignment horizontal="right" vertical="center"/>
    </xf>
    <xf numFmtId="0" fontId="31" fillId="31" borderId="10" xfId="0" applyFont="1" applyFill="1" applyBorder="1" applyAlignment="1" applyProtection="1">
      <alignment horizontal="centerContinuous" vertical="center"/>
      <protection hidden="1"/>
    </xf>
    <xf numFmtId="0" fontId="31" fillId="27" borderId="55" xfId="0" applyFont="1" applyFill="1" applyBorder="1" applyAlignment="1" applyProtection="1">
      <alignment horizontal="center" vertical="center"/>
      <protection hidden="1"/>
    </xf>
    <xf numFmtId="177" fontId="33" fillId="27" borderId="87" xfId="0" applyNumberFormat="1" applyFont="1" applyFill="1" applyBorder="1" applyAlignment="1" applyProtection="1">
      <alignment horizontal="left" vertical="center"/>
      <protection hidden="1"/>
    </xf>
    <xf numFmtId="0" fontId="31" fillId="27" borderId="159" xfId="0" applyFont="1" applyFill="1" applyBorder="1" applyAlignment="1" applyProtection="1">
      <alignment horizontal="centerContinuous" vertical="center"/>
      <protection hidden="1"/>
    </xf>
    <xf numFmtId="0" fontId="31" fillId="27" borderId="11" xfId="0" applyFont="1" applyFill="1" applyBorder="1" applyAlignment="1" applyProtection="1">
      <alignment horizontal="centerContinuous" vertical="center"/>
      <protection hidden="1"/>
    </xf>
    <xf numFmtId="0" fontId="31" fillId="27" borderId="55" xfId="0" applyFont="1" applyFill="1" applyBorder="1" applyAlignment="1" applyProtection="1">
      <alignment horizontal="centerContinuous" vertical="center"/>
      <protection hidden="1"/>
    </xf>
    <xf numFmtId="0" fontId="33" fillId="27" borderId="26" xfId="0" applyFont="1" applyFill="1" applyBorder="1" applyAlignment="1">
      <alignment horizontal="centerContinuous" vertical="center"/>
    </xf>
    <xf numFmtId="0" fontId="33" fillId="27" borderId="27" xfId="0" applyFont="1" applyFill="1" applyBorder="1" applyAlignment="1">
      <alignment horizontal="centerContinuous" vertical="center"/>
    </xf>
    <xf numFmtId="0" fontId="33" fillId="27" borderId="26" xfId="0" applyFont="1" applyFill="1" applyBorder="1" applyAlignment="1">
      <alignment horizontal="left" vertical="center"/>
    </xf>
    <xf numFmtId="0" fontId="33" fillId="27" borderId="50" xfId="0" applyFont="1" applyFill="1" applyBorder="1" applyAlignment="1">
      <alignment horizontal="left" vertical="center"/>
    </xf>
    <xf numFmtId="0" fontId="33" fillId="27" borderId="27" xfId="0" applyFont="1" applyFill="1" applyBorder="1" applyAlignment="1">
      <alignment horizontal="left" vertical="center"/>
    </xf>
    <xf numFmtId="0" fontId="12" fillId="0" borderId="57" xfId="0" applyFont="1" applyBorder="1" applyAlignment="1">
      <alignment horizontal="center" vertical="center"/>
    </xf>
    <xf numFmtId="0" fontId="12" fillId="0" borderId="57" xfId="0" applyFont="1" applyBorder="1">
      <alignment vertical="center"/>
    </xf>
    <xf numFmtId="0" fontId="38" fillId="27" borderId="10" xfId="0" applyFont="1" applyFill="1" applyBorder="1" applyAlignment="1">
      <alignment horizontal="left" vertical="center" shrinkToFit="1"/>
    </xf>
    <xf numFmtId="38" fontId="12" fillId="0" borderId="0" xfId="35">
      <alignment vertical="center"/>
    </xf>
    <xf numFmtId="0" fontId="38" fillId="0" borderId="57" xfId="0" applyFont="1" applyBorder="1" applyAlignment="1">
      <alignment horizontal="center" vertical="top"/>
    </xf>
    <xf numFmtId="0" fontId="33" fillId="0" borderId="57" xfId="0" applyFont="1" applyBorder="1">
      <alignment vertical="center"/>
    </xf>
    <xf numFmtId="0" fontId="33" fillId="0" borderId="0" xfId="0" applyFont="1" applyAlignment="1">
      <alignment vertical="top"/>
    </xf>
    <xf numFmtId="0" fontId="73" fillId="0" borderId="0" xfId="0" applyFont="1" applyAlignment="1">
      <alignment horizontal="left" vertical="center"/>
    </xf>
    <xf numFmtId="0" fontId="33" fillId="0" borderId="0" xfId="0" applyFont="1" applyAlignment="1" applyProtection="1">
      <alignment vertical="top"/>
      <protection hidden="1"/>
    </xf>
    <xf numFmtId="0" fontId="149" fillId="0" borderId="0" xfId="0" applyFont="1" applyAlignment="1" applyProtection="1">
      <alignment vertical="top"/>
      <protection hidden="1"/>
    </xf>
    <xf numFmtId="0" fontId="149" fillId="0" borderId="0" xfId="0" applyFont="1">
      <alignment vertical="center"/>
    </xf>
    <xf numFmtId="0" fontId="41" fillId="27" borderId="158" xfId="0" applyFont="1" applyFill="1" applyBorder="1" applyAlignment="1" applyProtection="1">
      <alignment vertical="top"/>
      <protection hidden="1"/>
    </xf>
    <xf numFmtId="0" fontId="41" fillId="27" borderId="17" xfId="0" applyFont="1" applyFill="1" applyBorder="1" applyAlignment="1" applyProtection="1">
      <alignment vertical="top"/>
      <protection hidden="1"/>
    </xf>
    <xf numFmtId="0" fontId="41" fillId="27" borderId="174" xfId="0" applyFont="1" applyFill="1" applyBorder="1" applyAlignment="1" applyProtection="1">
      <alignment vertical="top"/>
      <protection hidden="1"/>
    </xf>
    <xf numFmtId="0" fontId="41" fillId="27" borderId="162" xfId="0" applyFont="1" applyFill="1" applyBorder="1" applyAlignment="1" applyProtection="1">
      <alignment vertical="top"/>
      <protection hidden="1"/>
    </xf>
    <xf numFmtId="0" fontId="41" fillId="0" borderId="0" xfId="0" applyFont="1" applyAlignment="1" applyProtection="1">
      <alignment horizontal="right" vertical="center"/>
      <protection hidden="1"/>
    </xf>
    <xf numFmtId="0" fontId="41" fillId="0" borderId="0" xfId="0" applyFont="1" applyAlignment="1" applyProtection="1">
      <alignment horizontal="left" vertical="center"/>
      <protection hidden="1"/>
    </xf>
    <xf numFmtId="0" fontId="150" fillId="0" borderId="0" xfId="0" applyFont="1" applyAlignment="1" applyProtection="1">
      <alignment vertical="top"/>
      <protection hidden="1"/>
    </xf>
    <xf numFmtId="0" fontId="33" fillId="31" borderId="82" xfId="0" applyFont="1" applyFill="1" applyBorder="1" applyAlignment="1" applyProtection="1">
      <alignment horizontal="centerContinuous" vertical="center"/>
      <protection hidden="1"/>
    </xf>
    <xf numFmtId="0" fontId="41" fillId="0" borderId="57" xfId="0" applyFont="1" applyBorder="1" applyAlignment="1" applyProtection="1">
      <alignment horizontal="centerContinuous" vertical="center"/>
      <protection hidden="1"/>
    </xf>
    <xf numFmtId="0" fontId="41" fillId="0" borderId="0" xfId="0" applyFont="1" applyAlignment="1" applyProtection="1">
      <alignment horizontal="left" vertical="top"/>
      <protection hidden="1"/>
    </xf>
    <xf numFmtId="0" fontId="33" fillId="44" borderId="27" xfId="0" applyFont="1" applyFill="1" applyBorder="1" applyAlignment="1" applyProtection="1">
      <alignment horizontal="centerContinuous" vertical="center"/>
      <protection hidden="1"/>
    </xf>
    <xf numFmtId="0" fontId="33" fillId="42" borderId="156" xfId="0" applyFont="1" applyFill="1" applyBorder="1" applyAlignment="1" applyProtection="1">
      <alignment horizontal="left" vertical="center"/>
      <protection hidden="1"/>
    </xf>
    <xf numFmtId="0" fontId="33" fillId="42" borderId="158" xfId="0" applyFont="1" applyFill="1" applyBorder="1" applyAlignment="1" applyProtection="1">
      <alignment horizontal="left" vertical="center" wrapText="1"/>
      <protection hidden="1"/>
    </xf>
    <xf numFmtId="0" fontId="33" fillId="42" borderId="12" xfId="0" applyFont="1" applyFill="1" applyBorder="1" applyAlignment="1" applyProtection="1">
      <alignment horizontal="left" vertical="center"/>
      <protection hidden="1"/>
    </xf>
    <xf numFmtId="0" fontId="33" fillId="42" borderId="14" xfId="0" applyFont="1" applyFill="1" applyBorder="1" applyAlignment="1" applyProtection="1">
      <alignment horizontal="left" vertical="center" wrapText="1"/>
      <protection hidden="1"/>
    </xf>
    <xf numFmtId="0" fontId="33" fillId="27" borderId="157" xfId="0" applyFont="1" applyFill="1" applyBorder="1" applyAlignment="1" applyProtection="1">
      <alignment horizontal="left" vertical="top" wrapText="1"/>
      <protection hidden="1"/>
    </xf>
    <xf numFmtId="0" fontId="33" fillId="27" borderId="13" xfId="0" applyFont="1" applyFill="1" applyBorder="1" applyAlignment="1" applyProtection="1">
      <alignment horizontal="left" vertical="top" wrapText="1"/>
      <protection hidden="1"/>
    </xf>
    <xf numFmtId="0" fontId="31" fillId="27" borderId="50" xfId="0" applyFont="1" applyFill="1" applyBorder="1" applyAlignment="1" applyProtection="1">
      <alignment horizontal="center" vertical="top" wrapText="1"/>
      <protection hidden="1"/>
    </xf>
    <xf numFmtId="0" fontId="155" fillId="0" borderId="0" xfId="0" applyFont="1" applyProtection="1">
      <alignment vertical="center"/>
      <protection hidden="1"/>
    </xf>
    <xf numFmtId="0" fontId="41" fillId="0" borderId="0" xfId="0" applyFont="1" applyAlignment="1" applyProtection="1">
      <alignment horizontal="justify"/>
      <protection hidden="1"/>
    </xf>
    <xf numFmtId="0" fontId="41" fillId="0" borderId="0" xfId="0" applyFont="1" applyAlignment="1" applyProtection="1">
      <alignment horizontal="left"/>
      <protection hidden="1"/>
    </xf>
    <xf numFmtId="0" fontId="33" fillId="27" borderId="161" xfId="0" applyFont="1" applyFill="1" applyBorder="1" applyProtection="1">
      <alignment vertical="center"/>
      <protection hidden="1"/>
    </xf>
    <xf numFmtId="0" fontId="49" fillId="0" borderId="0" xfId="0" applyFont="1" applyAlignment="1" applyProtection="1">
      <alignment horizontal="left" vertical="top"/>
      <protection hidden="1"/>
    </xf>
    <xf numFmtId="0" fontId="156" fillId="0" borderId="0" xfId="0" applyFont="1" applyAlignment="1" applyProtection="1">
      <alignment horizontal="left" vertical="center"/>
      <protection hidden="1"/>
    </xf>
    <xf numFmtId="0" fontId="33" fillId="0" borderId="0" xfId="0" applyFont="1" applyAlignment="1" applyProtection="1">
      <alignment horizontal="right"/>
      <protection hidden="1"/>
    </xf>
    <xf numFmtId="0" fontId="41" fillId="27" borderId="156" xfId="0" applyFont="1" applyFill="1" applyBorder="1" applyAlignment="1" applyProtection="1">
      <alignment horizontal="left" vertical="center"/>
      <protection hidden="1"/>
    </xf>
    <xf numFmtId="0" fontId="41" fillId="27" borderId="158" xfId="0" applyFont="1" applyFill="1" applyBorder="1" applyAlignment="1" applyProtection="1">
      <alignment horizontal="left" vertical="center"/>
      <protection hidden="1"/>
    </xf>
    <xf numFmtId="0" fontId="41" fillId="27" borderId="12" xfId="0" applyFont="1" applyFill="1" applyBorder="1" applyAlignment="1" applyProtection="1">
      <alignment horizontal="left" vertical="center"/>
      <protection hidden="1"/>
    </xf>
    <xf numFmtId="0" fontId="41" fillId="27" borderId="14" xfId="0" applyFont="1" applyFill="1" applyBorder="1" applyAlignment="1" applyProtection="1">
      <alignment horizontal="left" vertical="top"/>
      <protection hidden="1"/>
    </xf>
    <xf numFmtId="0" fontId="41" fillId="27" borderId="161" xfId="0" applyFont="1" applyFill="1" applyBorder="1" applyAlignment="1" applyProtection="1">
      <alignment horizontal="left" vertical="center"/>
      <protection hidden="1"/>
    </xf>
    <xf numFmtId="0" fontId="41" fillId="27" borderId="162" xfId="0" applyFont="1" applyFill="1" applyBorder="1" applyAlignment="1" applyProtection="1">
      <alignment horizontal="left" vertical="center"/>
      <protection hidden="1"/>
    </xf>
    <xf numFmtId="0" fontId="33" fillId="0" borderId="53" xfId="0" applyFont="1" applyBorder="1">
      <alignment vertical="center"/>
    </xf>
    <xf numFmtId="0" fontId="33" fillId="0" borderId="53" xfId="0" applyFont="1" applyBorder="1" applyAlignment="1">
      <alignment vertical="top"/>
    </xf>
    <xf numFmtId="0" fontId="0" fillId="43" borderId="10" xfId="0" applyFill="1" applyBorder="1">
      <alignment vertical="center"/>
    </xf>
    <xf numFmtId="0" fontId="33" fillId="27" borderId="50" xfId="0" applyFont="1" applyFill="1" applyBorder="1" applyAlignment="1" applyProtection="1">
      <alignment horizontal="left" vertical="center"/>
      <protection hidden="1"/>
    </xf>
    <xf numFmtId="0" fontId="33" fillId="27" borderId="27" xfId="0" applyFont="1" applyFill="1" applyBorder="1" applyAlignment="1" applyProtection="1">
      <alignment horizontal="left" vertical="center"/>
      <protection hidden="1"/>
    </xf>
    <xf numFmtId="0" fontId="33" fillId="27" borderId="53" xfId="0" applyFont="1" applyFill="1" applyBorder="1" applyAlignment="1" applyProtection="1">
      <alignment horizontal="left" vertical="center"/>
      <protection hidden="1"/>
    </xf>
    <xf numFmtId="0" fontId="33" fillId="27" borderId="54" xfId="0" applyFont="1" applyFill="1" applyBorder="1" applyAlignment="1" applyProtection="1">
      <alignment horizontal="left" vertical="center"/>
      <protection hidden="1"/>
    </xf>
    <xf numFmtId="0" fontId="33" fillId="27" borderId="57" xfId="0" applyFont="1" applyFill="1" applyBorder="1" applyAlignment="1" applyProtection="1">
      <alignment horizontal="left" vertical="center"/>
      <protection hidden="1"/>
    </xf>
    <xf numFmtId="0" fontId="33" fillId="27" borderId="58" xfId="0" applyFont="1" applyFill="1" applyBorder="1" applyAlignment="1" applyProtection="1">
      <alignment horizontal="left" vertical="center"/>
      <protection hidden="1"/>
    </xf>
    <xf numFmtId="0" fontId="33" fillId="27" borderId="0" xfId="0" applyFont="1" applyFill="1" applyAlignment="1" applyProtection="1">
      <alignment horizontal="left" vertical="center"/>
      <protection hidden="1"/>
    </xf>
    <xf numFmtId="0" fontId="33" fillId="27" borderId="17" xfId="0" applyFont="1" applyFill="1" applyBorder="1" applyAlignment="1" applyProtection="1">
      <alignment horizontal="left" vertical="center"/>
      <protection hidden="1"/>
    </xf>
    <xf numFmtId="0" fontId="38" fillId="0" borderId="57" xfId="0" applyFont="1" applyBorder="1" applyAlignment="1">
      <alignment horizontal="right" vertical="center"/>
    </xf>
    <xf numFmtId="176" fontId="33" fillId="27" borderId="12" xfId="0" applyNumberFormat="1" applyFont="1" applyFill="1" applyBorder="1" applyAlignment="1" applyProtection="1">
      <alignment horizontal="left" vertical="center"/>
      <protection hidden="1"/>
    </xf>
    <xf numFmtId="176" fontId="33" fillId="27" borderId="161" xfId="0" applyNumberFormat="1" applyFont="1" applyFill="1" applyBorder="1" applyAlignment="1" applyProtection="1">
      <alignment horizontal="left" vertical="center"/>
      <protection hidden="1"/>
    </xf>
    <xf numFmtId="0" fontId="33" fillId="0" borderId="0" xfId="0" applyFont="1" applyAlignment="1" applyProtection="1">
      <protection hidden="1"/>
    </xf>
    <xf numFmtId="0" fontId="33" fillId="31" borderId="10" xfId="0" applyFont="1" applyFill="1" applyBorder="1" applyAlignment="1">
      <alignment horizontal="center" vertical="center"/>
    </xf>
    <xf numFmtId="0" fontId="38" fillId="31" borderId="26" xfId="44" applyFont="1" applyFill="1" applyBorder="1" applyAlignment="1" applyProtection="1">
      <alignment horizontal="center" vertical="center"/>
      <protection hidden="1"/>
    </xf>
    <xf numFmtId="0" fontId="41" fillId="31" borderId="10" xfId="44" applyFont="1" applyFill="1" applyBorder="1" applyAlignment="1" applyProtection="1">
      <alignment horizontal="center" vertical="center"/>
      <protection hidden="1"/>
    </xf>
    <xf numFmtId="0" fontId="38" fillId="31" borderId="10" xfId="44" applyFont="1" applyFill="1" applyBorder="1" applyAlignment="1" applyProtection="1">
      <alignment horizontal="center" vertical="center"/>
      <protection hidden="1"/>
    </xf>
    <xf numFmtId="0" fontId="31" fillId="0" borderId="0" xfId="0" applyFont="1" applyAlignment="1">
      <alignment horizontal="right" vertical="center"/>
    </xf>
    <xf numFmtId="0" fontId="33" fillId="31" borderId="10" xfId="0" applyFont="1" applyFill="1" applyBorder="1">
      <alignment vertical="center"/>
    </xf>
    <xf numFmtId="178" fontId="33" fillId="27" borderId="10" xfId="0" applyNumberFormat="1" applyFont="1" applyFill="1" applyBorder="1">
      <alignment vertical="center"/>
    </xf>
    <xf numFmtId="178" fontId="33" fillId="27" borderId="26" xfId="0" applyNumberFormat="1" applyFont="1" applyFill="1" applyBorder="1">
      <alignment vertical="center"/>
    </xf>
    <xf numFmtId="9" fontId="33" fillId="27" borderId="10" xfId="0" applyNumberFormat="1" applyFont="1" applyFill="1" applyBorder="1">
      <alignment vertical="center"/>
    </xf>
    <xf numFmtId="177" fontId="125" fillId="27" borderId="144" xfId="0" applyNumberFormat="1" applyFont="1" applyFill="1" applyBorder="1">
      <alignment vertical="center"/>
    </xf>
    <xf numFmtId="9" fontId="31" fillId="27" borderId="10" xfId="28" applyFont="1" applyFill="1" applyBorder="1" applyAlignment="1" applyProtection="1">
      <alignment vertical="center"/>
    </xf>
    <xf numFmtId="0" fontId="46" fillId="0" borderId="0" xfId="0" applyFont="1" applyAlignment="1">
      <alignment horizontal="left" vertical="center"/>
    </xf>
    <xf numFmtId="0" fontId="68" fillId="0" borderId="0" xfId="0" applyFont="1" applyAlignment="1">
      <alignment vertical="top" wrapText="1"/>
    </xf>
    <xf numFmtId="176" fontId="33" fillId="0" borderId="0" xfId="0" applyNumberFormat="1" applyFont="1" applyAlignment="1" applyProtection="1">
      <alignment horizontal="center" vertical="center"/>
      <protection hidden="1"/>
    </xf>
    <xf numFmtId="0" fontId="33" fillId="27" borderId="87" xfId="0" applyFont="1" applyFill="1" applyBorder="1" applyAlignment="1">
      <alignment horizontal="left" vertical="center" wrapText="1"/>
    </xf>
    <xf numFmtId="0" fontId="12" fillId="43" borderId="0" xfId="0" applyFont="1" applyFill="1">
      <alignment vertical="center"/>
    </xf>
    <xf numFmtId="0" fontId="33" fillId="27" borderId="167" xfId="0" applyFont="1" applyFill="1" applyBorder="1" applyAlignment="1">
      <alignment horizontal="left" vertical="center" wrapText="1"/>
    </xf>
    <xf numFmtId="0" fontId="32" fillId="0" borderId="0" xfId="0" applyFont="1" applyProtection="1">
      <alignment vertical="center"/>
      <protection hidden="1"/>
    </xf>
    <xf numFmtId="0" fontId="33" fillId="27" borderId="163" xfId="0" applyFont="1" applyFill="1" applyBorder="1" applyAlignment="1" applyProtection="1">
      <alignment horizontal="left" vertical="top" wrapText="1"/>
      <protection hidden="1"/>
    </xf>
    <xf numFmtId="0" fontId="31" fillId="27" borderId="51" xfId="0" applyFont="1" applyFill="1" applyBorder="1" applyAlignment="1" applyProtection="1">
      <alignment horizontal="center" vertical="center"/>
      <protection hidden="1"/>
    </xf>
    <xf numFmtId="0" fontId="46" fillId="27" borderId="55" xfId="0" applyFont="1" applyFill="1" applyBorder="1" applyProtection="1">
      <alignment vertical="center"/>
      <protection hidden="1"/>
    </xf>
    <xf numFmtId="0" fontId="33" fillId="27" borderId="167" xfId="0" applyFont="1" applyFill="1" applyBorder="1" applyAlignment="1" applyProtection="1">
      <alignment horizontal="center" vertical="center"/>
      <protection hidden="1"/>
    </xf>
    <xf numFmtId="0" fontId="33" fillId="27" borderId="182" xfId="0" applyFont="1" applyFill="1" applyBorder="1" applyAlignment="1" applyProtection="1">
      <alignment horizontal="center" vertical="center"/>
      <protection hidden="1"/>
    </xf>
    <xf numFmtId="0" fontId="33" fillId="27" borderId="181" xfId="0" applyFont="1" applyFill="1" applyBorder="1" applyAlignment="1" applyProtection="1">
      <alignment horizontal="center" vertical="center"/>
      <protection hidden="1"/>
    </xf>
    <xf numFmtId="0" fontId="33" fillId="27" borderId="156" xfId="0" applyFont="1" applyFill="1" applyBorder="1" applyAlignment="1" applyProtection="1">
      <alignment horizontal="center" vertical="center" wrapText="1"/>
      <protection hidden="1"/>
    </xf>
    <xf numFmtId="0" fontId="33" fillId="27" borderId="183" xfId="0" applyFont="1" applyFill="1" applyBorder="1" applyAlignment="1" applyProtection="1">
      <alignment horizontal="center" vertical="center" wrapText="1"/>
      <protection hidden="1"/>
    </xf>
    <xf numFmtId="0" fontId="33" fillId="27" borderId="158" xfId="0" applyFont="1" applyFill="1" applyBorder="1" applyAlignment="1" applyProtection="1">
      <alignment horizontal="center" vertical="center" wrapText="1"/>
      <protection hidden="1"/>
    </xf>
    <xf numFmtId="0" fontId="33" fillId="27" borderId="12" xfId="0" applyFont="1" applyFill="1" applyBorder="1" applyAlignment="1" applyProtection="1">
      <alignment horizontal="center" vertical="center"/>
      <protection hidden="1"/>
    </xf>
    <xf numFmtId="0" fontId="33" fillId="27" borderId="14" xfId="0" applyFont="1" applyFill="1" applyBorder="1" applyAlignment="1" applyProtection="1">
      <alignment horizontal="center" vertical="center"/>
      <protection hidden="1"/>
    </xf>
    <xf numFmtId="0" fontId="33" fillId="27" borderId="161" xfId="0" applyFont="1" applyFill="1" applyBorder="1" applyAlignment="1" applyProtection="1">
      <alignment horizontal="center" vertical="center"/>
      <protection hidden="1"/>
    </xf>
    <xf numFmtId="0" fontId="33" fillId="27" borderId="184" xfId="0" applyFont="1" applyFill="1" applyBorder="1" applyAlignment="1" applyProtection="1">
      <alignment horizontal="center" vertical="center"/>
      <protection hidden="1"/>
    </xf>
    <xf numFmtId="0" fontId="33" fillId="27" borderId="162" xfId="0" applyFont="1" applyFill="1" applyBorder="1" applyAlignment="1" applyProtection="1">
      <alignment horizontal="center" vertical="center"/>
      <protection hidden="1"/>
    </xf>
    <xf numFmtId="0" fontId="46" fillId="27" borderId="51" xfId="0" applyFont="1" applyFill="1" applyBorder="1" applyProtection="1">
      <alignment vertical="center"/>
      <protection hidden="1"/>
    </xf>
    <xf numFmtId="0" fontId="33" fillId="27" borderId="158" xfId="0" applyFont="1" applyFill="1" applyBorder="1" applyAlignment="1" applyProtection="1">
      <alignment horizontal="center" vertical="center"/>
      <protection hidden="1"/>
    </xf>
    <xf numFmtId="0" fontId="33" fillId="0" borderId="0" xfId="0" applyFont="1" applyAlignment="1">
      <alignment horizontal="left" vertical="center" wrapText="1"/>
    </xf>
    <xf numFmtId="192" fontId="33" fillId="0" borderId="0" xfId="35" applyNumberFormat="1" applyFont="1" applyFill="1" applyBorder="1" applyAlignment="1" applyProtection="1">
      <alignment horizontal="center" vertical="center"/>
      <protection hidden="1"/>
    </xf>
    <xf numFmtId="0" fontId="33" fillId="0" borderId="0" xfId="0" applyFont="1" applyAlignment="1">
      <alignment horizontal="left" vertical="top" wrapText="1"/>
    </xf>
    <xf numFmtId="176" fontId="33" fillId="27" borderId="13" xfId="0" applyNumberFormat="1" applyFont="1" applyFill="1" applyBorder="1" applyAlignment="1" applyProtection="1">
      <alignment horizontal="left" vertical="center"/>
      <protection hidden="1"/>
    </xf>
    <xf numFmtId="176" fontId="33" fillId="27" borderId="163" xfId="0" applyNumberFormat="1" applyFont="1" applyFill="1" applyBorder="1" applyAlignment="1" applyProtection="1">
      <alignment horizontal="left" vertical="center"/>
      <protection hidden="1"/>
    </xf>
    <xf numFmtId="0" fontId="46" fillId="0" borderId="0" xfId="44" applyFont="1"/>
    <xf numFmtId="0" fontId="29" fillId="0" borderId="0" xfId="44" applyFont="1" applyAlignment="1">
      <alignment vertical="center"/>
    </xf>
    <xf numFmtId="0" fontId="125" fillId="0" borderId="0" xfId="44" applyFont="1" applyAlignment="1">
      <alignment vertical="center"/>
    </xf>
    <xf numFmtId="0" fontId="38" fillId="0" borderId="0" xfId="44" applyFont="1"/>
    <xf numFmtId="0" fontId="38" fillId="41" borderId="26" xfId="44" applyFont="1" applyFill="1" applyBorder="1" applyAlignment="1">
      <alignment horizontal="left"/>
    </xf>
    <xf numFmtId="0" fontId="38" fillId="41" borderId="50" xfId="44" applyFont="1" applyFill="1" applyBorder="1" applyAlignment="1">
      <alignment horizontal="center"/>
    </xf>
    <xf numFmtId="0" fontId="38" fillId="41" borderId="50" xfId="44" applyFont="1" applyFill="1" applyBorder="1" applyAlignment="1">
      <alignment horizontal="left"/>
    </xf>
    <xf numFmtId="0" fontId="38" fillId="41" borderId="27" xfId="44" applyFont="1" applyFill="1" applyBorder="1"/>
    <xf numFmtId="0" fontId="38" fillId="0" borderId="0" xfId="44" applyFont="1" applyAlignment="1">
      <alignment horizontal="left"/>
    </xf>
    <xf numFmtId="0" fontId="38" fillId="0" borderId="0" xfId="44" applyFont="1" applyAlignment="1">
      <alignment vertical="center"/>
    </xf>
    <xf numFmtId="0" fontId="38" fillId="41" borderId="26" xfId="44" applyFont="1" applyFill="1" applyBorder="1" applyAlignment="1" applyProtection="1">
      <alignment horizontal="left" vertical="center"/>
      <protection hidden="1"/>
    </xf>
    <xf numFmtId="0" fontId="38" fillId="41" borderId="27" xfId="44" applyFont="1" applyFill="1" applyBorder="1" applyAlignment="1">
      <alignment horizontal="left"/>
    </xf>
    <xf numFmtId="0" fontId="38" fillId="27" borderId="26" xfId="44" applyFont="1" applyFill="1" applyBorder="1"/>
    <xf numFmtId="0" fontId="38" fillId="27" borderId="50" xfId="44" applyFont="1" applyFill="1" applyBorder="1" applyAlignment="1">
      <alignment horizontal="left"/>
    </xf>
    <xf numFmtId="0" fontId="38" fillId="27" borderId="50" xfId="44" applyFont="1" applyFill="1" applyBorder="1"/>
    <xf numFmtId="0" fontId="38" fillId="27" borderId="27" xfId="44" applyFont="1" applyFill="1" applyBorder="1"/>
    <xf numFmtId="0" fontId="38" fillId="31" borderId="10" xfId="44" applyFont="1" applyFill="1" applyBorder="1" applyAlignment="1">
      <alignment horizontal="center"/>
    </xf>
    <xf numFmtId="0" fontId="38" fillId="41" borderId="10" xfId="44" applyFont="1" applyFill="1" applyBorder="1" applyAlignment="1">
      <alignment horizontal="center"/>
    </xf>
    <xf numFmtId="0" fontId="38" fillId="31" borderId="0" xfId="44" applyFont="1" applyFill="1" applyAlignment="1">
      <alignment horizontal="left"/>
    </xf>
    <xf numFmtId="0" fontId="38" fillId="31" borderId="0" xfId="44" applyFont="1" applyFill="1" applyAlignment="1">
      <alignment vertical="center"/>
    </xf>
    <xf numFmtId="0" fontId="38" fillId="31" borderId="26" xfId="44" applyFont="1" applyFill="1" applyBorder="1" applyAlignment="1">
      <alignment horizontal="center"/>
    </xf>
    <xf numFmtId="0" fontId="38" fillId="27" borderId="52" xfId="44" applyFont="1" applyFill="1" applyBorder="1"/>
    <xf numFmtId="0" fontId="38" fillId="27" borderId="53" xfId="44" applyFont="1" applyFill="1" applyBorder="1" applyAlignment="1">
      <alignment horizontal="left"/>
    </xf>
    <xf numFmtId="178" fontId="158" fillId="0" borderId="10" xfId="44" applyNumberFormat="1" applyFont="1" applyBorder="1"/>
    <xf numFmtId="0" fontId="38" fillId="27" borderId="64" xfId="44" applyFont="1" applyFill="1" applyBorder="1"/>
    <xf numFmtId="9" fontId="38" fillId="27" borderId="27" xfId="44" applyNumberFormat="1" applyFont="1" applyFill="1" applyBorder="1"/>
    <xf numFmtId="178" fontId="38" fillId="0" borderId="10" xfId="44" applyNumberFormat="1" applyFont="1" applyBorder="1"/>
    <xf numFmtId="0" fontId="38" fillId="31" borderId="52" xfId="44" applyFont="1" applyFill="1" applyBorder="1" applyAlignment="1">
      <alignment horizontal="center"/>
    </xf>
    <xf numFmtId="0" fontId="38" fillId="31" borderId="64" xfId="44" applyFont="1" applyFill="1" applyBorder="1"/>
    <xf numFmtId="0" fontId="38" fillId="31" borderId="17" xfId="44" applyFont="1" applyFill="1" applyBorder="1" applyAlignment="1">
      <alignment horizontal="left"/>
    </xf>
    <xf numFmtId="0" fontId="38" fillId="31" borderId="26" xfId="0" applyFont="1" applyFill="1" applyBorder="1">
      <alignment vertical="center"/>
    </xf>
    <xf numFmtId="9" fontId="38" fillId="31" borderId="27" xfId="44" applyNumberFormat="1" applyFont="1" applyFill="1" applyBorder="1"/>
    <xf numFmtId="0" fontId="38" fillId="31" borderId="15" xfId="44" applyFont="1" applyFill="1" applyBorder="1" applyAlignment="1">
      <alignment horizontal="center"/>
    </xf>
    <xf numFmtId="0" fontId="38" fillId="31" borderId="55" xfId="44" applyFont="1" applyFill="1" applyBorder="1" applyAlignment="1">
      <alignment horizontal="center"/>
    </xf>
    <xf numFmtId="0" fontId="38" fillId="31" borderId="56" xfId="44" applyFont="1" applyFill="1" applyBorder="1"/>
    <xf numFmtId="0" fontId="38" fillId="31" borderId="57" xfId="44" applyFont="1" applyFill="1" applyBorder="1" applyAlignment="1">
      <alignment horizontal="left"/>
    </xf>
    <xf numFmtId="0" fontId="38" fillId="31" borderId="0" xfId="44" applyFont="1" applyFill="1" applyAlignment="1">
      <alignment horizontal="center"/>
    </xf>
    <xf numFmtId="0" fontId="38" fillId="0" borderId="53" xfId="44" applyFont="1" applyBorder="1"/>
    <xf numFmtId="0" fontId="38" fillId="27" borderId="10" xfId="44" applyFont="1" applyFill="1" applyBorder="1" applyAlignment="1">
      <alignment horizontal="center"/>
    </xf>
    <xf numFmtId="0" fontId="38" fillId="27" borderId="53" xfId="44" applyFont="1" applyFill="1" applyBorder="1"/>
    <xf numFmtId="189" fontId="38" fillId="27" borderId="54" xfId="44" applyNumberFormat="1" applyFont="1" applyFill="1" applyBorder="1" applyAlignment="1">
      <alignment horizontal="left"/>
    </xf>
    <xf numFmtId="0" fontId="38" fillId="27" borderId="0" xfId="44" applyFont="1" applyFill="1" applyAlignment="1">
      <alignment horizontal="center"/>
    </xf>
    <xf numFmtId="40" fontId="38" fillId="0" borderId="10" xfId="35" applyNumberFormat="1" applyFont="1" applyFill="1" applyBorder="1" applyAlignment="1"/>
    <xf numFmtId="9" fontId="38" fillId="31" borderId="50" xfId="0" applyNumberFormat="1" applyFont="1" applyFill="1" applyBorder="1">
      <alignment vertical="center"/>
    </xf>
    <xf numFmtId="9" fontId="38" fillId="31" borderId="15" xfId="44" applyNumberFormat="1" applyFont="1" applyFill="1" applyBorder="1" applyAlignment="1">
      <alignment horizontal="center"/>
    </xf>
    <xf numFmtId="0" fontId="38" fillId="27" borderId="56" xfId="44" applyFont="1" applyFill="1" applyBorder="1"/>
    <xf numFmtId="40" fontId="38" fillId="0" borderId="51" xfId="35" applyNumberFormat="1" applyFont="1" applyFill="1" applyBorder="1" applyAlignment="1"/>
    <xf numFmtId="0" fontId="38" fillId="27" borderId="50" xfId="44" applyFont="1" applyFill="1" applyBorder="1" applyAlignment="1">
      <alignment horizontal="center"/>
    </xf>
    <xf numFmtId="9" fontId="38" fillId="31" borderId="53" xfId="0" applyNumberFormat="1" applyFont="1" applyFill="1" applyBorder="1">
      <alignment vertical="center"/>
    </xf>
    <xf numFmtId="40" fontId="38" fillId="25" borderId="51" xfId="35" applyNumberFormat="1" applyFont="1" applyFill="1" applyBorder="1" applyAlignment="1"/>
    <xf numFmtId="0" fontId="38" fillId="0" borderId="53" xfId="44" applyFont="1" applyBorder="1" applyAlignment="1">
      <alignment horizontal="left"/>
    </xf>
    <xf numFmtId="0" fontId="38" fillId="0" borderId="52" xfId="44" applyFont="1" applyBorder="1"/>
    <xf numFmtId="0" fontId="38" fillId="0" borderId="54" xfId="44" applyFont="1" applyBorder="1"/>
    <xf numFmtId="0" fontId="33" fillId="0" borderId="0" xfId="44" applyFont="1"/>
    <xf numFmtId="0" fontId="38" fillId="0" borderId="17" xfId="44" applyFont="1" applyBorder="1"/>
    <xf numFmtId="0" fontId="38" fillId="0" borderId="64" xfId="44" applyFont="1" applyBorder="1"/>
    <xf numFmtId="0" fontId="33" fillId="0" borderId="56" xfId="44" applyFont="1" applyBorder="1"/>
    <xf numFmtId="0" fontId="38" fillId="0" borderId="57" xfId="44" applyFont="1" applyBorder="1"/>
    <xf numFmtId="0" fontId="38" fillId="0" borderId="58" xfId="44" applyFont="1" applyBorder="1"/>
    <xf numFmtId="198" fontId="38" fillId="0" borderId="0" xfId="44" applyNumberFormat="1" applyFont="1"/>
    <xf numFmtId="189" fontId="38" fillId="27" borderId="27" xfId="44" applyNumberFormat="1" applyFont="1" applyFill="1" applyBorder="1" applyAlignment="1">
      <alignment horizontal="left"/>
    </xf>
    <xf numFmtId="9" fontId="38" fillId="0" borderId="10" xfId="28" applyFont="1" applyFill="1" applyBorder="1" applyAlignment="1"/>
    <xf numFmtId="0" fontId="38" fillId="0" borderId="10" xfId="44" applyFont="1" applyBorder="1"/>
    <xf numFmtId="0" fontId="29" fillId="0" borderId="0" xfId="44" applyFont="1"/>
    <xf numFmtId="0" fontId="38" fillId="0" borderId="0" xfId="44" applyFont="1" applyAlignment="1" applyProtection="1">
      <alignment horizontal="left" vertical="center"/>
      <protection hidden="1"/>
    </xf>
    <xf numFmtId="38" fontId="38" fillId="0" borderId="10" xfId="35" applyFont="1" applyBorder="1" applyAlignment="1"/>
    <xf numFmtId="38" fontId="38" fillId="0" borderId="0" xfId="35" applyFont="1" applyBorder="1" applyAlignment="1"/>
    <xf numFmtId="188" fontId="38" fillId="0" borderId="10" xfId="44" applyNumberFormat="1" applyFont="1" applyBorder="1"/>
    <xf numFmtId="0" fontId="46" fillId="0" borderId="57" xfId="0" applyFont="1" applyBorder="1">
      <alignment vertical="center"/>
    </xf>
    <xf numFmtId="0" fontId="0" fillId="0" borderId="57" xfId="0" applyBorder="1">
      <alignment vertical="center"/>
    </xf>
    <xf numFmtId="0" fontId="38" fillId="27" borderId="10" xfId="0" applyFont="1" applyFill="1" applyBorder="1" applyAlignment="1">
      <alignment horizontal="center" vertical="center" wrapText="1"/>
    </xf>
    <xf numFmtId="0" fontId="38" fillId="27" borderId="10" xfId="0" applyFont="1" applyFill="1" applyBorder="1" applyAlignment="1">
      <alignment horizontal="center" vertical="center"/>
    </xf>
    <xf numFmtId="0" fontId="38" fillId="27" borderId="51" xfId="0" applyFont="1" applyFill="1" applyBorder="1" applyAlignment="1">
      <alignment horizontal="center" vertical="center" wrapText="1"/>
    </xf>
    <xf numFmtId="190" fontId="38" fillId="27" borderId="10" xfId="0" applyNumberFormat="1" applyFont="1" applyFill="1" applyBorder="1" applyAlignment="1">
      <alignment horizontal="center" vertical="center"/>
    </xf>
    <xf numFmtId="0" fontId="38" fillId="27" borderId="55" xfId="0" applyFont="1" applyFill="1" applyBorder="1" applyAlignment="1">
      <alignment horizontal="center" vertical="center"/>
    </xf>
    <xf numFmtId="0" fontId="38" fillId="27" borderId="27" xfId="0" applyFont="1" applyFill="1" applyBorder="1" applyAlignment="1">
      <alignment horizontal="center" vertical="center" wrapText="1"/>
    </xf>
    <xf numFmtId="196" fontId="38" fillId="27" borderId="10" xfId="0" applyNumberFormat="1" applyFont="1" applyFill="1" applyBorder="1" applyAlignment="1">
      <alignment horizontal="center" vertical="center"/>
    </xf>
    <xf numFmtId="0" fontId="38" fillId="27" borderId="10" xfId="0" applyFont="1" applyFill="1" applyBorder="1" applyAlignment="1">
      <alignment vertical="center" wrapText="1"/>
    </xf>
    <xf numFmtId="0" fontId="38" fillId="27" borderId="15" xfId="0" applyFont="1" applyFill="1" applyBorder="1" applyAlignment="1">
      <alignment horizontal="center" vertical="center" wrapText="1"/>
    </xf>
    <xf numFmtId="179" fontId="38" fillId="27" borderId="10" xfId="0" applyNumberFormat="1" applyFont="1" applyFill="1" applyBorder="1" applyAlignment="1">
      <alignment horizontal="center" vertical="center"/>
    </xf>
    <xf numFmtId="0" fontId="38" fillId="27" borderId="10" xfId="0" applyFont="1" applyFill="1" applyBorder="1" applyAlignment="1">
      <alignment horizontal="left" vertical="center" wrapText="1"/>
    </xf>
    <xf numFmtId="0" fontId="38" fillId="27" borderId="10" xfId="0" applyFont="1" applyFill="1" applyBorder="1" applyAlignment="1">
      <alignment horizontal="left" vertical="center" wrapText="1" shrinkToFit="1"/>
    </xf>
    <xf numFmtId="0" fontId="38" fillId="27" borderId="10" xfId="0" applyFont="1" applyFill="1" applyBorder="1" applyAlignment="1">
      <alignment horizontal="center" vertical="center" wrapText="1" shrinkToFit="1"/>
    </xf>
    <xf numFmtId="0" fontId="38" fillId="27" borderId="51" xfId="0" applyFont="1" applyFill="1" applyBorder="1" applyAlignment="1">
      <alignment horizontal="left" vertical="center" wrapText="1"/>
    </xf>
    <xf numFmtId="0" fontId="38" fillId="27" borderId="51" xfId="0" applyFont="1" applyFill="1" applyBorder="1" applyAlignment="1">
      <alignment horizontal="center" vertical="center" wrapText="1" shrinkToFit="1"/>
    </xf>
    <xf numFmtId="0" fontId="38" fillId="27" borderId="51" xfId="0" applyFont="1" applyFill="1" applyBorder="1" applyAlignment="1">
      <alignment vertical="center" wrapText="1"/>
    </xf>
    <xf numFmtId="0" fontId="38" fillId="27" borderId="64" xfId="0" applyFont="1" applyFill="1" applyBorder="1" applyAlignment="1">
      <alignment horizontal="center" vertical="center" wrapText="1"/>
    </xf>
    <xf numFmtId="0" fontId="38" fillId="27" borderId="26" xfId="0" applyFont="1" applyFill="1" applyBorder="1" applyAlignment="1">
      <alignment horizontal="left" vertical="center"/>
    </xf>
    <xf numFmtId="0" fontId="38" fillId="27" borderId="50" xfId="0" applyFont="1" applyFill="1" applyBorder="1" applyAlignment="1">
      <alignment horizontal="left" vertical="center" wrapText="1"/>
    </xf>
    <xf numFmtId="0" fontId="38" fillId="27" borderId="50" xfId="0" applyFont="1" applyFill="1" applyBorder="1" applyAlignment="1">
      <alignment horizontal="left" vertical="center" wrapText="1" shrinkToFit="1"/>
    </xf>
    <xf numFmtId="0" fontId="38" fillId="27" borderId="27" xfId="0" applyFont="1" applyFill="1" applyBorder="1" applyAlignment="1">
      <alignment vertical="center" wrapText="1"/>
    </xf>
    <xf numFmtId="0" fontId="38" fillId="27" borderId="159" xfId="0" applyFont="1" applyFill="1" applyBorder="1" applyAlignment="1">
      <alignment horizontal="center" vertical="center" wrapText="1"/>
    </xf>
    <xf numFmtId="40" fontId="38" fillId="27" borderId="159" xfId="0" applyNumberFormat="1" applyFont="1" applyFill="1" applyBorder="1" applyAlignment="1">
      <alignment horizontal="center" vertical="center" wrapText="1"/>
    </xf>
    <xf numFmtId="178" fontId="38" fillId="27" borderId="159" xfId="0" applyNumberFormat="1" applyFont="1" applyFill="1" applyBorder="1" applyAlignment="1">
      <alignment horizontal="center" vertical="center" wrapText="1" shrinkToFit="1"/>
    </xf>
    <xf numFmtId="0" fontId="38" fillId="27" borderId="16" xfId="0" applyFont="1" applyFill="1" applyBorder="1" applyAlignment="1">
      <alignment vertical="center" wrapText="1"/>
    </xf>
    <xf numFmtId="0" fontId="38" fillId="27" borderId="11" xfId="0" applyFont="1" applyFill="1" applyBorder="1" applyAlignment="1">
      <alignment horizontal="center" vertical="center" wrapText="1"/>
    </xf>
    <xf numFmtId="40" fontId="38" fillId="27" borderId="11" xfId="0" applyNumberFormat="1" applyFont="1" applyFill="1" applyBorder="1" applyAlignment="1">
      <alignment horizontal="center" vertical="center" wrapText="1"/>
    </xf>
    <xf numFmtId="178" fontId="38" fillId="27" borderId="11" xfId="0" applyNumberFormat="1" applyFont="1" applyFill="1" applyBorder="1" applyAlignment="1">
      <alignment horizontal="center" vertical="center" wrapText="1" shrinkToFit="1"/>
    </xf>
    <xf numFmtId="0" fontId="38" fillId="27" borderId="159" xfId="0" applyFont="1" applyFill="1" applyBorder="1" applyAlignment="1">
      <alignment vertical="center" wrapText="1"/>
    </xf>
    <xf numFmtId="0" fontId="38" fillId="27" borderId="11" xfId="0" applyFont="1" applyFill="1" applyBorder="1" applyAlignment="1">
      <alignment vertical="center" wrapText="1"/>
    </xf>
    <xf numFmtId="0" fontId="38" fillId="27" borderId="169" xfId="0" applyFont="1" applyFill="1" applyBorder="1" applyAlignment="1">
      <alignment horizontal="center" vertical="center" wrapText="1"/>
    </xf>
    <xf numFmtId="0" fontId="38" fillId="27" borderId="169" xfId="0" applyFont="1" applyFill="1" applyBorder="1" applyAlignment="1">
      <alignment horizontal="center" vertical="center" wrapText="1" shrinkToFit="1"/>
    </xf>
    <xf numFmtId="0" fontId="38" fillId="27" borderId="169" xfId="0" applyFont="1" applyFill="1" applyBorder="1" applyAlignment="1">
      <alignment vertical="center" wrapText="1"/>
    </xf>
    <xf numFmtId="0" fontId="38" fillId="27" borderId="53" xfId="0" applyFont="1" applyFill="1" applyBorder="1" applyAlignment="1">
      <alignment horizontal="left" vertical="center" wrapText="1" shrinkToFit="1"/>
    </xf>
    <xf numFmtId="0" fontId="38" fillId="27" borderId="54" xfId="0" applyFont="1" applyFill="1" applyBorder="1">
      <alignment vertical="center"/>
    </xf>
    <xf numFmtId="9" fontId="38" fillId="27" borderId="167" xfId="0" applyNumberFormat="1" applyFont="1" applyFill="1" applyBorder="1" applyAlignment="1">
      <alignment horizontal="center" vertical="center" wrapText="1"/>
    </xf>
    <xf numFmtId="9" fontId="38" fillId="41" borderId="185" xfId="0" applyNumberFormat="1" applyFont="1" applyFill="1" applyBorder="1" applyAlignment="1" applyProtection="1">
      <alignment horizontal="center" vertical="center" wrapText="1"/>
      <protection locked="0"/>
    </xf>
    <xf numFmtId="0" fontId="38" fillId="41" borderId="186" xfId="0" applyFont="1" applyFill="1" applyBorder="1" applyProtection="1">
      <alignment vertical="center"/>
      <protection locked="0"/>
    </xf>
    <xf numFmtId="9" fontId="38" fillId="41" borderId="116" xfId="0" applyNumberFormat="1" applyFont="1" applyFill="1" applyBorder="1" applyAlignment="1" applyProtection="1">
      <alignment horizontal="center" vertical="center" wrapText="1"/>
      <protection locked="0"/>
    </xf>
    <xf numFmtId="0" fontId="38" fillId="41" borderId="117" xfId="0" applyFont="1" applyFill="1" applyBorder="1" applyProtection="1">
      <alignment vertical="center"/>
      <protection locked="0"/>
    </xf>
    <xf numFmtId="0" fontId="38" fillId="27" borderId="160" xfId="0" applyFont="1" applyFill="1" applyBorder="1" applyAlignment="1">
      <alignment horizontal="center" vertical="center" wrapText="1"/>
    </xf>
    <xf numFmtId="9" fontId="38" fillId="27" borderId="161" xfId="0" applyNumberFormat="1" applyFont="1" applyFill="1" applyBorder="1" applyAlignment="1">
      <alignment horizontal="center" vertical="center" wrapText="1" shrinkToFit="1"/>
    </xf>
    <xf numFmtId="0" fontId="38" fillId="27" borderId="15" xfId="0" applyFont="1" applyFill="1" applyBorder="1" applyAlignment="1">
      <alignment vertical="center" wrapText="1"/>
    </xf>
    <xf numFmtId="0" fontId="38" fillId="27" borderId="54" xfId="0" applyFont="1" applyFill="1" applyBorder="1" applyAlignment="1">
      <alignment horizontal="center" vertical="center" wrapText="1"/>
    </xf>
    <xf numFmtId="179" fontId="38" fillId="27" borderId="51" xfId="0" applyNumberFormat="1" applyFont="1" applyFill="1" applyBorder="1" applyAlignment="1">
      <alignment horizontal="center" vertical="center"/>
    </xf>
    <xf numFmtId="179" fontId="38" fillId="27" borderId="15" xfId="0" applyNumberFormat="1" applyFont="1" applyFill="1" applyBorder="1" applyAlignment="1">
      <alignment horizontal="center" vertical="center"/>
    </xf>
    <xf numFmtId="0" fontId="38" fillId="27" borderId="26" xfId="0" applyFont="1" applyFill="1" applyBorder="1" applyAlignment="1">
      <alignment horizontal="center" vertical="center" wrapText="1"/>
    </xf>
    <xf numFmtId="0" fontId="38" fillId="27" borderId="50" xfId="0" applyFont="1" applyFill="1" applyBorder="1" applyAlignment="1">
      <alignment horizontal="center" vertical="center"/>
    </xf>
    <xf numFmtId="0" fontId="38" fillId="27" borderId="58" xfId="0" applyFont="1" applyFill="1" applyBorder="1" applyAlignment="1">
      <alignment horizontal="center" vertical="center" wrapText="1"/>
    </xf>
    <xf numFmtId="196" fontId="38" fillId="27" borderId="15" xfId="0" applyNumberFormat="1" applyFont="1" applyFill="1" applyBorder="1" applyAlignment="1">
      <alignment horizontal="center" vertical="center"/>
    </xf>
    <xf numFmtId="196" fontId="38" fillId="27" borderId="11" xfId="0" applyNumberFormat="1" applyFont="1" applyFill="1" applyBorder="1" applyAlignment="1">
      <alignment horizontal="center" vertical="center"/>
    </xf>
    <xf numFmtId="9" fontId="38" fillId="27" borderId="15" xfId="0" applyNumberFormat="1" applyFont="1" applyFill="1" applyBorder="1" applyAlignment="1">
      <alignment horizontal="center" vertical="center"/>
    </xf>
    <xf numFmtId="0" fontId="38" fillId="27" borderId="15" xfId="0" applyFont="1" applyFill="1" applyBorder="1">
      <alignment vertical="center"/>
    </xf>
    <xf numFmtId="9" fontId="38" fillId="27" borderId="11" xfId="0" applyNumberFormat="1" applyFont="1" applyFill="1" applyBorder="1" applyAlignment="1">
      <alignment horizontal="center" vertical="center"/>
    </xf>
    <xf numFmtId="0" fontId="38" fillId="27" borderId="11" xfId="0" applyFont="1" applyFill="1" applyBorder="1">
      <alignment vertical="center"/>
    </xf>
    <xf numFmtId="9" fontId="38" fillId="27" borderId="55" xfId="0" applyNumberFormat="1" applyFont="1" applyFill="1" applyBorder="1" applyAlignment="1">
      <alignment horizontal="center" vertical="center"/>
    </xf>
    <xf numFmtId="0" fontId="38" fillId="27" borderId="55" xfId="0" applyFont="1" applyFill="1" applyBorder="1">
      <alignment vertical="center"/>
    </xf>
    <xf numFmtId="0" fontId="38" fillId="27" borderId="55" xfId="0" applyFont="1" applyFill="1" applyBorder="1" applyAlignment="1">
      <alignment horizontal="center" vertical="center" wrapText="1"/>
    </xf>
    <xf numFmtId="0" fontId="38" fillId="27" borderId="50" xfId="0" applyFont="1" applyFill="1" applyBorder="1" applyAlignment="1">
      <alignment horizontal="center" vertical="center" wrapText="1"/>
    </xf>
    <xf numFmtId="0" fontId="38" fillId="27" borderId="27" xfId="0" applyFont="1" applyFill="1" applyBorder="1">
      <alignment vertical="center"/>
    </xf>
    <xf numFmtId="179" fontId="38" fillId="27" borderId="159" xfId="0" quotePrefix="1" applyNumberFormat="1" applyFont="1" applyFill="1" applyBorder="1" applyAlignment="1">
      <alignment horizontal="center" vertical="center"/>
    </xf>
    <xf numFmtId="178" fontId="38" fillId="27" borderId="159" xfId="0" applyNumberFormat="1" applyFont="1" applyFill="1" applyBorder="1" applyAlignment="1">
      <alignment horizontal="center" vertical="center"/>
    </xf>
    <xf numFmtId="179" fontId="38" fillId="27" borderId="11" xfId="0" applyNumberFormat="1" applyFont="1" applyFill="1" applyBorder="1" applyAlignment="1">
      <alignment horizontal="center" vertical="center" wrapText="1"/>
    </xf>
    <xf numFmtId="179" fontId="38" fillId="27" borderId="11" xfId="0" applyNumberFormat="1" applyFont="1" applyFill="1" applyBorder="1" applyAlignment="1">
      <alignment horizontal="center" vertical="center"/>
    </xf>
    <xf numFmtId="0" fontId="38" fillId="27" borderId="11" xfId="0" applyFont="1" applyFill="1" applyBorder="1" applyAlignment="1" applyProtection="1">
      <alignment vertical="center" wrapText="1"/>
      <protection locked="0"/>
    </xf>
    <xf numFmtId="179" fontId="38" fillId="27" borderId="15" xfId="0" applyNumberFormat="1" applyFont="1" applyFill="1" applyBorder="1" applyAlignment="1">
      <alignment horizontal="right" vertical="center" wrapText="1"/>
    </xf>
    <xf numFmtId="179" fontId="38" fillId="27" borderId="159" xfId="0" applyNumberFormat="1" applyFont="1" applyFill="1" applyBorder="1" applyAlignment="1">
      <alignment horizontal="right" vertical="center" wrapText="1"/>
    </xf>
    <xf numFmtId="179" fontId="38" fillId="27" borderId="159" xfId="0" applyNumberFormat="1" applyFont="1" applyFill="1" applyBorder="1" applyAlignment="1">
      <alignment horizontal="center" vertical="center"/>
    </xf>
    <xf numFmtId="0" fontId="38" fillId="27" borderId="159" xfId="0" applyFont="1" applyFill="1" applyBorder="1" applyAlignment="1" applyProtection="1">
      <alignment vertical="center" wrapText="1"/>
      <protection locked="0"/>
    </xf>
    <xf numFmtId="179" fontId="38" fillId="27" borderId="55" xfId="0" applyNumberFormat="1" applyFont="1" applyFill="1" applyBorder="1" applyAlignment="1">
      <alignment horizontal="center" vertical="center"/>
    </xf>
    <xf numFmtId="179" fontId="38" fillId="27" borderId="55" xfId="0" quotePrefix="1" applyNumberFormat="1" applyFont="1" applyFill="1" applyBorder="1" applyAlignment="1">
      <alignment horizontal="center" vertical="center"/>
    </xf>
    <xf numFmtId="0" fontId="38" fillId="27" borderId="55" xfId="0" applyFont="1" applyFill="1" applyBorder="1" applyAlignment="1">
      <alignment vertical="center" wrapText="1"/>
    </xf>
    <xf numFmtId="0" fontId="38" fillId="27" borderId="16" xfId="0" applyFont="1" applyFill="1" applyBorder="1" applyAlignment="1">
      <alignment horizontal="center" vertical="center" wrapText="1"/>
    </xf>
    <xf numFmtId="179" fontId="38" fillId="27" borderId="15" xfId="0" quotePrefix="1" applyNumberFormat="1" applyFont="1" applyFill="1" applyBorder="1" applyAlignment="1">
      <alignment horizontal="center" vertical="center"/>
    </xf>
    <xf numFmtId="0" fontId="38" fillId="27" borderId="11" xfId="0" applyFont="1" applyFill="1" applyBorder="1" applyAlignment="1">
      <alignment horizontal="left" vertical="center" wrapText="1"/>
    </xf>
    <xf numFmtId="179" fontId="38" fillId="27" borderId="11" xfId="0" quotePrefix="1" applyNumberFormat="1" applyFont="1" applyFill="1" applyBorder="1" applyAlignment="1">
      <alignment horizontal="center" vertical="center"/>
    </xf>
    <xf numFmtId="179" fontId="38" fillId="27" borderId="55" xfId="0" applyNumberFormat="1" applyFont="1" applyFill="1" applyBorder="1" applyAlignment="1">
      <alignment horizontal="left" vertical="center" wrapText="1"/>
    </xf>
    <xf numFmtId="38" fontId="38" fillId="27" borderId="51" xfId="35" applyFont="1" applyFill="1" applyBorder="1" applyAlignment="1">
      <alignment horizontal="center" vertical="center" wrapText="1"/>
    </xf>
    <xf numFmtId="0" fontId="38" fillId="27" borderId="51" xfId="0" applyFont="1" applyFill="1" applyBorder="1">
      <alignment vertical="center"/>
    </xf>
    <xf numFmtId="0" fontId="38" fillId="27" borderId="181" xfId="0" applyFont="1" applyFill="1" applyBorder="1" applyAlignment="1">
      <alignment horizontal="center" vertical="center" shrinkToFit="1"/>
    </xf>
    <xf numFmtId="198" fontId="38" fillId="27" borderId="159" xfId="0" applyNumberFormat="1" applyFont="1" applyFill="1" applyBorder="1" applyAlignment="1">
      <alignment horizontal="center" vertical="center"/>
    </xf>
    <xf numFmtId="0" fontId="38" fillId="27" borderId="159" xfId="0" applyFont="1" applyFill="1" applyBorder="1" applyAlignment="1">
      <alignment horizontal="center" vertical="center"/>
    </xf>
    <xf numFmtId="0" fontId="38" fillId="27" borderId="14" xfId="0" applyFont="1" applyFill="1" applyBorder="1" applyAlignment="1">
      <alignment horizontal="center" vertical="center"/>
    </xf>
    <xf numFmtId="0" fontId="38" fillId="27" borderId="11" xfId="0" applyFont="1" applyFill="1" applyBorder="1" applyAlignment="1">
      <alignment horizontal="center" vertical="center"/>
    </xf>
    <xf numFmtId="0" fontId="38" fillId="27" borderId="162" xfId="0" applyFont="1" applyFill="1" applyBorder="1" applyAlignment="1">
      <alignment horizontal="center" vertical="center" wrapText="1"/>
    </xf>
    <xf numFmtId="0" fontId="38" fillId="27" borderId="160" xfId="0" applyFont="1" applyFill="1" applyBorder="1" applyAlignment="1">
      <alignment horizontal="center" vertical="center"/>
    </xf>
    <xf numFmtId="0" fontId="38" fillId="27" borderId="160" xfId="0" applyFont="1" applyFill="1" applyBorder="1" applyAlignment="1" applyProtection="1">
      <alignment vertical="center" wrapText="1"/>
      <protection locked="0"/>
    </xf>
    <xf numFmtId="0" fontId="38" fillId="27" borderId="0" xfId="0" applyFont="1" applyFill="1" applyAlignment="1">
      <alignment horizontal="center" vertical="center" wrapText="1"/>
    </xf>
    <xf numFmtId="0" fontId="38" fillId="41" borderId="55" xfId="0" applyFont="1" applyFill="1" applyBorder="1" applyAlignment="1" applyProtection="1">
      <alignment horizontal="center" vertical="center"/>
      <protection locked="0"/>
    </xf>
    <xf numFmtId="0" fontId="38" fillId="41" borderId="55" xfId="0" applyFont="1" applyFill="1" applyBorder="1" applyProtection="1">
      <alignment vertical="center"/>
      <protection locked="0"/>
    </xf>
    <xf numFmtId="0" fontId="38" fillId="41" borderId="10" xfId="0" applyFont="1" applyFill="1" applyBorder="1" applyAlignment="1" applyProtection="1">
      <alignment horizontal="center" vertical="center"/>
      <protection locked="0"/>
    </xf>
    <xf numFmtId="0" fontId="38" fillId="41" borderId="10" xfId="0" applyFont="1" applyFill="1" applyBorder="1" applyProtection="1">
      <alignment vertical="center"/>
      <protection locked="0"/>
    </xf>
    <xf numFmtId="196" fontId="38" fillId="41" borderId="10" xfId="0" applyNumberFormat="1" applyFont="1" applyFill="1" applyBorder="1" applyAlignment="1" applyProtection="1">
      <alignment horizontal="center" vertical="center"/>
      <protection locked="0"/>
    </xf>
    <xf numFmtId="0" fontId="38" fillId="41" borderId="10" xfId="0" applyFont="1" applyFill="1" applyBorder="1" applyAlignment="1" applyProtection="1">
      <alignment vertical="center" wrapText="1"/>
      <protection locked="0"/>
    </xf>
    <xf numFmtId="179" fontId="38" fillId="41" borderId="10" xfId="0" applyNumberFormat="1" applyFont="1" applyFill="1" applyBorder="1" applyAlignment="1" applyProtection="1">
      <alignment horizontal="center" vertical="center"/>
      <protection locked="0"/>
    </xf>
    <xf numFmtId="0" fontId="38" fillId="41" borderId="10" xfId="0" applyFont="1" applyFill="1" applyBorder="1" applyAlignment="1" applyProtection="1">
      <alignment horizontal="left" vertical="center" wrapText="1"/>
      <protection locked="0"/>
    </xf>
    <xf numFmtId="0" fontId="38" fillId="41" borderId="10" xfId="0" applyFont="1" applyFill="1" applyBorder="1" applyAlignment="1" applyProtection="1">
      <alignment horizontal="left" vertical="center" wrapText="1" shrinkToFit="1"/>
      <protection locked="0"/>
    </xf>
    <xf numFmtId="0" fontId="38" fillId="41" borderId="10" xfId="0" applyFont="1" applyFill="1" applyBorder="1" applyAlignment="1" applyProtection="1">
      <alignment horizontal="center" vertical="center" wrapText="1" shrinkToFit="1"/>
      <protection locked="0"/>
    </xf>
    <xf numFmtId="0" fontId="38" fillId="41" borderId="16" xfId="0" applyFont="1" applyFill="1" applyBorder="1" applyAlignment="1" applyProtection="1">
      <alignment horizontal="center" vertical="center" wrapText="1"/>
      <protection locked="0"/>
    </xf>
    <xf numFmtId="0" fontId="38" fillId="41" borderId="16" xfId="0" applyFont="1" applyFill="1" applyBorder="1" applyAlignment="1" applyProtection="1">
      <alignment horizontal="center" vertical="center" wrapText="1" shrinkToFit="1"/>
      <protection locked="0"/>
    </xf>
    <xf numFmtId="0" fontId="38" fillId="41" borderId="16" xfId="0" applyFont="1" applyFill="1" applyBorder="1" applyAlignment="1" applyProtection="1">
      <alignment vertical="center" wrapText="1"/>
      <protection locked="0"/>
    </xf>
    <xf numFmtId="0" fontId="38" fillId="27" borderId="11" xfId="0" applyFont="1" applyFill="1" applyBorder="1" applyAlignment="1">
      <alignment horizontal="center" vertical="center" shrinkToFit="1"/>
    </xf>
    <xf numFmtId="0" fontId="38" fillId="41" borderId="11" xfId="0" applyFont="1" applyFill="1" applyBorder="1" applyAlignment="1" applyProtection="1">
      <alignment horizontal="center" vertical="center" wrapText="1"/>
      <protection locked="0"/>
    </xf>
    <xf numFmtId="0" fontId="38" fillId="41" borderId="11" xfId="0" applyFont="1" applyFill="1" applyBorder="1" applyAlignment="1" applyProtection="1">
      <alignment horizontal="center" vertical="center" wrapText="1" shrinkToFit="1"/>
      <protection locked="0"/>
    </xf>
    <xf numFmtId="0" fontId="38" fillId="41" borderId="159" xfId="0" applyFont="1" applyFill="1" applyBorder="1" applyAlignment="1" applyProtection="1">
      <alignment vertical="center" wrapText="1"/>
      <protection locked="0"/>
    </xf>
    <xf numFmtId="0" fontId="38" fillId="41" borderId="11" xfId="0" applyFont="1" applyFill="1" applyBorder="1" applyAlignment="1" applyProtection="1">
      <alignment vertical="center" wrapText="1"/>
      <protection locked="0"/>
    </xf>
    <xf numFmtId="0" fontId="38" fillId="41" borderId="169" xfId="0" applyFont="1" applyFill="1" applyBorder="1" applyAlignment="1" applyProtection="1">
      <alignment horizontal="center" vertical="center" wrapText="1"/>
      <protection locked="0"/>
    </xf>
    <xf numFmtId="0" fontId="38" fillId="41" borderId="169" xfId="0" applyFont="1" applyFill="1" applyBorder="1" applyAlignment="1" applyProtection="1">
      <alignment horizontal="center" vertical="center" wrapText="1" shrinkToFit="1"/>
      <protection locked="0"/>
    </xf>
    <xf numFmtId="0" fontId="38" fillId="41" borderId="169" xfId="0" applyFont="1" applyFill="1" applyBorder="1" applyAlignment="1" applyProtection="1">
      <alignment vertical="center" wrapText="1"/>
      <protection locked="0"/>
    </xf>
    <xf numFmtId="0" fontId="38" fillId="41" borderId="159" xfId="0" applyFont="1" applyFill="1" applyBorder="1" applyAlignment="1" applyProtection="1">
      <alignment horizontal="center" vertical="center" wrapText="1"/>
      <protection locked="0"/>
    </xf>
    <xf numFmtId="0" fontId="38" fillId="41" borderId="159" xfId="0" applyFont="1" applyFill="1" applyBorder="1" applyAlignment="1" applyProtection="1">
      <alignment horizontal="center" vertical="center" wrapText="1" shrinkToFit="1"/>
      <protection locked="0"/>
    </xf>
    <xf numFmtId="0" fontId="38" fillId="27" borderId="11" xfId="0" applyFont="1" applyFill="1" applyBorder="1" applyAlignment="1" applyProtection="1">
      <alignment horizontal="center" vertical="center" wrapText="1"/>
      <protection locked="0"/>
    </xf>
    <xf numFmtId="9" fontId="38" fillId="41" borderId="159" xfId="0" applyNumberFormat="1" applyFont="1" applyFill="1" applyBorder="1" applyAlignment="1" applyProtection="1">
      <alignment horizontal="center" vertical="center" wrapText="1"/>
      <protection locked="0"/>
    </xf>
    <xf numFmtId="0" fontId="38" fillId="41" borderId="159" xfId="0" applyFont="1" applyFill="1" applyBorder="1" applyProtection="1">
      <alignment vertical="center"/>
      <protection locked="0"/>
    </xf>
    <xf numFmtId="0" fontId="38" fillId="41" borderId="11" xfId="0" applyFont="1" applyFill="1" applyBorder="1" applyProtection="1">
      <alignment vertical="center"/>
      <protection locked="0"/>
    </xf>
    <xf numFmtId="9" fontId="38" fillId="41" borderId="160" xfId="0" applyNumberFormat="1" applyFont="1" applyFill="1" applyBorder="1" applyAlignment="1" applyProtection="1">
      <alignment horizontal="center" vertical="center" wrapText="1" shrinkToFit="1"/>
      <protection locked="0"/>
    </xf>
    <xf numFmtId="0" fontId="38" fillId="41" borderId="160" xfId="0" applyFont="1" applyFill="1" applyBorder="1" applyProtection="1">
      <alignment vertical="center"/>
      <protection locked="0"/>
    </xf>
    <xf numFmtId="179" fontId="38" fillId="41" borderId="51" xfId="0" applyNumberFormat="1" applyFont="1" applyFill="1" applyBorder="1" applyAlignment="1" applyProtection="1">
      <alignment horizontal="center" vertical="center"/>
      <protection locked="0"/>
    </xf>
    <xf numFmtId="0" fontId="38" fillId="41" borderId="10" xfId="0" applyFont="1" applyFill="1" applyBorder="1" applyAlignment="1" applyProtection="1">
      <alignment horizontal="center" vertical="center" wrapText="1"/>
      <protection locked="0"/>
    </xf>
    <xf numFmtId="178" fontId="38" fillId="41" borderId="159" xfId="0" applyNumberFormat="1" applyFont="1" applyFill="1" applyBorder="1" applyAlignment="1" applyProtection="1">
      <alignment horizontal="center" vertical="center"/>
      <protection locked="0"/>
    </xf>
    <xf numFmtId="0" fontId="38" fillId="27" borderId="17" xfId="0" applyFont="1" applyFill="1" applyBorder="1" applyAlignment="1">
      <alignment horizontal="center" vertical="center" wrapText="1"/>
    </xf>
    <xf numFmtId="178" fontId="38" fillId="41" borderId="11" xfId="0" applyNumberFormat="1" applyFont="1" applyFill="1" applyBorder="1" applyAlignment="1" applyProtection="1">
      <alignment horizontal="center" vertical="center"/>
      <protection locked="0"/>
    </xf>
    <xf numFmtId="178" fontId="38" fillId="41" borderId="15" xfId="0" applyNumberFormat="1" applyFont="1" applyFill="1" applyBorder="1" applyAlignment="1" applyProtection="1">
      <alignment horizontal="center" vertical="center"/>
      <protection locked="0"/>
    </xf>
    <xf numFmtId="179" fontId="38" fillId="41" borderId="55" xfId="0" applyNumberFormat="1" applyFont="1" applyFill="1" applyBorder="1" applyAlignment="1" applyProtection="1">
      <alignment horizontal="center" vertical="center"/>
      <protection locked="0"/>
    </xf>
    <xf numFmtId="0" fontId="38" fillId="41" borderId="160" xfId="0" applyFont="1" applyFill="1" applyBorder="1" applyAlignment="1" applyProtection="1">
      <alignment vertical="center" wrapText="1"/>
      <protection locked="0"/>
    </xf>
    <xf numFmtId="38" fontId="38" fillId="41" borderId="51" xfId="35" applyFont="1" applyFill="1" applyBorder="1" applyAlignment="1" applyProtection="1">
      <alignment horizontal="center" vertical="center" wrapText="1"/>
      <protection locked="0"/>
    </xf>
    <xf numFmtId="0" fontId="38" fillId="41" borderId="51" xfId="0" applyFont="1" applyFill="1" applyBorder="1" applyProtection="1">
      <alignment vertical="center"/>
      <protection locked="0"/>
    </xf>
    <xf numFmtId="0" fontId="38" fillId="41" borderId="159" xfId="0" applyFont="1" applyFill="1" applyBorder="1" applyAlignment="1" applyProtection="1">
      <alignment horizontal="center" vertical="center"/>
      <protection locked="0"/>
    </xf>
    <xf numFmtId="0" fontId="38" fillId="41" borderId="11" xfId="0" applyFont="1" applyFill="1" applyBorder="1" applyAlignment="1" applyProtection="1">
      <alignment horizontal="center" vertical="center"/>
      <protection locked="0"/>
    </xf>
    <xf numFmtId="0" fontId="38" fillId="41" borderId="162" xfId="0" applyFont="1" applyFill="1" applyBorder="1" applyAlignment="1" applyProtection="1">
      <alignment horizontal="center" vertical="center" wrapText="1"/>
      <protection locked="0"/>
    </xf>
    <xf numFmtId="0" fontId="38" fillId="41" borderId="160" xfId="0" applyFont="1" applyFill="1" applyBorder="1" applyAlignment="1" applyProtection="1">
      <alignment horizontal="center" vertical="center"/>
      <protection locked="0"/>
    </xf>
    <xf numFmtId="38" fontId="38" fillId="27" borderId="11" xfId="35" applyFont="1" applyFill="1" applyBorder="1" applyAlignment="1">
      <alignment horizontal="center" vertical="center" wrapText="1" shrinkToFit="1"/>
    </xf>
    <xf numFmtId="0" fontId="38" fillId="27" borderId="169" xfId="0" applyFont="1" applyFill="1" applyBorder="1" applyAlignment="1" applyProtection="1">
      <alignment vertical="center" wrapText="1"/>
      <protection locked="0"/>
    </xf>
    <xf numFmtId="187" fontId="38" fillId="27" borderId="11" xfId="0" applyNumberFormat="1" applyFont="1" applyFill="1" applyBorder="1" applyAlignment="1">
      <alignment horizontal="center" vertical="center" wrapText="1" shrinkToFit="1"/>
    </xf>
    <xf numFmtId="0" fontId="38" fillId="27" borderId="159" xfId="0" applyFont="1" applyFill="1" applyBorder="1" applyAlignment="1">
      <alignment horizontal="left" vertical="center"/>
    </xf>
    <xf numFmtId="40" fontId="38" fillId="27" borderId="169" xfId="0" applyNumberFormat="1" applyFont="1" applyFill="1" applyBorder="1" applyAlignment="1">
      <alignment horizontal="center" vertical="center" wrapText="1"/>
    </xf>
    <xf numFmtId="40" fontId="38" fillId="27" borderId="160" xfId="0" applyNumberFormat="1" applyFont="1" applyFill="1" applyBorder="1" applyAlignment="1">
      <alignment horizontal="center" vertical="center" wrapText="1"/>
    </xf>
    <xf numFmtId="178" fontId="38" fillId="27" borderId="160" xfId="0" applyNumberFormat="1" applyFont="1" applyFill="1" applyBorder="1" applyAlignment="1">
      <alignment horizontal="center" vertical="center" wrapText="1" shrinkToFit="1"/>
    </xf>
    <xf numFmtId="0" fontId="38" fillId="0" borderId="0" xfId="0" applyFont="1" applyAlignment="1">
      <alignment horizontal="left"/>
    </xf>
    <xf numFmtId="0" fontId="38" fillId="0" borderId="0" xfId="0" applyFont="1" applyAlignment="1">
      <alignment shrinkToFit="1"/>
    </xf>
    <xf numFmtId="187" fontId="38" fillId="0" borderId="0" xfId="35" applyNumberFormat="1" applyFont="1" applyFill="1" applyBorder="1" applyAlignment="1"/>
    <xf numFmtId="178" fontId="38" fillId="0" borderId="0" xfId="35" applyNumberFormat="1" applyFont="1" applyFill="1" applyBorder="1" applyAlignment="1"/>
    <xf numFmtId="49" fontId="38" fillId="0" borderId="0" xfId="35" applyNumberFormat="1" applyFont="1" applyFill="1" applyBorder="1" applyAlignment="1">
      <alignment horizontal="center"/>
    </xf>
    <xf numFmtId="2" fontId="38" fillId="0" borderId="0" xfId="0" applyNumberFormat="1" applyFont="1" applyAlignment="1">
      <alignment horizontal="left" shrinkToFit="1"/>
    </xf>
    <xf numFmtId="2" fontId="38" fillId="0" borderId="0" xfId="0" applyNumberFormat="1" applyFont="1" applyAlignment="1">
      <alignment horizontal="center"/>
    </xf>
    <xf numFmtId="0" fontId="12" fillId="0" borderId="0" xfId="0" applyFont="1" applyAlignment="1">
      <alignment horizontal="left" vertical="center" shrinkToFit="1"/>
    </xf>
    <xf numFmtId="178" fontId="147" fillId="0" borderId="0" xfId="35" applyNumberFormat="1" applyFont="1" applyFill="1" applyBorder="1" applyAlignment="1" applyProtection="1">
      <protection hidden="1"/>
    </xf>
    <xf numFmtId="0" fontId="38" fillId="0" borderId="0" xfId="0" applyFont="1" applyAlignment="1" applyProtection="1">
      <alignment shrinkToFit="1"/>
      <protection hidden="1"/>
    </xf>
    <xf numFmtId="0" fontId="148" fillId="0" borderId="0" xfId="0" applyFont="1" applyAlignment="1" applyProtection="1">
      <alignment horizontal="left" vertical="center"/>
      <protection hidden="1"/>
    </xf>
    <xf numFmtId="178" fontId="148" fillId="0" borderId="0" xfId="35" applyNumberFormat="1" applyFont="1" applyFill="1" applyBorder="1" applyAlignment="1" applyProtection="1">
      <protection hidden="1"/>
    </xf>
    <xf numFmtId="178" fontId="38" fillId="0" borderId="0" xfId="35" applyNumberFormat="1" applyFont="1" applyFill="1" applyBorder="1" applyAlignment="1" applyProtection="1">
      <protection hidden="1"/>
    </xf>
    <xf numFmtId="2" fontId="147" fillId="0" borderId="0" xfId="0" applyNumberFormat="1" applyFont="1" applyAlignment="1" applyProtection="1">
      <alignment horizontal="left"/>
      <protection hidden="1"/>
    </xf>
    <xf numFmtId="49" fontId="147" fillId="0" borderId="0" xfId="0" applyNumberFormat="1" applyFont="1" applyProtection="1">
      <alignment vertical="center"/>
      <protection hidden="1"/>
    </xf>
    <xf numFmtId="0" fontId="148" fillId="0" borderId="0" xfId="0" applyFont="1" applyAlignment="1">
      <alignment vertical="center" shrinkToFit="1"/>
    </xf>
    <xf numFmtId="0" fontId="148" fillId="0" borderId="0" xfId="0" applyFont="1">
      <alignment vertical="center"/>
    </xf>
    <xf numFmtId="2" fontId="148" fillId="0" borderId="0" xfId="0" applyNumberFormat="1" applyFont="1" applyAlignment="1" applyProtection="1">
      <alignment horizontal="center"/>
      <protection hidden="1"/>
    </xf>
    <xf numFmtId="0" fontId="148" fillId="0" borderId="0" xfId="0" applyFont="1" applyAlignment="1">
      <alignment horizontal="left" vertical="center" shrinkToFit="1"/>
    </xf>
    <xf numFmtId="1" fontId="147" fillId="0" borderId="0" xfId="0" applyNumberFormat="1" applyFont="1" applyAlignment="1" applyProtection="1">
      <alignment horizontal="center"/>
      <protection hidden="1"/>
    </xf>
    <xf numFmtId="2" fontId="148" fillId="0" borderId="0" xfId="0" applyNumberFormat="1" applyFont="1" applyAlignment="1" applyProtection="1">
      <alignment horizontal="left" shrinkToFit="1"/>
      <protection hidden="1"/>
    </xf>
    <xf numFmtId="0" fontId="12" fillId="35" borderId="52" xfId="0" applyFont="1" applyFill="1" applyBorder="1" applyAlignment="1" applyProtection="1">
      <alignment horizontal="center" vertical="center"/>
      <protection hidden="1"/>
    </xf>
    <xf numFmtId="0" fontId="12" fillId="35" borderId="54" xfId="0" applyFont="1" applyFill="1" applyBorder="1" applyAlignment="1" applyProtection="1">
      <alignment horizontal="center" vertical="center" shrinkToFit="1"/>
      <protection hidden="1"/>
    </xf>
    <xf numFmtId="0" fontId="12" fillId="35" borderId="26" xfId="0" applyFont="1" applyFill="1" applyBorder="1" applyAlignment="1" applyProtection="1">
      <alignment horizontal="centerContinuous" vertical="center"/>
      <protection hidden="1"/>
    </xf>
    <xf numFmtId="0" fontId="12" fillId="35" borderId="27" xfId="0" applyFont="1" applyFill="1" applyBorder="1" applyAlignment="1" applyProtection="1">
      <alignment horizontal="centerContinuous" vertical="center"/>
      <protection hidden="1"/>
    </xf>
    <xf numFmtId="0" fontId="38" fillId="35" borderId="26" xfId="0" applyFont="1" applyFill="1" applyBorder="1" applyAlignment="1" applyProtection="1">
      <alignment horizontal="centerContinuous" vertical="center"/>
      <protection hidden="1"/>
    </xf>
    <xf numFmtId="0" fontId="38" fillId="35" borderId="27" xfId="0" applyFont="1" applyFill="1" applyBorder="1" applyAlignment="1" applyProtection="1">
      <alignment horizontal="centerContinuous" vertical="center"/>
      <protection hidden="1"/>
    </xf>
    <xf numFmtId="178" fontId="38" fillId="35" borderId="10" xfId="35" applyNumberFormat="1" applyFont="1" applyFill="1" applyBorder="1" applyAlignment="1" applyProtection="1">
      <alignment horizontal="centerContinuous" vertical="center"/>
      <protection hidden="1"/>
    </xf>
    <xf numFmtId="0" fontId="38" fillId="35" borderId="50" xfId="0" applyFont="1" applyFill="1" applyBorder="1" applyAlignment="1" applyProtection="1">
      <alignment horizontal="centerContinuous" vertical="center"/>
      <protection hidden="1"/>
    </xf>
    <xf numFmtId="0" fontId="12" fillId="35" borderId="10" xfId="0" applyFont="1" applyFill="1" applyBorder="1" applyAlignment="1" applyProtection="1">
      <alignment horizontal="center" vertical="center"/>
      <protection hidden="1"/>
    </xf>
    <xf numFmtId="0" fontId="12" fillId="35" borderId="10" xfId="0" applyFont="1" applyFill="1" applyBorder="1" applyAlignment="1" applyProtection="1">
      <alignment horizontal="center" vertical="center" shrinkToFit="1"/>
      <protection hidden="1"/>
    </xf>
    <xf numFmtId="2" fontId="38" fillId="35" borderId="10" xfId="0" applyNumberFormat="1" applyFont="1" applyFill="1" applyBorder="1" applyAlignment="1" applyProtection="1">
      <alignment horizontal="center"/>
      <protection hidden="1"/>
    </xf>
    <xf numFmtId="0" fontId="12" fillId="35" borderId="10" xfId="0" applyFont="1" applyFill="1" applyBorder="1" applyAlignment="1" applyProtection="1">
      <alignment horizontal="left" vertical="center" shrinkToFit="1"/>
      <protection hidden="1"/>
    </xf>
    <xf numFmtId="0" fontId="12" fillId="35" borderId="56" xfId="0" applyFont="1" applyFill="1" applyBorder="1" applyAlignment="1" applyProtection="1">
      <alignment horizontal="center" vertical="center" shrinkToFit="1"/>
      <protection hidden="1"/>
    </xf>
    <xf numFmtId="0" fontId="12" fillId="35" borderId="58" xfId="0" applyFont="1" applyFill="1" applyBorder="1" applyAlignment="1" applyProtection="1">
      <alignment horizontal="center" vertical="center" shrinkToFit="1"/>
      <protection hidden="1"/>
    </xf>
    <xf numFmtId="178" fontId="38" fillId="35" borderId="10" xfId="35" applyNumberFormat="1" applyFont="1" applyFill="1" applyBorder="1" applyAlignment="1" applyProtection="1">
      <alignment horizontal="center" shrinkToFit="1"/>
      <protection hidden="1"/>
    </xf>
    <xf numFmtId="2" fontId="38" fillId="35" borderId="10" xfId="0" applyNumberFormat="1" applyFont="1" applyFill="1" applyBorder="1" applyAlignment="1" applyProtection="1">
      <alignment horizontal="center" vertical="top" shrinkToFit="1"/>
      <protection hidden="1"/>
    </xf>
    <xf numFmtId="2" fontId="38" fillId="35" borderId="26" xfId="0" applyNumberFormat="1" applyFont="1" applyFill="1" applyBorder="1" applyAlignment="1" applyProtection="1">
      <alignment horizontal="center" vertical="top" shrinkToFit="1"/>
      <protection hidden="1"/>
    </xf>
    <xf numFmtId="2" fontId="38" fillId="35" borderId="27" xfId="0" applyNumberFormat="1" applyFont="1" applyFill="1" applyBorder="1" applyAlignment="1" applyProtection="1">
      <alignment horizontal="center" vertical="top" shrinkToFit="1"/>
      <protection hidden="1"/>
    </xf>
    <xf numFmtId="0" fontId="12" fillId="35" borderId="56" xfId="0" applyFont="1" applyFill="1" applyBorder="1" applyAlignment="1" applyProtection="1">
      <alignment horizontal="center" vertical="center"/>
      <protection hidden="1"/>
    </xf>
    <xf numFmtId="0" fontId="38" fillId="35" borderId="58" xfId="0" applyFont="1" applyFill="1" applyBorder="1" applyAlignment="1" applyProtection="1">
      <alignment horizontal="center" vertical="center" shrinkToFit="1"/>
      <protection hidden="1"/>
    </xf>
    <xf numFmtId="187" fontId="38" fillId="35" borderId="27" xfId="35" applyNumberFormat="1" applyFont="1" applyFill="1" applyBorder="1" applyAlignment="1" applyProtection="1">
      <protection hidden="1"/>
    </xf>
    <xf numFmtId="178" fontId="38" fillId="35" borderId="10" xfId="35" applyNumberFormat="1" applyFont="1" applyFill="1" applyBorder="1" applyAlignment="1" applyProtection="1">
      <alignment horizontal="center"/>
      <protection hidden="1"/>
    </xf>
    <xf numFmtId="40" fontId="38" fillId="35" borderId="10" xfId="35" applyNumberFormat="1" applyFont="1" applyFill="1" applyBorder="1" applyAlignment="1" applyProtection="1">
      <alignment horizontal="center" vertical="top"/>
      <protection hidden="1"/>
    </xf>
    <xf numFmtId="40" fontId="38" fillId="35" borderId="26" xfId="35" applyNumberFormat="1" applyFont="1" applyFill="1" applyBorder="1" applyAlignment="1" applyProtection="1">
      <alignment horizontal="center" vertical="top"/>
      <protection hidden="1"/>
    </xf>
    <xf numFmtId="0" fontId="29" fillId="35" borderId="10" xfId="0" applyFont="1" applyFill="1" applyBorder="1" applyAlignment="1" applyProtection="1">
      <alignment horizontal="center" vertical="center"/>
      <protection hidden="1"/>
    </xf>
    <xf numFmtId="0" fontId="46" fillId="35" borderId="58" xfId="0" applyFont="1" applyFill="1" applyBorder="1" applyAlignment="1" applyProtection="1">
      <alignment horizontal="left" vertical="center" shrinkToFit="1"/>
      <protection hidden="1"/>
    </xf>
    <xf numFmtId="187" fontId="125" fillId="35" borderId="27" xfId="35" applyNumberFormat="1" applyFont="1" applyFill="1" applyBorder="1" applyAlignment="1" applyProtection="1">
      <protection hidden="1"/>
    </xf>
    <xf numFmtId="178" fontId="125" fillId="35" borderId="10" xfId="35" applyNumberFormat="1" applyFont="1" applyFill="1" applyBorder="1" applyAlignment="1" applyProtection="1">
      <alignment horizontal="center"/>
      <protection hidden="1"/>
    </xf>
    <xf numFmtId="0" fontId="29" fillId="35" borderId="10" xfId="0" applyFont="1" applyFill="1" applyBorder="1" applyAlignment="1" applyProtection="1">
      <alignment horizontal="left" vertical="center" shrinkToFit="1"/>
      <protection hidden="1"/>
    </xf>
    <xf numFmtId="40" fontId="125" fillId="35" borderId="10" xfId="35" applyNumberFormat="1" applyFont="1" applyFill="1" applyBorder="1" applyAlignment="1" applyProtection="1">
      <alignment horizontal="center" vertical="top"/>
      <protection hidden="1"/>
    </xf>
    <xf numFmtId="40" fontId="125" fillId="35" borderId="26" xfId="35" applyNumberFormat="1" applyFont="1" applyFill="1" applyBorder="1" applyAlignment="1" applyProtection="1">
      <alignment horizontal="center" vertical="top"/>
      <protection hidden="1"/>
    </xf>
    <xf numFmtId="2" fontId="125" fillId="35" borderId="27" xfId="0" applyNumberFormat="1" applyFont="1" applyFill="1" applyBorder="1" applyAlignment="1" applyProtection="1">
      <alignment horizontal="center" vertical="top"/>
      <protection hidden="1"/>
    </xf>
    <xf numFmtId="2" fontId="125" fillId="35" borderId="10" xfId="0" applyNumberFormat="1" applyFont="1" applyFill="1" applyBorder="1" applyAlignment="1" applyProtection="1">
      <alignment horizontal="center" vertical="top"/>
      <protection hidden="1"/>
    </xf>
    <xf numFmtId="0" fontId="125" fillId="31" borderId="10" xfId="0" applyFont="1" applyFill="1" applyBorder="1" applyAlignment="1" applyProtection="1">
      <alignment horizontal="left" vertical="center"/>
      <protection hidden="1"/>
    </xf>
    <xf numFmtId="187" fontId="125" fillId="31" borderId="10" xfId="35" applyNumberFormat="1" applyFont="1" applyFill="1" applyBorder="1" applyAlignment="1" applyProtection="1">
      <alignment horizontal="right"/>
      <protection hidden="1"/>
    </xf>
    <xf numFmtId="188" fontId="125" fillId="31" borderId="10" xfId="35" applyNumberFormat="1" applyFont="1" applyFill="1" applyBorder="1" applyAlignment="1" applyProtection="1">
      <protection hidden="1"/>
    </xf>
    <xf numFmtId="0" fontId="125" fillId="31" borderId="10" xfId="0" applyFont="1" applyFill="1" applyBorder="1" applyAlignment="1" applyProtection="1">
      <alignment horizontal="left" vertical="center" shrinkToFit="1"/>
      <protection hidden="1"/>
    </xf>
    <xf numFmtId="38" fontId="125" fillId="31" borderId="10" xfId="35" applyFont="1" applyFill="1" applyBorder="1" applyAlignment="1" applyProtection="1">
      <alignment horizontal="center" vertical="center"/>
      <protection hidden="1"/>
    </xf>
    <xf numFmtId="49" fontId="125" fillId="31" borderId="10" xfId="0" applyNumberFormat="1" applyFont="1" applyFill="1" applyBorder="1" applyAlignment="1" applyProtection="1">
      <alignment horizontal="left" vertical="center"/>
      <protection hidden="1"/>
    </xf>
    <xf numFmtId="2" fontId="125" fillId="31" borderId="10" xfId="35" applyNumberFormat="1" applyFont="1" applyFill="1" applyBorder="1" applyAlignment="1" applyProtection="1">
      <alignment horizontal="center" vertical="center"/>
      <protection hidden="1"/>
    </xf>
    <xf numFmtId="2" fontId="125" fillId="31" borderId="27" xfId="35" applyNumberFormat="1" applyFont="1" applyFill="1" applyBorder="1" applyAlignment="1" applyProtection="1">
      <alignment horizontal="center" vertical="center"/>
      <protection hidden="1"/>
    </xf>
    <xf numFmtId="187" fontId="125" fillId="27" borderId="10" xfId="35" applyNumberFormat="1" applyFont="1" applyFill="1" applyBorder="1" applyAlignment="1" applyProtection="1">
      <alignment horizontal="right"/>
      <protection hidden="1"/>
    </xf>
    <xf numFmtId="188" fontId="125" fillId="27" borderId="10" xfId="35" applyNumberFormat="1" applyFont="1" applyFill="1" applyBorder="1" applyAlignment="1" applyProtection="1">
      <protection hidden="1"/>
    </xf>
    <xf numFmtId="187" fontId="38" fillId="27" borderId="10" xfId="0" applyNumberFormat="1" applyFont="1" applyFill="1" applyBorder="1" applyProtection="1">
      <alignment vertical="center"/>
      <protection hidden="1"/>
    </xf>
    <xf numFmtId="0" fontId="125" fillId="27" borderId="10" xfId="0" applyFont="1" applyFill="1" applyBorder="1" applyAlignment="1" applyProtection="1">
      <alignment horizontal="left" vertical="center"/>
      <protection hidden="1"/>
    </xf>
    <xf numFmtId="0" fontId="125" fillId="27" borderId="10" xfId="0" applyFont="1" applyFill="1" applyBorder="1" applyAlignment="1" applyProtection="1">
      <alignment horizontal="left" vertical="center" shrinkToFit="1"/>
      <protection hidden="1"/>
    </xf>
    <xf numFmtId="38" fontId="125" fillId="27" borderId="10" xfId="35" applyFont="1" applyFill="1" applyBorder="1" applyAlignment="1" applyProtection="1">
      <alignment horizontal="center"/>
      <protection hidden="1"/>
    </xf>
    <xf numFmtId="38" fontId="125" fillId="27" borderId="26" xfId="35" applyFont="1" applyFill="1" applyBorder="1" applyAlignment="1" applyProtection="1">
      <alignment horizontal="center" vertical="center"/>
      <protection hidden="1"/>
    </xf>
    <xf numFmtId="49" fontId="125" fillId="27" borderId="10" xfId="0" applyNumberFormat="1" applyFont="1" applyFill="1" applyBorder="1" applyAlignment="1" applyProtection="1">
      <alignment horizontal="left" vertical="center"/>
      <protection hidden="1"/>
    </xf>
    <xf numFmtId="2" fontId="125" fillId="27" borderId="10" xfId="35" applyNumberFormat="1" applyFont="1" applyFill="1" applyBorder="1" applyAlignment="1" applyProtection="1">
      <alignment horizontal="center"/>
      <protection hidden="1"/>
    </xf>
    <xf numFmtId="2" fontId="125" fillId="27" borderId="27" xfId="35" applyNumberFormat="1" applyFont="1" applyFill="1" applyBorder="1" applyAlignment="1" applyProtection="1">
      <alignment horizontal="center"/>
      <protection hidden="1"/>
    </xf>
    <xf numFmtId="2" fontId="125" fillId="27" borderId="26" xfId="35" applyNumberFormat="1" applyFont="1" applyFill="1" applyBorder="1" applyAlignment="1" applyProtection="1">
      <alignment horizontal="center" vertical="center"/>
      <protection hidden="1"/>
    </xf>
    <xf numFmtId="187" fontId="38" fillId="27" borderId="10" xfId="35" applyNumberFormat="1" applyFont="1" applyFill="1" applyBorder="1" applyAlignment="1" applyProtection="1">
      <alignment horizontal="right"/>
      <protection hidden="1"/>
    </xf>
    <xf numFmtId="188" fontId="38" fillId="27" borderId="10" xfId="35" applyNumberFormat="1" applyFont="1" applyFill="1" applyBorder="1" applyAlignment="1" applyProtection="1">
      <protection hidden="1"/>
    </xf>
    <xf numFmtId="0" fontId="38" fillId="27" borderId="10" xfId="0" applyFont="1" applyFill="1" applyBorder="1" applyAlignment="1" applyProtection="1">
      <alignment horizontal="left" vertical="center"/>
      <protection hidden="1"/>
    </xf>
    <xf numFmtId="0" fontId="38" fillId="27" borderId="10" xfId="0" applyFont="1" applyFill="1" applyBorder="1" applyAlignment="1" applyProtection="1">
      <alignment horizontal="left" vertical="center" shrinkToFit="1"/>
      <protection hidden="1"/>
    </xf>
    <xf numFmtId="38" fontId="38" fillId="27" borderId="10" xfId="35" applyFont="1" applyFill="1" applyBorder="1" applyAlignment="1" applyProtection="1">
      <alignment horizontal="center" vertical="center"/>
      <protection hidden="1"/>
    </xf>
    <xf numFmtId="38" fontId="38" fillId="27" borderId="27" xfId="35" applyFont="1" applyFill="1" applyBorder="1" applyAlignment="1" applyProtection="1">
      <alignment horizontal="center" vertical="center"/>
      <protection hidden="1"/>
    </xf>
    <xf numFmtId="49" fontId="38" fillId="27" borderId="10" xfId="0" applyNumberFormat="1" applyFont="1" applyFill="1" applyBorder="1" applyAlignment="1" applyProtection="1">
      <alignment horizontal="left" vertical="center"/>
      <protection hidden="1"/>
    </xf>
    <xf numFmtId="38" fontId="38" fillId="45" borderId="10" xfId="35" applyFont="1" applyFill="1" applyBorder="1" applyAlignment="1" applyProtection="1">
      <alignment horizontal="center" vertical="center"/>
      <protection hidden="1"/>
    </xf>
    <xf numFmtId="2" fontId="38" fillId="27" borderId="10" xfId="35" applyNumberFormat="1" applyFont="1" applyFill="1" applyBorder="1" applyAlignment="1" applyProtection="1">
      <alignment horizontal="center" vertical="center"/>
      <protection hidden="1"/>
    </xf>
    <xf numFmtId="2" fontId="38" fillId="27" borderId="27" xfId="35" applyNumberFormat="1" applyFont="1" applyFill="1" applyBorder="1" applyAlignment="1" applyProtection="1">
      <alignment horizontal="center" vertical="center"/>
      <protection hidden="1"/>
    </xf>
    <xf numFmtId="178" fontId="38" fillId="27" borderId="26" xfId="0" applyNumberFormat="1" applyFont="1" applyFill="1" applyBorder="1" applyAlignment="1" applyProtection="1">
      <alignment horizontal="center" vertical="center"/>
      <protection hidden="1"/>
    </xf>
    <xf numFmtId="2" fontId="38" fillId="45" borderId="10" xfId="35" applyNumberFormat="1" applyFont="1" applyFill="1" applyBorder="1" applyAlignment="1" applyProtection="1">
      <alignment horizontal="center" vertical="center"/>
      <protection hidden="1"/>
    </xf>
    <xf numFmtId="38" fontId="38" fillId="27" borderId="26" xfId="35" applyFont="1" applyFill="1" applyBorder="1" applyAlignment="1" applyProtection="1">
      <alignment horizontal="center" vertical="center"/>
      <protection hidden="1"/>
    </xf>
    <xf numFmtId="38" fontId="38" fillId="42" borderId="10" xfId="35" applyFont="1" applyFill="1" applyBorder="1" applyAlignment="1" applyProtection="1">
      <alignment horizontal="center" vertical="center"/>
      <protection hidden="1"/>
    </xf>
    <xf numFmtId="2" fontId="38" fillId="46" borderId="10" xfId="35" applyNumberFormat="1" applyFont="1" applyFill="1" applyBorder="1" applyAlignment="1" applyProtection="1">
      <alignment horizontal="center" vertical="center"/>
      <protection hidden="1"/>
    </xf>
    <xf numFmtId="2" fontId="38" fillId="27" borderId="26" xfId="35" applyNumberFormat="1" applyFont="1" applyFill="1" applyBorder="1" applyAlignment="1" applyProtection="1">
      <alignment horizontal="center" vertical="center"/>
      <protection hidden="1"/>
    </xf>
    <xf numFmtId="0" fontId="125" fillId="27" borderId="26" xfId="0" applyFont="1" applyFill="1" applyBorder="1" applyAlignment="1" applyProtection="1">
      <alignment horizontal="center" vertical="center"/>
      <protection hidden="1"/>
    </xf>
    <xf numFmtId="178" fontId="125" fillId="27" borderId="26" xfId="0" applyNumberFormat="1" applyFont="1" applyFill="1" applyBorder="1" applyAlignment="1" applyProtection="1">
      <alignment horizontal="center" vertical="center"/>
      <protection hidden="1"/>
    </xf>
    <xf numFmtId="0" fontId="38" fillId="27" borderId="26" xfId="0" applyFont="1" applyFill="1" applyBorder="1" applyAlignment="1" applyProtection="1">
      <alignment horizontal="center" vertical="center"/>
      <protection hidden="1"/>
    </xf>
    <xf numFmtId="0" fontId="38" fillId="42" borderId="26" xfId="0" applyFont="1" applyFill="1" applyBorder="1" applyAlignment="1" applyProtection="1">
      <alignment horizontal="center" vertical="center"/>
      <protection hidden="1"/>
    </xf>
    <xf numFmtId="2" fontId="38" fillId="27" borderId="10" xfId="0" applyNumberFormat="1" applyFont="1" applyFill="1" applyBorder="1" applyAlignment="1" applyProtection="1">
      <alignment horizontal="center"/>
      <protection hidden="1"/>
    </xf>
    <xf numFmtId="2" fontId="38" fillId="25" borderId="10" xfId="35" applyNumberFormat="1" applyFont="1" applyFill="1" applyBorder="1" applyAlignment="1" applyProtection="1">
      <alignment horizontal="center" vertical="center"/>
      <protection hidden="1"/>
    </xf>
    <xf numFmtId="187" fontId="38" fillId="42" borderId="10" xfId="0" applyNumberFormat="1" applyFont="1" applyFill="1" applyBorder="1" applyProtection="1">
      <alignment vertical="center"/>
      <protection hidden="1"/>
    </xf>
    <xf numFmtId="188" fontId="38" fillId="42" borderId="10" xfId="35" applyNumberFormat="1" applyFont="1" applyFill="1" applyBorder="1" applyAlignment="1" applyProtection="1">
      <protection hidden="1"/>
    </xf>
    <xf numFmtId="0" fontId="38" fillId="42" borderId="10" xfId="0" applyFont="1" applyFill="1" applyBorder="1" applyAlignment="1" applyProtection="1">
      <alignment horizontal="left" vertical="center"/>
      <protection hidden="1"/>
    </xf>
    <xf numFmtId="0" fontId="38" fillId="42" borderId="10" xfId="0" applyFont="1" applyFill="1" applyBorder="1" applyAlignment="1" applyProtection="1">
      <alignment horizontal="left" vertical="center" shrinkToFit="1"/>
      <protection hidden="1"/>
    </xf>
    <xf numFmtId="38" fontId="38" fillId="42" borderId="26" xfId="35" applyFont="1" applyFill="1" applyBorder="1" applyAlignment="1" applyProtection="1">
      <alignment horizontal="center" vertical="center"/>
      <protection hidden="1"/>
    </xf>
    <xf numFmtId="49" fontId="38" fillId="42" borderId="10" xfId="0" applyNumberFormat="1" applyFont="1" applyFill="1" applyBorder="1" applyAlignment="1" applyProtection="1">
      <alignment horizontal="left" vertical="center"/>
      <protection hidden="1"/>
    </xf>
    <xf numFmtId="2" fontId="38" fillId="42" borderId="10" xfId="35" applyNumberFormat="1" applyFont="1" applyFill="1" applyBorder="1" applyAlignment="1" applyProtection="1">
      <alignment horizontal="center" vertical="center"/>
      <protection hidden="1"/>
    </xf>
    <xf numFmtId="2" fontId="38" fillId="42" borderId="26" xfId="35" applyNumberFormat="1" applyFont="1" applyFill="1" applyBorder="1" applyAlignment="1" applyProtection="1">
      <alignment horizontal="center" vertical="center"/>
      <protection hidden="1"/>
    </xf>
    <xf numFmtId="2" fontId="38" fillId="42" borderId="27" xfId="35" applyNumberFormat="1" applyFont="1" applyFill="1" applyBorder="1" applyAlignment="1" applyProtection="1">
      <alignment horizontal="center" vertical="center"/>
      <protection hidden="1"/>
    </xf>
    <xf numFmtId="178" fontId="38" fillId="42" borderId="10" xfId="35" applyNumberFormat="1" applyFont="1" applyFill="1" applyBorder="1" applyAlignment="1" applyProtection="1">
      <alignment horizontal="center" vertical="center"/>
      <protection hidden="1"/>
    </xf>
    <xf numFmtId="178" fontId="38" fillId="42" borderId="26" xfId="35" applyNumberFormat="1" applyFont="1" applyFill="1" applyBorder="1" applyAlignment="1" applyProtection="1">
      <alignment horizontal="center" vertical="center"/>
      <protection hidden="1"/>
    </xf>
    <xf numFmtId="178" fontId="38" fillId="42" borderId="27" xfId="35" applyNumberFormat="1" applyFont="1" applyFill="1" applyBorder="1" applyAlignment="1" applyProtection="1">
      <alignment horizontal="center" vertical="center"/>
      <protection hidden="1"/>
    </xf>
    <xf numFmtId="178" fontId="125" fillId="27" borderId="10" xfId="35" applyNumberFormat="1" applyFont="1" applyFill="1" applyBorder="1" applyAlignment="1" applyProtection="1">
      <alignment horizontal="center"/>
      <protection hidden="1"/>
    </xf>
    <xf numFmtId="178" fontId="125" fillId="27" borderId="27" xfId="35" applyNumberFormat="1" applyFont="1" applyFill="1" applyBorder="1" applyAlignment="1" applyProtection="1">
      <alignment horizontal="center"/>
      <protection hidden="1"/>
    </xf>
    <xf numFmtId="178" fontId="38" fillId="27" borderId="10" xfId="35" applyNumberFormat="1" applyFont="1" applyFill="1" applyBorder="1" applyAlignment="1" applyProtection="1">
      <alignment horizontal="center" vertical="center"/>
      <protection hidden="1"/>
    </xf>
    <xf numFmtId="178" fontId="38" fillId="27" borderId="26" xfId="35" applyNumberFormat="1" applyFont="1" applyFill="1" applyBorder="1" applyAlignment="1" applyProtection="1">
      <alignment horizontal="center" vertical="center"/>
      <protection hidden="1"/>
    </xf>
    <xf numFmtId="178" fontId="38" fillId="27" borderId="27" xfId="35" applyNumberFormat="1" applyFont="1" applyFill="1" applyBorder="1" applyAlignment="1" applyProtection="1">
      <alignment horizontal="center" vertical="center"/>
      <protection hidden="1"/>
    </xf>
    <xf numFmtId="178" fontId="154" fillId="27" borderId="10" xfId="35" applyNumberFormat="1" applyFont="1" applyFill="1" applyBorder="1" applyAlignment="1" applyProtection="1">
      <alignment horizontal="center" vertical="center"/>
      <protection hidden="1"/>
    </xf>
    <xf numFmtId="178" fontId="154" fillId="42" borderId="10" xfId="35" applyNumberFormat="1" applyFont="1" applyFill="1" applyBorder="1" applyAlignment="1" applyProtection="1">
      <alignment horizontal="center" vertical="center"/>
      <protection hidden="1"/>
    </xf>
    <xf numFmtId="38" fontId="125" fillId="27" borderId="10" xfId="35" applyFont="1" applyFill="1" applyBorder="1" applyAlignment="1" applyProtection="1">
      <alignment horizontal="center" vertical="center"/>
      <protection hidden="1"/>
    </xf>
    <xf numFmtId="2" fontId="125" fillId="27" borderId="10" xfId="35" applyNumberFormat="1" applyFont="1" applyFill="1" applyBorder="1" applyAlignment="1" applyProtection="1">
      <alignment horizontal="center" vertical="center"/>
      <protection hidden="1"/>
    </xf>
    <xf numFmtId="2" fontId="125" fillId="27" borderId="27" xfId="35" applyNumberFormat="1" applyFont="1" applyFill="1" applyBorder="1" applyAlignment="1" applyProtection="1">
      <alignment horizontal="center" vertical="center"/>
      <protection hidden="1"/>
    </xf>
    <xf numFmtId="179" fontId="125" fillId="27" borderId="26" xfId="0" applyNumberFormat="1" applyFont="1" applyFill="1" applyBorder="1" applyAlignment="1" applyProtection="1">
      <alignment horizontal="center" vertical="center"/>
      <protection hidden="1"/>
    </xf>
    <xf numFmtId="179" fontId="38" fillId="27" borderId="26" xfId="0" applyNumberFormat="1" applyFont="1" applyFill="1" applyBorder="1" applyAlignment="1" applyProtection="1">
      <alignment horizontal="center" vertical="center"/>
      <protection hidden="1"/>
    </xf>
    <xf numFmtId="38" fontId="125" fillId="27" borderId="26" xfId="35" applyFont="1" applyFill="1" applyBorder="1" applyAlignment="1" applyProtection="1">
      <alignment horizontal="center"/>
      <protection hidden="1"/>
    </xf>
    <xf numFmtId="2" fontId="125" fillId="27" borderId="26" xfId="35" applyNumberFormat="1" applyFont="1" applyFill="1" applyBorder="1" applyAlignment="1" applyProtection="1">
      <alignment horizontal="center"/>
      <protection hidden="1"/>
    </xf>
    <xf numFmtId="0" fontId="38" fillId="42" borderId="53" xfId="0" applyFont="1" applyFill="1" applyBorder="1" applyAlignment="1" applyProtection="1">
      <alignment horizontal="left" vertical="center"/>
      <protection hidden="1"/>
    </xf>
    <xf numFmtId="188" fontId="125" fillId="27" borderId="10" xfId="0" applyNumberFormat="1" applyFont="1" applyFill="1" applyBorder="1">
      <alignment vertical="center"/>
    </xf>
    <xf numFmtId="2" fontId="38" fillId="27" borderId="10" xfId="0" applyNumberFormat="1" applyFont="1" applyFill="1" applyBorder="1" applyAlignment="1" applyProtection="1">
      <alignment horizontal="left" vertical="center" shrinkToFit="1"/>
      <protection hidden="1"/>
    </xf>
    <xf numFmtId="38" fontId="38" fillId="27" borderId="10" xfId="35" applyFont="1" applyFill="1" applyBorder="1" applyAlignment="1" applyProtection="1">
      <alignment horizontal="center"/>
      <protection hidden="1"/>
    </xf>
    <xf numFmtId="2" fontId="38" fillId="27" borderId="10" xfId="35" applyNumberFormat="1" applyFont="1" applyFill="1" applyBorder="1" applyAlignment="1" applyProtection="1">
      <alignment horizontal="center"/>
      <protection hidden="1"/>
    </xf>
    <xf numFmtId="2" fontId="38" fillId="27" borderId="27" xfId="35" applyNumberFormat="1" applyFont="1" applyFill="1" applyBorder="1" applyAlignment="1" applyProtection="1">
      <alignment horizontal="center"/>
      <protection hidden="1"/>
    </xf>
    <xf numFmtId="0" fontId="29" fillId="31" borderId="10" xfId="0" applyFont="1" applyFill="1" applyBorder="1" applyAlignment="1" applyProtection="1">
      <alignment horizontal="center" vertical="center"/>
      <protection hidden="1"/>
    </xf>
    <xf numFmtId="0" fontId="29" fillId="35" borderId="10" xfId="0" applyFont="1" applyFill="1" applyBorder="1" applyAlignment="1" applyProtection="1">
      <alignment horizontal="center" vertical="center" shrinkToFit="1"/>
      <protection hidden="1"/>
    </xf>
    <xf numFmtId="187" fontId="125" fillId="31" borderId="10" xfId="35" applyNumberFormat="1" applyFont="1" applyFill="1" applyBorder="1" applyAlignment="1" applyProtection="1">
      <alignment horizontal="right" vertical="center"/>
      <protection hidden="1"/>
    </xf>
    <xf numFmtId="0" fontId="125" fillId="27" borderId="10" xfId="0" quotePrefix="1" applyFont="1" applyFill="1" applyBorder="1" applyAlignment="1" applyProtection="1">
      <alignment horizontal="left" vertical="center"/>
      <protection hidden="1"/>
    </xf>
    <xf numFmtId="188" fontId="38" fillId="27" borderId="10" xfId="0" applyNumberFormat="1" applyFont="1" applyFill="1" applyBorder="1">
      <alignment vertical="center"/>
    </xf>
    <xf numFmtId="0" fontId="38" fillId="27" borderId="10" xfId="0" quotePrefix="1" applyFont="1" applyFill="1" applyBorder="1" applyAlignment="1" applyProtection="1">
      <alignment horizontal="left" vertical="center"/>
      <protection hidden="1"/>
    </xf>
    <xf numFmtId="49" fontId="38" fillId="27" borderId="10" xfId="0" quotePrefix="1" applyNumberFormat="1" applyFont="1" applyFill="1" applyBorder="1" applyAlignment="1" applyProtection="1">
      <alignment horizontal="left" vertical="center"/>
      <protection hidden="1"/>
    </xf>
    <xf numFmtId="0" fontId="125" fillId="31" borderId="10" xfId="0" applyFont="1" applyFill="1" applyBorder="1" applyProtection="1">
      <alignment vertical="center"/>
      <protection hidden="1"/>
    </xf>
    <xf numFmtId="49" fontId="125" fillId="31" borderId="10" xfId="0" applyNumberFormat="1" applyFont="1" applyFill="1" applyBorder="1" applyProtection="1">
      <alignment vertical="center"/>
      <protection hidden="1"/>
    </xf>
    <xf numFmtId="2" fontId="125" fillId="31" borderId="26" xfId="35" applyNumberFormat="1" applyFont="1" applyFill="1" applyBorder="1" applyAlignment="1" applyProtection="1">
      <alignment horizontal="center" vertical="center"/>
      <protection hidden="1"/>
    </xf>
    <xf numFmtId="2" fontId="125" fillId="31" borderId="27" xfId="0" applyNumberFormat="1" applyFont="1" applyFill="1" applyBorder="1" applyAlignment="1" applyProtection="1">
      <alignment horizontal="center"/>
      <protection hidden="1"/>
    </xf>
    <xf numFmtId="2" fontId="125" fillId="31" borderId="10" xfId="0" applyNumberFormat="1" applyFont="1" applyFill="1" applyBorder="1" applyAlignment="1" applyProtection="1">
      <alignment horizontal="center"/>
      <protection hidden="1"/>
    </xf>
    <xf numFmtId="2" fontId="125" fillId="27" borderId="27" xfId="0" applyNumberFormat="1" applyFont="1" applyFill="1" applyBorder="1" applyAlignment="1" applyProtection="1">
      <alignment horizontal="center"/>
      <protection hidden="1"/>
    </xf>
    <xf numFmtId="2" fontId="125" fillId="27" borderId="10" xfId="0" applyNumberFormat="1" applyFont="1" applyFill="1" applyBorder="1" applyAlignment="1" applyProtection="1">
      <alignment horizontal="center"/>
      <protection hidden="1"/>
    </xf>
    <xf numFmtId="2" fontId="38" fillId="27" borderId="27" xfId="0" applyNumberFormat="1" applyFont="1" applyFill="1" applyBorder="1" applyAlignment="1" applyProtection="1">
      <alignment horizontal="center"/>
      <protection hidden="1"/>
    </xf>
    <xf numFmtId="195" fontId="125" fillId="27" borderId="27" xfId="0" applyNumberFormat="1" applyFont="1" applyFill="1" applyBorder="1" applyAlignment="1" applyProtection="1">
      <alignment horizontal="center"/>
      <protection hidden="1"/>
    </xf>
    <xf numFmtId="49" fontId="125" fillId="27" borderId="10" xfId="0" applyNumberFormat="1" applyFont="1" applyFill="1" applyBorder="1" applyProtection="1">
      <alignment vertical="center"/>
      <protection hidden="1"/>
    </xf>
    <xf numFmtId="49" fontId="38" fillId="27" borderId="10" xfId="0" applyNumberFormat="1" applyFont="1" applyFill="1" applyBorder="1" applyProtection="1">
      <alignment vertical="center"/>
      <protection hidden="1"/>
    </xf>
    <xf numFmtId="0" fontId="38" fillId="27" borderId="10" xfId="0" applyFont="1" applyFill="1" applyBorder="1" applyProtection="1">
      <alignment vertical="center"/>
      <protection hidden="1"/>
    </xf>
    <xf numFmtId="0" fontId="38" fillId="27" borderId="50" xfId="0" applyFont="1" applyFill="1" applyBorder="1" applyAlignment="1" applyProtection="1">
      <alignment horizontal="left" vertical="center" shrinkToFit="1"/>
      <protection hidden="1"/>
    </xf>
    <xf numFmtId="0" fontId="0" fillId="0" borderId="0" xfId="0" applyProtection="1">
      <alignment vertical="center"/>
      <protection hidden="1"/>
    </xf>
    <xf numFmtId="0" fontId="146" fillId="0" borderId="0" xfId="46" applyFont="1" applyProtection="1">
      <protection hidden="1"/>
    </xf>
    <xf numFmtId="0" fontId="162" fillId="0" borderId="0" xfId="0" applyFont="1">
      <alignment vertical="center"/>
    </xf>
    <xf numFmtId="0" fontId="162" fillId="0" borderId="0" xfId="0" applyFont="1" applyAlignment="1">
      <alignment horizontal="left" vertical="center" wrapText="1"/>
    </xf>
    <xf numFmtId="0" fontId="162" fillId="0" borderId="0" xfId="0" applyFont="1" applyProtection="1">
      <alignment vertical="center"/>
      <protection hidden="1"/>
    </xf>
    <xf numFmtId="0" fontId="162" fillId="0" borderId="0" xfId="0" applyFont="1" applyAlignment="1">
      <alignment vertical="top"/>
    </xf>
    <xf numFmtId="0" fontId="162" fillId="27" borderId="157" xfId="0" applyFont="1" applyFill="1" applyBorder="1">
      <alignment vertical="center"/>
    </xf>
    <xf numFmtId="0" fontId="162" fillId="27" borderId="157" xfId="0" applyFont="1" applyFill="1" applyBorder="1" applyAlignment="1">
      <alignment vertical="top"/>
    </xf>
    <xf numFmtId="0" fontId="162" fillId="27" borderId="13" xfId="0" applyFont="1" applyFill="1" applyBorder="1">
      <alignment vertical="center"/>
    </xf>
    <xf numFmtId="0" fontId="162" fillId="27" borderId="13" xfId="0" applyFont="1" applyFill="1" applyBorder="1" applyAlignment="1">
      <alignment vertical="top"/>
    </xf>
    <xf numFmtId="0" fontId="162" fillId="27" borderId="163" xfId="0" applyFont="1" applyFill="1" applyBorder="1">
      <alignment vertical="center"/>
    </xf>
    <xf numFmtId="0" fontId="162" fillId="27" borderId="163" xfId="0" applyFont="1" applyFill="1" applyBorder="1" applyAlignment="1">
      <alignment vertical="top"/>
    </xf>
    <xf numFmtId="0" fontId="49" fillId="0" borderId="0" xfId="0" applyFont="1" applyAlignment="1" applyProtection="1">
      <alignment horizontal="right" vertical="center"/>
      <protection hidden="1"/>
    </xf>
    <xf numFmtId="0" fontId="162" fillId="27" borderId="13" xfId="0" applyFont="1" applyFill="1" applyBorder="1" applyAlignment="1">
      <alignment horizontal="left" vertical="center"/>
    </xf>
    <xf numFmtId="0" fontId="162" fillId="27" borderId="163" xfId="0" applyFont="1" applyFill="1" applyBorder="1" applyAlignment="1">
      <alignment horizontal="left" vertical="center"/>
    </xf>
    <xf numFmtId="0" fontId="162" fillId="0" borderId="57" xfId="0" applyFont="1" applyBorder="1" applyAlignment="1">
      <alignment horizontal="left" vertical="center" wrapText="1"/>
    </xf>
    <xf numFmtId="0" fontId="162" fillId="27" borderId="16" xfId="0" applyFont="1" applyFill="1" applyBorder="1" applyAlignment="1">
      <alignment horizontal="center" vertical="center" wrapText="1"/>
    </xf>
    <xf numFmtId="0" fontId="162" fillId="27" borderId="11" xfId="0" applyFont="1" applyFill="1" applyBorder="1" applyAlignment="1">
      <alignment horizontal="center" vertical="center" wrapText="1"/>
    </xf>
    <xf numFmtId="0" fontId="162" fillId="27" borderId="160" xfId="0" applyFont="1" applyFill="1" applyBorder="1" applyAlignment="1">
      <alignment horizontal="center" vertical="center" wrapText="1"/>
    </xf>
    <xf numFmtId="193" fontId="31" fillId="44" borderId="144" xfId="0" applyNumberFormat="1" applyFont="1" applyFill="1" applyBorder="1" applyAlignment="1" applyProtection="1">
      <alignment horizontal="center" vertical="center"/>
      <protection hidden="1"/>
    </xf>
    <xf numFmtId="38" fontId="163" fillId="27" borderId="10" xfId="35" applyFont="1" applyFill="1" applyBorder="1" applyAlignment="1" applyProtection="1">
      <alignment horizontal="center" vertical="center"/>
      <protection hidden="1"/>
    </xf>
    <xf numFmtId="2" fontId="163" fillId="27" borderId="27" xfId="35" applyNumberFormat="1" applyFont="1" applyFill="1" applyBorder="1" applyAlignment="1" applyProtection="1">
      <alignment horizontal="center" vertical="center"/>
      <protection hidden="1"/>
    </xf>
    <xf numFmtId="2" fontId="163" fillId="27" borderId="10" xfId="35" applyNumberFormat="1" applyFont="1" applyFill="1" applyBorder="1" applyAlignment="1" applyProtection="1">
      <alignment horizontal="center" vertical="center"/>
      <protection hidden="1"/>
    </xf>
    <xf numFmtId="38" fontId="38" fillId="41" borderId="144" xfId="35" applyFont="1" applyFill="1" applyBorder="1" applyAlignment="1" applyProtection="1">
      <alignment horizontal="center" vertical="center"/>
      <protection locked="0"/>
    </xf>
    <xf numFmtId="0" fontId="38" fillId="27" borderId="62" xfId="0" applyFont="1" applyFill="1" applyBorder="1">
      <alignment vertical="center"/>
    </xf>
    <xf numFmtId="0" fontId="38" fillId="27" borderId="0" xfId="44" applyFont="1" applyFill="1"/>
    <xf numFmtId="0" fontId="38" fillId="27" borderId="62" xfId="44" applyFont="1" applyFill="1" applyBorder="1" applyAlignment="1">
      <alignment vertical="center"/>
    </xf>
    <xf numFmtId="0" fontId="38" fillId="27" borderId="0" xfId="0" applyFont="1" applyFill="1" applyAlignment="1">
      <alignment horizontal="right" vertical="center"/>
    </xf>
    <xf numFmtId="0" fontId="38" fillId="27" borderId="0" xfId="0" applyFont="1" applyFill="1" applyAlignment="1">
      <alignment horizontal="left" vertical="center"/>
    </xf>
    <xf numFmtId="178" fontId="38" fillId="27" borderId="10" xfId="28" applyNumberFormat="1" applyFont="1" applyFill="1" applyBorder="1" applyProtection="1">
      <alignment vertical="center"/>
    </xf>
    <xf numFmtId="38" fontId="38" fillId="27" borderId="10" xfId="35" applyFont="1" applyFill="1" applyBorder="1" applyProtection="1">
      <alignment vertical="center"/>
    </xf>
    <xf numFmtId="178" fontId="38" fillId="27" borderId="63" xfId="0" applyNumberFormat="1" applyFont="1" applyFill="1" applyBorder="1" applyAlignment="1">
      <alignment horizontal="right" vertical="center"/>
    </xf>
    <xf numFmtId="177" fontId="38" fillId="27" borderId="10" xfId="44" applyNumberFormat="1" applyFont="1" applyFill="1" applyBorder="1" applyAlignment="1">
      <alignment horizontal="center" vertical="center"/>
    </xf>
    <xf numFmtId="187" fontId="38" fillId="27" borderId="10" xfId="28" applyNumberFormat="1" applyFont="1" applyFill="1" applyBorder="1" applyAlignment="1" applyProtection="1">
      <alignment horizontal="center" vertical="center"/>
    </xf>
    <xf numFmtId="0" fontId="33" fillId="27" borderId="156" xfId="0" applyFont="1" applyFill="1" applyBorder="1" applyProtection="1">
      <alignment vertical="center"/>
      <protection hidden="1"/>
    </xf>
    <xf numFmtId="179" fontId="33" fillId="31" borderId="53" xfId="0" applyNumberFormat="1" applyFont="1" applyFill="1" applyBorder="1" applyAlignment="1" applyProtection="1">
      <alignment horizontal="left" vertical="center"/>
      <protection hidden="1"/>
    </xf>
    <xf numFmtId="0" fontId="31" fillId="27" borderId="180" xfId="0" applyFont="1" applyFill="1" applyBorder="1" applyAlignment="1" applyProtection="1">
      <alignment horizontal="center" vertical="center"/>
      <protection locked="0" hidden="1"/>
    </xf>
    <xf numFmtId="0" fontId="31" fillId="27" borderId="26" xfId="0" applyFont="1" applyFill="1" applyBorder="1" applyAlignment="1" applyProtection="1">
      <alignment horizontal="centerContinuous" vertical="center"/>
      <protection hidden="1"/>
    </xf>
    <xf numFmtId="0" fontId="33" fillId="27" borderId="55" xfId="0" applyFont="1" applyFill="1" applyBorder="1" applyAlignment="1" applyProtection="1">
      <alignment horizontal="centerContinuous" vertical="center"/>
      <protection hidden="1"/>
    </xf>
    <xf numFmtId="0" fontId="33" fillId="27" borderId="187" xfId="0" applyFont="1" applyFill="1" applyBorder="1" applyAlignment="1" applyProtection="1">
      <alignment horizontal="left" vertical="center"/>
      <protection hidden="1"/>
    </xf>
    <xf numFmtId="0" fontId="162" fillId="27" borderId="173" xfId="0" applyFont="1" applyFill="1" applyBorder="1">
      <alignment vertical="center"/>
    </xf>
    <xf numFmtId="0" fontId="162" fillId="27" borderId="173" xfId="0" applyFont="1" applyFill="1" applyBorder="1" applyAlignment="1">
      <alignment vertical="top"/>
    </xf>
    <xf numFmtId="177" fontId="33" fillId="27" borderId="157" xfId="0" applyNumberFormat="1" applyFont="1" applyFill="1" applyBorder="1" applyAlignment="1" applyProtection="1">
      <alignment vertical="center" wrapText="1"/>
      <protection hidden="1"/>
    </xf>
    <xf numFmtId="190" fontId="33" fillId="31" borderId="27" xfId="0" applyNumberFormat="1" applyFont="1" applyFill="1" applyBorder="1" applyAlignment="1" applyProtection="1">
      <alignment horizontal="center" vertical="center"/>
      <protection hidden="1"/>
    </xf>
    <xf numFmtId="0" fontId="46" fillId="29" borderId="0" xfId="0" applyFont="1" applyFill="1" applyAlignment="1" applyProtection="1">
      <alignment horizontal="left" vertical="center"/>
      <protection hidden="1"/>
    </xf>
    <xf numFmtId="0" fontId="33" fillId="27" borderId="181" xfId="0" applyFont="1" applyFill="1" applyBorder="1" applyAlignment="1" applyProtection="1">
      <alignment horizontal="left" vertical="center"/>
      <protection hidden="1"/>
    </xf>
    <xf numFmtId="0" fontId="149" fillId="29" borderId="0" xfId="0" applyFont="1" applyFill="1" applyAlignment="1" applyProtection="1">
      <alignment horizontal="left" vertical="center"/>
      <protection hidden="1"/>
    </xf>
    <xf numFmtId="203" fontId="125" fillId="27" borderId="10" xfId="35" applyNumberFormat="1" applyFont="1" applyFill="1" applyBorder="1" applyAlignment="1" applyProtection="1">
      <alignment horizontal="center" vertical="center"/>
      <protection hidden="1"/>
    </xf>
    <xf numFmtId="2" fontId="38" fillId="47" borderId="10" xfId="35" applyNumberFormat="1" applyFont="1" applyFill="1" applyBorder="1" applyAlignment="1" applyProtection="1">
      <alignment horizontal="center" vertical="center"/>
      <protection hidden="1"/>
    </xf>
    <xf numFmtId="178" fontId="38" fillId="27" borderId="10" xfId="44" applyNumberFormat="1" applyFont="1" applyFill="1" applyBorder="1" applyAlignment="1">
      <alignment horizontal="right" vertical="center"/>
    </xf>
    <xf numFmtId="0" fontId="125" fillId="27" borderId="0" xfId="0" applyFont="1" applyFill="1" applyAlignment="1">
      <alignment horizontal="center" vertical="center"/>
    </xf>
    <xf numFmtId="179" fontId="33" fillId="31" borderId="10" xfId="0" applyNumberFormat="1" applyFont="1" applyFill="1" applyBorder="1" applyAlignment="1" applyProtection="1">
      <alignment horizontal="center" vertical="center"/>
      <protection hidden="1"/>
    </xf>
    <xf numFmtId="198" fontId="38" fillId="0" borderId="26" xfId="44" applyNumberFormat="1" applyFont="1" applyBorder="1"/>
    <xf numFmtId="0" fontId="33" fillId="0" borderId="64" xfId="44" applyFont="1" applyBorder="1"/>
    <xf numFmtId="0" fontId="0" fillId="0" borderId="52" xfId="0" applyBorder="1" applyAlignment="1">
      <alignment vertical="top"/>
    </xf>
    <xf numFmtId="0" fontId="0" fillId="0" borderId="57" xfId="0" applyBorder="1" applyAlignment="1">
      <alignment vertical="top"/>
    </xf>
    <xf numFmtId="0" fontId="0" fillId="0" borderId="51" xfId="0" applyBorder="1" applyAlignment="1">
      <alignment vertical="top"/>
    </xf>
    <xf numFmtId="0" fontId="0" fillId="0" borderId="26" xfId="0" applyBorder="1" applyAlignment="1">
      <alignment vertical="top"/>
    </xf>
    <xf numFmtId="0" fontId="0" fillId="0" borderId="55" xfId="0" applyBorder="1" applyAlignment="1">
      <alignment vertical="top"/>
    </xf>
    <xf numFmtId="0" fontId="0" fillId="0" borderId="50" xfId="0" applyBorder="1" applyAlignment="1">
      <alignment vertical="top"/>
    </xf>
    <xf numFmtId="0" fontId="0" fillId="0" borderId="15" xfId="0" applyBorder="1" applyAlignment="1">
      <alignment vertical="top"/>
    </xf>
    <xf numFmtId="0" fontId="0" fillId="0" borderId="56" xfId="0" applyBorder="1" applyAlignment="1">
      <alignment vertical="top"/>
    </xf>
    <xf numFmtId="0" fontId="0" fillId="0" borderId="55" xfId="0" applyBorder="1">
      <alignment vertical="center"/>
    </xf>
    <xf numFmtId="0" fontId="38" fillId="0" borderId="0" xfId="44" applyFont="1" applyAlignment="1">
      <alignment horizontal="right"/>
    </xf>
    <xf numFmtId="0" fontId="0" fillId="0" borderId="64" xfId="0" applyBorder="1" applyAlignment="1">
      <alignment vertical="top"/>
    </xf>
    <xf numFmtId="179" fontId="0" fillId="0" borderId="10" xfId="0" applyNumberFormat="1" applyBorder="1" applyAlignment="1">
      <alignment vertical="top"/>
    </xf>
    <xf numFmtId="0" fontId="38" fillId="0" borderId="52" xfId="0" applyFont="1" applyBorder="1" applyAlignment="1">
      <alignment vertical="top"/>
    </xf>
    <xf numFmtId="0" fontId="38" fillId="0" borderId="53" xfId="0" applyFont="1" applyBorder="1" applyAlignment="1">
      <alignment vertical="top"/>
    </xf>
    <xf numFmtId="0" fontId="38" fillId="0" borderId="54" xfId="0" applyFont="1" applyBorder="1" applyAlignment="1">
      <alignment vertical="top"/>
    </xf>
    <xf numFmtId="0" fontId="38" fillId="0" borderId="10" xfId="0" applyFont="1" applyBorder="1">
      <alignment vertical="center"/>
    </xf>
    <xf numFmtId="0" fontId="38" fillId="0" borderId="26" xfId="0" applyFont="1" applyBorder="1" applyAlignment="1">
      <alignment vertical="top" wrapText="1"/>
    </xf>
    <xf numFmtId="0" fontId="38" fillId="0" borderId="50" xfId="0" applyFont="1" applyBorder="1" applyAlignment="1">
      <alignment vertical="top" wrapText="1"/>
    </xf>
    <xf numFmtId="0" fontId="38" fillId="0" borderId="27" xfId="0" applyFont="1" applyBorder="1" applyAlignment="1">
      <alignment vertical="top" wrapText="1"/>
    </xf>
    <xf numFmtId="0" fontId="38" fillId="0" borderId="26" xfId="0" applyFont="1" applyBorder="1" applyAlignment="1">
      <alignment vertical="top"/>
    </xf>
    <xf numFmtId="0" fontId="38" fillId="0" borderId="50" xfId="0" applyFont="1" applyBorder="1" applyAlignment="1">
      <alignment vertical="top"/>
    </xf>
    <xf numFmtId="0" fontId="38" fillId="0" borderId="27" xfId="0" applyFont="1" applyBorder="1">
      <alignment vertical="center"/>
    </xf>
    <xf numFmtId="0" fontId="38" fillId="0" borderId="51" xfId="0" applyFont="1" applyBorder="1">
      <alignment vertical="center"/>
    </xf>
    <xf numFmtId="0" fontId="38" fillId="0" borderId="64" xfId="0" applyFont="1" applyBorder="1" applyAlignment="1">
      <alignment vertical="top"/>
    </xf>
    <xf numFmtId="0" fontId="38" fillId="0" borderId="0" xfId="0" applyFont="1" applyAlignment="1">
      <alignment vertical="top"/>
    </xf>
    <xf numFmtId="0" fontId="38" fillId="0" borderId="17" xfId="0" applyFont="1" applyBorder="1" applyAlignment="1">
      <alignment vertical="top"/>
    </xf>
    <xf numFmtId="198" fontId="38" fillId="0" borderId="26" xfId="0" applyNumberFormat="1" applyFont="1" applyBorder="1" applyAlignment="1">
      <alignment vertical="top"/>
    </xf>
    <xf numFmtId="198" fontId="38" fillId="0" borderId="50" xfId="0" applyNumberFormat="1" applyFont="1" applyBorder="1" applyAlignment="1">
      <alignment vertical="top"/>
    </xf>
    <xf numFmtId="0" fontId="38" fillId="0" borderId="15" xfId="0" applyFont="1" applyBorder="1">
      <alignment vertical="center"/>
    </xf>
    <xf numFmtId="0" fontId="38" fillId="0" borderId="56" xfId="0" applyFont="1" applyBorder="1" applyAlignment="1">
      <alignment vertical="top"/>
    </xf>
    <xf numFmtId="0" fontId="38" fillId="0" borderId="57" xfId="0" applyFont="1" applyBorder="1" applyAlignment="1">
      <alignment vertical="top"/>
    </xf>
    <xf numFmtId="0" fontId="38" fillId="0" borderId="58" xfId="0" applyFont="1" applyBorder="1" applyAlignment="1">
      <alignment vertical="top"/>
    </xf>
    <xf numFmtId="0" fontId="38" fillId="0" borderId="10" xfId="0" applyFont="1" applyBorder="1" applyAlignment="1">
      <alignment vertical="top"/>
    </xf>
    <xf numFmtId="0" fontId="38" fillId="0" borderId="10" xfId="0" applyFont="1" applyBorder="1" applyAlignment="1">
      <alignment vertical="top" wrapText="1"/>
    </xf>
    <xf numFmtId="0" fontId="38" fillId="0" borderId="51" xfId="0" applyFont="1" applyBorder="1" applyAlignment="1">
      <alignment vertical="top"/>
    </xf>
    <xf numFmtId="0" fontId="38" fillId="0" borderId="27" xfId="0" applyFont="1" applyBorder="1" applyAlignment="1">
      <alignment vertical="top"/>
    </xf>
    <xf numFmtId="38" fontId="38" fillId="0" borderId="10" xfId="35" applyFont="1" applyBorder="1" applyAlignment="1">
      <alignment vertical="top"/>
    </xf>
    <xf numFmtId="9" fontId="38" fillId="0" borderId="10" xfId="0" applyNumberFormat="1" applyFont="1" applyBorder="1" applyAlignment="1">
      <alignment vertical="top"/>
    </xf>
    <xf numFmtId="0" fontId="38" fillId="0" borderId="10" xfId="0" applyFont="1" applyBorder="1" applyAlignment="1">
      <alignment horizontal="center"/>
    </xf>
    <xf numFmtId="198" fontId="38" fillId="0" borderId="10" xfId="0" applyNumberFormat="1" applyFont="1" applyBorder="1">
      <alignment vertical="center"/>
    </xf>
    <xf numFmtId="0" fontId="38" fillId="0" borderId="55" xfId="0" applyFont="1" applyBorder="1" applyAlignment="1">
      <alignment vertical="top"/>
    </xf>
    <xf numFmtId="0" fontId="38" fillId="0" borderId="15" xfId="0" applyFont="1" applyBorder="1" applyAlignment="1">
      <alignment vertical="top"/>
    </xf>
    <xf numFmtId="0" fontId="38" fillId="26" borderId="0" xfId="0" applyFont="1" applyFill="1">
      <alignment vertical="center"/>
    </xf>
    <xf numFmtId="0" fontId="38" fillId="0" borderId="55" xfId="0" applyFont="1" applyBorder="1">
      <alignment vertical="center"/>
    </xf>
    <xf numFmtId="0" fontId="38" fillId="0" borderId="26" xfId="0" applyFont="1" applyBorder="1">
      <alignment vertical="center"/>
    </xf>
    <xf numFmtId="0" fontId="38" fillId="0" borderId="50" xfId="0" applyFont="1" applyBorder="1">
      <alignment vertical="center"/>
    </xf>
    <xf numFmtId="38" fontId="38" fillId="0" borderId="10" xfId="35" applyFont="1" applyBorder="1">
      <alignment vertical="center"/>
    </xf>
    <xf numFmtId="38" fontId="38" fillId="0" borderId="0" xfId="0" applyNumberFormat="1" applyFont="1">
      <alignment vertical="center"/>
    </xf>
    <xf numFmtId="197" fontId="38" fillId="27" borderId="10" xfId="35" applyNumberFormat="1" applyFont="1" applyFill="1" applyBorder="1" applyAlignment="1" applyProtection="1"/>
    <xf numFmtId="40" fontId="38" fillId="27" borderId="10" xfId="35" applyNumberFormat="1" applyFont="1" applyFill="1" applyBorder="1" applyAlignment="1" applyProtection="1">
      <alignment horizontal="right" vertical="center"/>
    </xf>
    <xf numFmtId="0" fontId="12" fillId="0" borderId="0" xfId="0" applyFont="1" applyAlignment="1">
      <alignment vertical="top"/>
    </xf>
    <xf numFmtId="40" fontId="38" fillId="27" borderId="0" xfId="35" applyNumberFormat="1" applyFont="1" applyFill="1" applyBorder="1" applyAlignment="1" applyProtection="1">
      <alignment horizontal="right" vertical="center"/>
    </xf>
    <xf numFmtId="40" fontId="38" fillId="27" borderId="63" xfId="35" applyNumberFormat="1" applyFont="1" applyFill="1" applyBorder="1" applyAlignment="1" applyProtection="1">
      <alignment horizontal="right" vertical="center"/>
    </xf>
    <xf numFmtId="0" fontId="38" fillId="0" borderId="50" xfId="0" applyFont="1" applyBorder="1" applyAlignment="1">
      <alignment horizontal="center" vertical="center"/>
    </xf>
    <xf numFmtId="0" fontId="38" fillId="27" borderId="63" xfId="0" applyFont="1" applyFill="1" applyBorder="1">
      <alignment vertical="center"/>
    </xf>
    <xf numFmtId="0" fontId="38" fillId="27" borderId="65" xfId="0" applyFont="1" applyFill="1" applyBorder="1">
      <alignment vertical="center"/>
    </xf>
    <xf numFmtId="0" fontId="38" fillId="27" borderId="66" xfId="0" applyFont="1" applyFill="1" applyBorder="1">
      <alignment vertical="center"/>
    </xf>
    <xf numFmtId="0" fontId="38" fillId="0" borderId="54" xfId="0" applyFont="1" applyBorder="1">
      <alignment vertical="center"/>
    </xf>
    <xf numFmtId="0" fontId="38" fillId="0" borderId="0" xfId="0" applyFont="1" applyAlignment="1">
      <alignment horizontal="right" vertical="center"/>
    </xf>
    <xf numFmtId="177" fontId="38" fillId="27" borderId="10" xfId="28" applyNumberFormat="1" applyFont="1" applyFill="1" applyBorder="1" applyAlignment="1" applyProtection="1">
      <alignment horizontal="center" vertical="center"/>
    </xf>
    <xf numFmtId="179" fontId="38" fillId="27" borderId="16" xfId="0" quotePrefix="1" applyNumberFormat="1" applyFont="1" applyFill="1" applyBorder="1" applyAlignment="1">
      <alignment horizontal="center" vertical="center"/>
    </xf>
    <xf numFmtId="179" fontId="38" fillId="27" borderId="16" xfId="0" applyNumberFormat="1" applyFont="1" applyFill="1" applyBorder="1" applyAlignment="1">
      <alignment horizontal="center" vertical="center"/>
    </xf>
    <xf numFmtId="9" fontId="0" fillId="0" borderId="0" xfId="0" applyNumberFormat="1">
      <alignment vertical="center"/>
    </xf>
    <xf numFmtId="38" fontId="0" fillId="0" borderId="0" xfId="35" applyFont="1">
      <alignment vertical="center"/>
    </xf>
    <xf numFmtId="0" fontId="0" fillId="26" borderId="0" xfId="0" applyFill="1">
      <alignment vertical="center"/>
    </xf>
    <xf numFmtId="0" fontId="12" fillId="27" borderId="13" xfId="0" applyFont="1" applyFill="1" applyBorder="1" applyAlignment="1">
      <alignment horizontal="left" vertical="center"/>
    </xf>
    <xf numFmtId="0" fontId="12" fillId="27" borderId="163" xfId="0" applyFont="1" applyFill="1" applyBorder="1" applyAlignment="1">
      <alignment horizontal="left" vertical="center"/>
    </xf>
    <xf numFmtId="0" fontId="32" fillId="49" borderId="0" xfId="0" applyFont="1" applyFill="1" applyAlignment="1">
      <alignment horizontal="left" vertical="center"/>
    </xf>
    <xf numFmtId="0" fontId="125" fillId="0" borderId="0" xfId="0" applyFont="1">
      <alignment vertical="center"/>
    </xf>
    <xf numFmtId="0" fontId="38" fillId="0" borderId="52" xfId="0" applyFont="1" applyBorder="1">
      <alignment vertical="center"/>
    </xf>
    <xf numFmtId="0" fontId="38" fillId="0" borderId="64" xfId="0" applyFont="1" applyBorder="1">
      <alignment vertical="center"/>
    </xf>
    <xf numFmtId="0" fontId="38" fillId="0" borderId="56" xfId="0" applyFont="1" applyBorder="1">
      <alignment vertical="center"/>
    </xf>
    <xf numFmtId="0" fontId="38" fillId="0" borderId="17" xfId="0" applyFont="1" applyBorder="1">
      <alignment vertical="center"/>
    </xf>
    <xf numFmtId="38" fontId="38" fillId="0" borderId="10" xfId="35" applyFont="1" applyBorder="1" applyAlignment="1">
      <alignment horizontal="center"/>
    </xf>
    <xf numFmtId="0" fontId="0" fillId="50" borderId="0" xfId="0" applyFill="1">
      <alignment vertical="center"/>
    </xf>
    <xf numFmtId="0" fontId="0" fillId="50" borderId="57" xfId="0" quotePrefix="1" applyFill="1" applyBorder="1">
      <alignment vertical="center"/>
    </xf>
    <xf numFmtId="0" fontId="38" fillId="50" borderId="10" xfId="0" applyFont="1" applyFill="1" applyBorder="1">
      <alignment vertical="center"/>
    </xf>
    <xf numFmtId="204" fontId="38" fillId="50" borderId="10" xfId="0" applyNumberFormat="1" applyFont="1" applyFill="1" applyBorder="1">
      <alignment vertical="center"/>
    </xf>
    <xf numFmtId="204" fontId="38" fillId="50" borderId="10" xfId="35" applyNumberFormat="1" applyFont="1" applyFill="1" applyBorder="1">
      <alignment vertical="center"/>
    </xf>
    <xf numFmtId="0" fontId="38" fillId="50" borderId="0" xfId="0" applyFont="1" applyFill="1">
      <alignment vertical="center"/>
    </xf>
    <xf numFmtId="38" fontId="38" fillId="50" borderId="10" xfId="35" applyFont="1" applyFill="1" applyBorder="1">
      <alignment vertical="center"/>
    </xf>
    <xf numFmtId="0" fontId="33" fillId="0" borderId="0" xfId="0" applyFont="1" applyAlignment="1">
      <alignment horizontal="left" vertical="center"/>
    </xf>
    <xf numFmtId="179" fontId="33" fillId="31" borderId="26" xfId="0" applyNumberFormat="1" applyFont="1" applyFill="1" applyBorder="1" applyProtection="1">
      <alignment vertical="center"/>
      <protection hidden="1"/>
    </xf>
    <xf numFmtId="0" fontId="33" fillId="31" borderId="151" xfId="0" applyFont="1" applyFill="1" applyBorder="1" applyAlignment="1" applyProtection="1">
      <alignment horizontal="left" vertical="center"/>
      <protection hidden="1"/>
    </xf>
    <xf numFmtId="0" fontId="162" fillId="27" borderId="0" xfId="0" applyFont="1" applyFill="1" applyAlignment="1">
      <alignment horizontal="left" vertical="center"/>
    </xf>
    <xf numFmtId="0" fontId="33" fillId="27" borderId="52" xfId="0" applyFont="1" applyFill="1" applyBorder="1" applyAlignment="1" applyProtection="1">
      <alignment horizontal="left" vertical="center"/>
      <protection hidden="1"/>
    </xf>
    <xf numFmtId="0" fontId="162" fillId="27" borderId="57" xfId="0" applyFont="1" applyFill="1" applyBorder="1" applyAlignment="1">
      <alignment horizontal="left" vertical="center"/>
    </xf>
    <xf numFmtId="0" fontId="33" fillId="31" borderId="89" xfId="0" applyFont="1" applyFill="1" applyBorder="1" applyAlignment="1" applyProtection="1">
      <alignment horizontal="centerContinuous" vertical="center"/>
      <protection hidden="1"/>
    </xf>
    <xf numFmtId="0" fontId="33" fillId="31" borderId="53" xfId="0" applyFont="1" applyFill="1" applyBorder="1" applyAlignment="1" applyProtection="1">
      <alignment horizontal="centerContinuous" vertical="top"/>
      <protection hidden="1"/>
    </xf>
    <xf numFmtId="176" fontId="33" fillId="27" borderId="64" xfId="0" applyNumberFormat="1" applyFont="1" applyFill="1" applyBorder="1" applyAlignment="1" applyProtection="1">
      <alignment horizontal="left" vertical="center"/>
      <protection hidden="1"/>
    </xf>
    <xf numFmtId="0" fontId="162" fillId="27" borderId="17" xfId="0" applyFont="1" applyFill="1" applyBorder="1" applyAlignment="1">
      <alignment horizontal="left" vertical="center"/>
    </xf>
    <xf numFmtId="176" fontId="33" fillId="27" borderId="56" xfId="0" applyNumberFormat="1" applyFont="1" applyFill="1" applyBorder="1" applyAlignment="1" applyProtection="1">
      <alignment horizontal="left" vertical="center"/>
      <protection hidden="1"/>
    </xf>
    <xf numFmtId="0" fontId="162" fillId="27" borderId="58" xfId="0" applyFont="1" applyFill="1" applyBorder="1" applyAlignment="1">
      <alignment horizontal="left" vertical="center"/>
    </xf>
    <xf numFmtId="2" fontId="38" fillId="0" borderId="0" xfId="0" applyNumberFormat="1" applyFont="1" applyAlignment="1" applyProtection="1">
      <alignment horizontal="center"/>
      <protection hidden="1"/>
    </xf>
    <xf numFmtId="2" fontId="38" fillId="0" borderId="0" xfId="0" applyNumberFormat="1" applyFont="1" applyAlignment="1" applyProtection="1">
      <alignment horizontal="center" vertical="top" shrinkToFit="1"/>
      <protection hidden="1"/>
    </xf>
    <xf numFmtId="40" fontId="38" fillId="0" borderId="0" xfId="35" applyNumberFormat="1" applyFont="1" applyFill="1" applyBorder="1" applyAlignment="1" applyProtection="1">
      <alignment horizontal="center" vertical="top"/>
      <protection hidden="1"/>
    </xf>
    <xf numFmtId="2" fontId="125" fillId="0" borderId="0" xfId="0" applyNumberFormat="1" applyFont="1" applyAlignment="1" applyProtection="1">
      <alignment horizontal="center" vertical="top"/>
      <protection hidden="1"/>
    </xf>
    <xf numFmtId="2" fontId="125" fillId="0" borderId="0" xfId="35" applyNumberFormat="1" applyFont="1" applyFill="1" applyBorder="1" applyAlignment="1" applyProtection="1">
      <alignment horizontal="center" vertical="center"/>
      <protection hidden="1"/>
    </xf>
    <xf numFmtId="2" fontId="125" fillId="0" borderId="0" xfId="35" applyNumberFormat="1" applyFont="1" applyFill="1" applyBorder="1" applyAlignment="1" applyProtection="1">
      <alignment horizontal="center"/>
      <protection hidden="1"/>
    </xf>
    <xf numFmtId="2" fontId="38" fillId="0" borderId="0" xfId="35" applyNumberFormat="1" applyFont="1" applyFill="1" applyBorder="1" applyAlignment="1" applyProtection="1">
      <alignment horizontal="center" vertical="center"/>
      <protection hidden="1"/>
    </xf>
    <xf numFmtId="178" fontId="38" fillId="0" borderId="0" xfId="35" applyNumberFormat="1" applyFont="1" applyFill="1" applyBorder="1" applyAlignment="1" applyProtection="1">
      <alignment horizontal="center" vertical="center"/>
      <protection hidden="1"/>
    </xf>
    <xf numFmtId="178" fontId="125" fillId="0" borderId="0" xfId="35" applyNumberFormat="1" applyFont="1" applyFill="1" applyBorder="1" applyAlignment="1" applyProtection="1">
      <alignment horizontal="center"/>
      <protection hidden="1"/>
    </xf>
    <xf numFmtId="2" fontId="38" fillId="0" borderId="0" xfId="35" applyNumberFormat="1" applyFont="1" applyFill="1" applyBorder="1" applyAlignment="1" applyProtection="1">
      <alignment horizontal="center"/>
      <protection hidden="1"/>
    </xf>
    <xf numFmtId="2" fontId="125" fillId="0" borderId="0" xfId="0" applyNumberFormat="1" applyFont="1" applyAlignment="1" applyProtection="1">
      <alignment horizontal="center"/>
      <protection hidden="1"/>
    </xf>
    <xf numFmtId="0" fontId="12" fillId="0" borderId="0" xfId="0" applyFont="1" applyAlignment="1">
      <alignment horizontal="left" vertical="center"/>
    </xf>
    <xf numFmtId="0" fontId="149" fillId="0" borderId="0" xfId="0" applyFont="1" applyAlignment="1" applyProtection="1">
      <alignment horizontal="left" vertical="center"/>
      <protection hidden="1"/>
    </xf>
    <xf numFmtId="0" fontId="49" fillId="0" borderId="0" xfId="0" quotePrefix="1" applyFont="1" applyAlignment="1" applyProtection="1">
      <alignment horizontal="left" vertical="center"/>
      <protection hidden="1"/>
    </xf>
    <xf numFmtId="0" fontId="125" fillId="27" borderId="63" xfId="44" applyFont="1" applyFill="1" applyBorder="1" applyAlignment="1">
      <alignment horizontal="center" vertical="center"/>
    </xf>
    <xf numFmtId="0" fontId="33" fillId="27" borderId="0" xfId="44" applyFont="1" applyFill="1" applyAlignment="1">
      <alignment horizontal="right" vertical="center"/>
    </xf>
    <xf numFmtId="178" fontId="38" fillId="27" borderId="10" xfId="44" applyNumberFormat="1" applyFont="1" applyFill="1" applyBorder="1" applyAlignment="1">
      <alignment vertical="center"/>
    </xf>
    <xf numFmtId="178" fontId="38" fillId="27" borderId="26" xfId="44" applyNumberFormat="1" applyFont="1" applyFill="1" applyBorder="1" applyAlignment="1">
      <alignment vertical="center"/>
    </xf>
    <xf numFmtId="178" fontId="38" fillId="27" borderId="10" xfId="28" applyNumberFormat="1" applyFont="1" applyFill="1" applyBorder="1" applyAlignment="1" applyProtection="1">
      <alignment horizontal="center" vertical="center"/>
    </xf>
    <xf numFmtId="178" fontId="38" fillId="27" borderId="148" xfId="44" applyNumberFormat="1" applyFont="1" applyFill="1" applyBorder="1" applyAlignment="1">
      <alignment vertical="center"/>
    </xf>
    <xf numFmtId="0" fontId="33" fillId="27" borderId="0" xfId="44" applyFont="1" applyFill="1" applyAlignment="1">
      <alignment horizontal="left" vertical="center"/>
    </xf>
    <xf numFmtId="178" fontId="38" fillId="27" borderId="0" xfId="44" applyNumberFormat="1" applyFont="1" applyFill="1" applyAlignment="1">
      <alignment vertical="center"/>
    </xf>
    <xf numFmtId="177" fontId="38" fillId="27" borderId="0" xfId="44" applyNumberFormat="1" applyFont="1" applyFill="1" applyAlignment="1">
      <alignment horizontal="center" vertical="center"/>
    </xf>
    <xf numFmtId="178" fontId="38" fillId="27" borderId="0" xfId="28" applyNumberFormat="1" applyFont="1" applyFill="1" applyBorder="1" applyAlignment="1" applyProtection="1">
      <alignment horizontal="center" vertical="center"/>
    </xf>
    <xf numFmtId="178" fontId="38" fillId="27" borderId="63" xfId="44" applyNumberFormat="1" applyFont="1" applyFill="1" applyBorder="1" applyAlignment="1">
      <alignment vertical="center"/>
    </xf>
    <xf numFmtId="0" fontId="38" fillId="27" borderId="10" xfId="44" applyFont="1" applyFill="1" applyBorder="1" applyAlignment="1">
      <alignment vertical="center"/>
    </xf>
    <xf numFmtId="0" fontId="38" fillId="27" borderId="0" xfId="44" applyFont="1" applyFill="1" applyAlignment="1">
      <alignment horizontal="center" vertical="center"/>
    </xf>
    <xf numFmtId="180" fontId="38" fillId="27" borderId="0" xfId="44" applyNumberFormat="1" applyFont="1" applyFill="1" applyAlignment="1">
      <alignment horizontal="center" vertical="center"/>
    </xf>
    <xf numFmtId="0" fontId="38" fillId="27" borderId="63" xfId="44" applyFont="1" applyFill="1" applyBorder="1" applyAlignment="1">
      <alignment vertical="center"/>
    </xf>
    <xf numFmtId="0" fontId="125" fillId="27" borderId="62" xfId="0" applyFont="1" applyFill="1" applyBorder="1">
      <alignment vertical="center"/>
    </xf>
    <xf numFmtId="9" fontId="38" fillId="27" borderId="10" xfId="0" applyNumberFormat="1" applyFont="1" applyFill="1" applyBorder="1">
      <alignment vertical="center"/>
    </xf>
    <xf numFmtId="9" fontId="38" fillId="27" borderId="10" xfId="28" applyFont="1" applyFill="1" applyBorder="1" applyProtection="1">
      <alignment vertical="center"/>
    </xf>
    <xf numFmtId="179" fontId="38" fillId="27" borderId="144" xfId="44" applyNumberFormat="1" applyFont="1" applyFill="1" applyBorder="1" applyAlignment="1">
      <alignment horizontal="right" vertical="center"/>
    </xf>
    <xf numFmtId="179" fontId="38" fillId="27" borderId="0" xfId="44" applyNumberFormat="1" applyFont="1" applyFill="1" applyAlignment="1">
      <alignment horizontal="right" vertical="center"/>
    </xf>
    <xf numFmtId="179" fontId="38" fillId="27" borderId="63" xfId="44" applyNumberFormat="1" applyFont="1" applyFill="1" applyBorder="1" applyAlignment="1">
      <alignment horizontal="right" vertical="center"/>
    </xf>
    <xf numFmtId="177" fontId="38" fillId="27" borderId="27" xfId="44" applyNumberFormat="1" applyFont="1" applyFill="1" applyBorder="1" applyAlignment="1">
      <alignment horizontal="center" vertical="center"/>
    </xf>
    <xf numFmtId="196" fontId="38" fillId="27" borderId="10" xfId="0" applyNumberFormat="1" applyFont="1" applyFill="1" applyBorder="1">
      <alignment vertical="center"/>
    </xf>
    <xf numFmtId="0" fontId="38" fillId="27" borderId="148" xfId="0" applyFont="1" applyFill="1" applyBorder="1">
      <alignment vertical="center"/>
    </xf>
    <xf numFmtId="0" fontId="38" fillId="27" borderId="144" xfId="0" applyFont="1" applyFill="1" applyBorder="1" applyAlignment="1">
      <alignment horizontal="left" vertical="center"/>
    </xf>
    <xf numFmtId="0" fontId="38" fillId="27" borderId="63" xfId="0" applyFont="1" applyFill="1" applyBorder="1" applyAlignment="1">
      <alignment horizontal="left" vertical="center"/>
    </xf>
    <xf numFmtId="0" fontId="38" fillId="27" borderId="62" xfId="44" applyFont="1" applyFill="1" applyBorder="1"/>
    <xf numFmtId="0" fontId="38" fillId="27" borderId="0" xfId="44" applyFont="1" applyFill="1" applyAlignment="1">
      <alignment horizontal="left"/>
    </xf>
    <xf numFmtId="38" fontId="38" fillId="27" borderId="10" xfId="35" applyFont="1" applyFill="1" applyBorder="1" applyAlignment="1" applyProtection="1"/>
    <xf numFmtId="38" fontId="38" fillId="27" borderId="0" xfId="35" applyFont="1" applyFill="1" applyBorder="1" applyAlignment="1" applyProtection="1"/>
    <xf numFmtId="38" fontId="38" fillId="27" borderId="63" xfId="35" applyFont="1" applyFill="1" applyBorder="1" applyAlignment="1" applyProtection="1"/>
    <xf numFmtId="0" fontId="38" fillId="27" borderId="148" xfId="44" applyFont="1" applyFill="1" applyBorder="1"/>
    <xf numFmtId="38" fontId="38" fillId="27" borderId="149" xfId="35" applyFont="1" applyFill="1" applyBorder="1" applyAlignment="1" applyProtection="1"/>
    <xf numFmtId="38" fontId="38" fillId="27" borderId="26" xfId="35" applyFont="1" applyFill="1" applyBorder="1" applyAlignment="1" applyProtection="1"/>
    <xf numFmtId="38" fontId="38" fillId="27" borderId="123" xfId="35" applyFont="1" applyFill="1" applyBorder="1" applyAlignment="1" applyProtection="1"/>
    <xf numFmtId="38" fontId="38" fillId="27" borderId="139" xfId="35" applyFont="1" applyFill="1" applyBorder="1" applyAlignment="1" applyProtection="1"/>
    <xf numFmtId="0" fontId="38" fillId="27" borderId="0" xfId="0" applyFont="1" applyFill="1" applyAlignment="1">
      <alignment horizontal="right"/>
    </xf>
    <xf numFmtId="38" fontId="38" fillId="27" borderId="10" xfId="35" applyFont="1" applyFill="1" applyBorder="1" applyAlignment="1" applyProtection="1">
      <alignment vertical="center"/>
    </xf>
    <xf numFmtId="40" fontId="38" fillId="27" borderId="148" xfId="35" applyNumberFormat="1" applyFont="1" applyFill="1" applyBorder="1" applyAlignment="1" applyProtection="1">
      <alignment vertical="center"/>
    </xf>
    <xf numFmtId="0" fontId="33" fillId="27" borderId="0" xfId="0" applyFont="1" applyFill="1" applyAlignment="1">
      <alignment horizontal="center" vertical="center"/>
    </xf>
    <xf numFmtId="180" fontId="38" fillId="27" borderId="0" xfId="44" applyNumberFormat="1" applyFont="1" applyFill="1" applyAlignment="1">
      <alignment horizontal="left" vertical="center"/>
    </xf>
    <xf numFmtId="2" fontId="0" fillId="0" borderId="10" xfId="0" applyNumberFormat="1" applyBorder="1">
      <alignment vertical="center"/>
    </xf>
    <xf numFmtId="0" fontId="0" fillId="0" borderId="60" xfId="0" applyBorder="1">
      <alignment vertical="center"/>
    </xf>
    <xf numFmtId="0" fontId="29" fillId="0" borderId="0" xfId="0" applyFont="1">
      <alignment vertical="center"/>
    </xf>
    <xf numFmtId="0" fontId="0" fillId="38" borderId="0" xfId="0" applyFill="1">
      <alignment vertical="center"/>
    </xf>
    <xf numFmtId="0" fontId="12" fillId="27" borderId="10" xfId="0" applyFont="1" applyFill="1" applyBorder="1" applyAlignment="1" applyProtection="1">
      <alignment horizontal="center" vertical="center"/>
      <protection hidden="1"/>
    </xf>
    <xf numFmtId="0" fontId="12" fillId="27" borderId="15" xfId="0" applyFont="1" applyFill="1" applyBorder="1" applyAlignment="1" applyProtection="1">
      <alignment horizontal="center" vertical="center"/>
      <protection hidden="1"/>
    </xf>
    <xf numFmtId="0" fontId="33" fillId="27" borderId="54" xfId="0" applyFont="1" applyFill="1" applyBorder="1" applyProtection="1">
      <alignment vertical="center"/>
      <protection hidden="1"/>
    </xf>
    <xf numFmtId="0" fontId="33" fillId="27" borderId="56" xfId="0" applyFont="1" applyFill="1" applyBorder="1" applyProtection="1">
      <alignment vertical="center"/>
      <protection hidden="1"/>
    </xf>
    <xf numFmtId="0" fontId="33" fillId="27" borderId="58" xfId="0" applyFont="1" applyFill="1" applyBorder="1" applyProtection="1">
      <alignment vertical="center"/>
      <protection hidden="1"/>
    </xf>
    <xf numFmtId="0" fontId="33" fillId="27" borderId="50" xfId="0" applyFont="1" applyFill="1" applyBorder="1" applyAlignment="1" applyProtection="1">
      <alignment vertical="center" wrapText="1"/>
      <protection hidden="1"/>
    </xf>
    <xf numFmtId="179" fontId="33" fillId="31" borderId="50" xfId="0" applyNumberFormat="1" applyFont="1" applyFill="1" applyBorder="1" applyAlignment="1" applyProtection="1">
      <alignment horizontal="center" vertical="center"/>
      <protection hidden="1"/>
    </xf>
    <xf numFmtId="0" fontId="33" fillId="31" borderId="52" xfId="0" applyFont="1" applyFill="1" applyBorder="1" applyAlignment="1" applyProtection="1">
      <alignment horizontal="center" vertical="center"/>
      <protection hidden="1"/>
    </xf>
    <xf numFmtId="0" fontId="33" fillId="51" borderId="26" xfId="0" applyFont="1" applyFill="1" applyBorder="1">
      <alignment vertical="center"/>
    </xf>
    <xf numFmtId="0" fontId="33" fillId="51" borderId="50" xfId="0" applyFont="1" applyFill="1" applyBorder="1">
      <alignment vertical="center"/>
    </xf>
    <xf numFmtId="0" fontId="33" fillId="51" borderId="10" xfId="0" applyFont="1" applyFill="1" applyBorder="1" applyAlignment="1">
      <alignment horizontal="center" vertical="center"/>
    </xf>
    <xf numFmtId="0" fontId="12" fillId="0" borderId="144" xfId="0" applyFont="1" applyBorder="1">
      <alignment vertical="center"/>
    </xf>
    <xf numFmtId="0" fontId="33" fillId="53" borderId="10" xfId="0" applyFont="1" applyFill="1" applyBorder="1">
      <alignment vertical="center"/>
    </xf>
    <xf numFmtId="0" fontId="33" fillId="53" borderId="10" xfId="0" applyFont="1" applyFill="1" applyBorder="1" applyAlignment="1">
      <alignment horizontal="center" vertical="center"/>
    </xf>
    <xf numFmtId="0" fontId="33" fillId="51" borderId="10" xfId="0" applyFont="1" applyFill="1" applyBorder="1">
      <alignment vertical="center"/>
    </xf>
    <xf numFmtId="182" fontId="33" fillId="51" borderId="10" xfId="0" applyNumberFormat="1" applyFont="1" applyFill="1" applyBorder="1" applyAlignment="1">
      <alignment horizontal="center" vertical="center"/>
    </xf>
    <xf numFmtId="0" fontId="33" fillId="27" borderId="0" xfId="0" applyFont="1" applyFill="1">
      <alignment vertical="center"/>
    </xf>
    <xf numFmtId="40" fontId="0" fillId="0" borderId="10" xfId="0" applyNumberFormat="1" applyBorder="1">
      <alignment vertical="center"/>
    </xf>
    <xf numFmtId="205" fontId="0" fillId="0" borderId="10" xfId="0" applyNumberFormat="1" applyBorder="1">
      <alignment vertical="center"/>
    </xf>
    <xf numFmtId="196" fontId="38" fillId="41" borderId="16" xfId="0" applyNumberFormat="1" applyFont="1" applyFill="1" applyBorder="1" applyAlignment="1" applyProtection="1">
      <alignment horizontal="center" vertical="center"/>
      <protection locked="0"/>
    </xf>
    <xf numFmtId="196" fontId="38" fillId="41" borderId="11" xfId="0" applyNumberFormat="1" applyFont="1" applyFill="1" applyBorder="1" applyAlignment="1" applyProtection="1">
      <alignment horizontal="center" vertical="center"/>
      <protection locked="0"/>
    </xf>
    <xf numFmtId="196" fontId="38" fillId="41" borderId="160" xfId="0" applyNumberFormat="1" applyFont="1" applyFill="1" applyBorder="1" applyAlignment="1" applyProtection="1">
      <alignment horizontal="center" vertical="center"/>
      <protection locked="0"/>
    </xf>
    <xf numFmtId="9" fontId="38" fillId="41" borderId="16" xfId="0" applyNumberFormat="1" applyFont="1" applyFill="1" applyBorder="1" applyAlignment="1" applyProtection="1">
      <alignment horizontal="center" vertical="center"/>
      <protection locked="0"/>
    </xf>
    <xf numFmtId="0" fontId="38" fillId="41" borderId="16" xfId="0" applyFont="1" applyFill="1" applyBorder="1" applyProtection="1">
      <alignment vertical="center"/>
      <protection locked="0"/>
    </xf>
    <xf numFmtId="9" fontId="38" fillId="41" borderId="11" xfId="0" applyNumberFormat="1" applyFont="1" applyFill="1" applyBorder="1" applyAlignment="1" applyProtection="1">
      <alignment horizontal="center" vertical="center"/>
      <protection locked="0"/>
    </xf>
    <xf numFmtId="9" fontId="38" fillId="41" borderId="160" xfId="0" applyNumberFormat="1" applyFont="1" applyFill="1" applyBorder="1" applyAlignment="1" applyProtection="1">
      <alignment horizontal="center" vertical="center"/>
      <protection locked="0"/>
    </xf>
    <xf numFmtId="0" fontId="12" fillId="38" borderId="162" xfId="0" applyFont="1" applyFill="1" applyBorder="1" applyAlignment="1">
      <alignment vertical="center" wrapText="1"/>
    </xf>
    <xf numFmtId="0" fontId="33" fillId="31" borderId="55" xfId="0" applyFont="1" applyFill="1" applyBorder="1" applyAlignment="1" applyProtection="1">
      <alignment horizontal="center" vertical="center" wrapText="1"/>
      <protection hidden="1"/>
    </xf>
    <xf numFmtId="0" fontId="33" fillId="31" borderId="26" xfId="0" applyFont="1" applyFill="1" applyBorder="1" applyAlignment="1" applyProtection="1">
      <alignment horizontal="centerContinuous" vertical="center" wrapText="1"/>
      <protection hidden="1"/>
    </xf>
    <xf numFmtId="0" fontId="33" fillId="31" borderId="50" xfId="0" applyFont="1" applyFill="1" applyBorder="1" applyAlignment="1" applyProtection="1">
      <alignment horizontal="centerContinuous" vertical="center" wrapText="1"/>
      <protection hidden="1"/>
    </xf>
    <xf numFmtId="0" fontId="33" fillId="31" borderId="54" xfId="0" applyFont="1" applyFill="1" applyBorder="1" applyAlignment="1" applyProtection="1">
      <alignment horizontal="center" vertical="center"/>
      <protection hidden="1"/>
    </xf>
    <xf numFmtId="0" fontId="33" fillId="31" borderId="17" xfId="0" applyFont="1" applyFill="1" applyBorder="1" applyAlignment="1" applyProtection="1">
      <alignment horizontal="left" vertical="center"/>
      <protection hidden="1"/>
    </xf>
    <xf numFmtId="0" fontId="41" fillId="27" borderId="51" xfId="0" applyFont="1" applyFill="1" applyBorder="1" applyAlignment="1" applyProtection="1">
      <alignment vertical="center" wrapText="1"/>
      <protection hidden="1"/>
    </xf>
    <xf numFmtId="0" fontId="33" fillId="27" borderId="15" xfId="0" applyFont="1" applyFill="1" applyBorder="1" applyAlignment="1" applyProtection="1">
      <alignment vertical="center" wrapText="1"/>
      <protection hidden="1"/>
    </xf>
    <xf numFmtId="0" fontId="33" fillId="27" borderId="55" xfId="0" applyFont="1" applyFill="1" applyBorder="1" applyAlignment="1" applyProtection="1">
      <alignment vertical="center" wrapText="1"/>
      <protection hidden="1"/>
    </xf>
    <xf numFmtId="0" fontId="33" fillId="31" borderId="10" xfId="0" applyFont="1" applyFill="1" applyBorder="1" applyAlignment="1" applyProtection="1">
      <alignment horizontal="center" vertical="center"/>
      <protection hidden="1"/>
    </xf>
    <xf numFmtId="179" fontId="33" fillId="31" borderId="50" xfId="0" applyNumberFormat="1" applyFont="1" applyFill="1" applyBorder="1" applyAlignment="1" applyProtection="1">
      <alignment horizontal="center" vertical="center" wrapText="1"/>
      <protection hidden="1"/>
    </xf>
    <xf numFmtId="0" fontId="33" fillId="31" borderId="17" xfId="0" applyFont="1" applyFill="1" applyBorder="1" applyAlignment="1" applyProtection="1">
      <alignment horizontal="center" vertical="center"/>
      <protection hidden="1"/>
    </xf>
    <xf numFmtId="179" fontId="33" fillId="31" borderId="54" xfId="0" applyNumberFormat="1" applyFont="1" applyFill="1" applyBorder="1" applyAlignment="1" applyProtection="1">
      <alignment horizontal="center" vertical="center" wrapText="1"/>
      <protection hidden="1"/>
    </xf>
    <xf numFmtId="2" fontId="125" fillId="54" borderId="26" xfId="35" applyNumberFormat="1" applyFont="1" applyFill="1" applyBorder="1" applyAlignment="1" applyProtection="1">
      <alignment horizontal="center" vertical="center"/>
      <protection hidden="1"/>
    </xf>
    <xf numFmtId="2" fontId="38" fillId="54" borderId="10" xfId="35" applyNumberFormat="1" applyFont="1" applyFill="1" applyBorder="1" applyAlignment="1" applyProtection="1">
      <alignment horizontal="center" vertical="center"/>
      <protection hidden="1"/>
    </xf>
    <xf numFmtId="2" fontId="38" fillId="55" borderId="10" xfId="35" applyNumberFormat="1" applyFont="1" applyFill="1" applyBorder="1" applyAlignment="1" applyProtection="1">
      <alignment horizontal="center" vertical="center"/>
      <protection hidden="1"/>
    </xf>
    <xf numFmtId="2" fontId="38" fillId="54" borderId="26" xfId="35" applyNumberFormat="1" applyFont="1" applyFill="1" applyBorder="1" applyAlignment="1" applyProtection="1">
      <alignment horizontal="center" vertical="center"/>
      <protection hidden="1"/>
    </xf>
    <xf numFmtId="178" fontId="125" fillId="54" borderId="26" xfId="0" applyNumberFormat="1" applyFont="1" applyFill="1" applyBorder="1" applyAlignment="1" applyProtection="1">
      <alignment horizontal="center" vertical="center"/>
      <protection hidden="1"/>
    </xf>
    <xf numFmtId="178" fontId="38" fillId="54" borderId="26" xfId="0" applyNumberFormat="1" applyFont="1" applyFill="1" applyBorder="1" applyAlignment="1" applyProtection="1">
      <alignment horizontal="center" vertical="center"/>
      <protection hidden="1"/>
    </xf>
    <xf numFmtId="178" fontId="38" fillId="56" borderId="26" xfId="35" applyNumberFormat="1" applyFont="1" applyFill="1" applyBorder="1" applyAlignment="1" applyProtection="1">
      <alignment horizontal="center" vertical="center"/>
      <protection hidden="1"/>
    </xf>
    <xf numFmtId="178" fontId="38" fillId="55" borderId="26" xfId="0" applyNumberFormat="1" applyFont="1" applyFill="1" applyBorder="1" applyAlignment="1" applyProtection="1">
      <alignment horizontal="center" vertical="center"/>
      <protection hidden="1"/>
    </xf>
    <xf numFmtId="178" fontId="165" fillId="54" borderId="26" xfId="0" applyNumberFormat="1" applyFont="1" applyFill="1" applyBorder="1" applyAlignment="1" applyProtection="1">
      <alignment horizontal="center" vertical="center"/>
      <protection hidden="1"/>
    </xf>
    <xf numFmtId="178" fontId="38" fillId="57" borderId="26" xfId="35" applyNumberFormat="1" applyFont="1" applyFill="1" applyBorder="1" applyAlignment="1" applyProtection="1">
      <alignment horizontal="center" vertical="center"/>
      <protection hidden="1"/>
    </xf>
    <xf numFmtId="178" fontId="38" fillId="54" borderId="26" xfId="35" applyNumberFormat="1" applyFont="1" applyFill="1" applyBorder="1" applyAlignment="1" applyProtection="1">
      <alignment horizontal="center" vertical="center"/>
      <protection hidden="1"/>
    </xf>
    <xf numFmtId="178" fontId="38" fillId="54" borderId="10" xfId="35" applyNumberFormat="1" applyFont="1" applyFill="1" applyBorder="1" applyAlignment="1" applyProtection="1">
      <alignment horizontal="center" vertical="center"/>
      <protection hidden="1"/>
    </xf>
    <xf numFmtId="0" fontId="0" fillId="0" borderId="0" xfId="0" applyAlignment="1"/>
    <xf numFmtId="200" fontId="12" fillId="27" borderId="0" xfId="45" applyNumberFormat="1" applyFill="1" applyAlignment="1" applyProtection="1">
      <alignment vertical="center"/>
      <protection hidden="1"/>
    </xf>
    <xf numFmtId="38" fontId="38" fillId="41" borderId="144" xfId="35" applyFont="1" applyFill="1" applyBorder="1" applyAlignment="1" applyProtection="1">
      <alignment horizontal="center" vertical="center" shrinkToFit="1"/>
      <protection locked="0"/>
    </xf>
    <xf numFmtId="203" fontId="0" fillId="50" borderId="0" xfId="0" applyNumberFormat="1" applyFill="1">
      <alignment vertical="center"/>
    </xf>
    <xf numFmtId="0" fontId="41" fillId="31" borderId="53" xfId="0" applyFont="1" applyFill="1" applyBorder="1" applyAlignment="1" applyProtection="1">
      <alignment horizontal="right" vertical="center"/>
      <protection hidden="1"/>
    </xf>
    <xf numFmtId="2" fontId="33" fillId="31" borderId="54" xfId="0" applyNumberFormat="1" applyFont="1" applyFill="1" applyBorder="1" applyAlignment="1" applyProtection="1">
      <alignment horizontal="left" vertical="center"/>
      <protection hidden="1"/>
    </xf>
    <xf numFmtId="0" fontId="31" fillId="27" borderId="12" xfId="0" applyFont="1" applyFill="1" applyBorder="1" applyAlignment="1" applyProtection="1">
      <alignment horizontal="center" vertical="center"/>
      <protection hidden="1"/>
    </xf>
    <xf numFmtId="0" fontId="31" fillId="27" borderId="56" xfId="0" applyFont="1" applyFill="1" applyBorder="1" applyAlignment="1" applyProtection="1">
      <alignment horizontal="center" vertical="center"/>
      <protection hidden="1"/>
    </xf>
    <xf numFmtId="0" fontId="33" fillId="53" borderId="26" xfId="0" applyFont="1" applyFill="1" applyBorder="1" applyAlignment="1" applyProtection="1">
      <alignment horizontal="centerContinuous" vertical="center"/>
      <protection hidden="1"/>
    </xf>
    <xf numFmtId="179" fontId="33" fillId="31" borderId="26" xfId="0" applyNumberFormat="1" applyFont="1" applyFill="1" applyBorder="1" applyAlignment="1" applyProtection="1">
      <alignment horizontal="center" vertical="center"/>
      <protection hidden="1"/>
    </xf>
    <xf numFmtId="2" fontId="38" fillId="27" borderId="10" xfId="28" applyNumberFormat="1" applyFont="1" applyFill="1" applyBorder="1" applyProtection="1">
      <alignment vertical="center"/>
    </xf>
    <xf numFmtId="178" fontId="38" fillId="39" borderId="144" xfId="0" applyNumberFormat="1" applyFont="1" applyFill="1" applyBorder="1" applyProtection="1">
      <alignment vertical="center"/>
      <protection locked="0"/>
    </xf>
    <xf numFmtId="40" fontId="38" fillId="27" borderId="10" xfId="35" applyNumberFormat="1" applyFont="1" applyFill="1" applyBorder="1" applyProtection="1">
      <alignment vertical="center"/>
    </xf>
    <xf numFmtId="0" fontId="38" fillId="27" borderId="50" xfId="0" applyFont="1" applyFill="1" applyBorder="1">
      <alignment vertical="center"/>
    </xf>
    <xf numFmtId="178" fontId="38" fillId="58" borderId="144" xfId="0" applyNumberFormat="1" applyFont="1" applyFill="1" applyBorder="1" applyProtection="1">
      <alignment vertical="center"/>
      <protection locked="0"/>
    </xf>
    <xf numFmtId="0" fontId="129" fillId="0" borderId="10" xfId="0" applyFont="1" applyBorder="1" applyAlignment="1" applyProtection="1">
      <alignment horizontal="center" vertical="center"/>
      <protection hidden="1"/>
    </xf>
    <xf numFmtId="177" fontId="34" fillId="0" borderId="113" xfId="0" applyNumberFormat="1" applyFont="1" applyBorder="1" applyAlignment="1" applyProtection="1">
      <alignment horizontal="center" vertical="center"/>
      <protection hidden="1"/>
    </xf>
    <xf numFmtId="177" fontId="34" fillId="0" borderId="114" xfId="0" applyNumberFormat="1" applyFont="1" applyBorder="1" applyAlignment="1" applyProtection="1">
      <alignment horizontal="center" vertical="center"/>
      <protection hidden="1"/>
    </xf>
    <xf numFmtId="177" fontId="34" fillId="0" borderId="116" xfId="0" applyNumberFormat="1" applyFont="1" applyBorder="1" applyAlignment="1" applyProtection="1">
      <alignment horizontal="center" vertical="center"/>
      <protection hidden="1"/>
    </xf>
    <xf numFmtId="177" fontId="34" fillId="0" borderId="117" xfId="0" applyNumberFormat="1" applyFont="1" applyBorder="1" applyAlignment="1" applyProtection="1">
      <alignment horizontal="center" vertical="center"/>
      <protection hidden="1"/>
    </xf>
    <xf numFmtId="177" fontId="34" fillId="0" borderId="118" xfId="0" applyNumberFormat="1" applyFont="1" applyBorder="1" applyAlignment="1" applyProtection="1">
      <alignment horizontal="center" vertical="center"/>
      <protection hidden="1"/>
    </xf>
    <xf numFmtId="177" fontId="34" fillId="0" borderId="119" xfId="0" applyNumberFormat="1" applyFont="1" applyBorder="1" applyAlignment="1" applyProtection="1">
      <alignment horizontal="center" vertical="center"/>
      <protection hidden="1"/>
    </xf>
    <xf numFmtId="177" fontId="34" fillId="0" borderId="92" xfId="0" applyNumberFormat="1" applyFont="1" applyBorder="1" applyAlignment="1" applyProtection="1">
      <alignment horizontal="center" vertical="center"/>
      <protection hidden="1"/>
    </xf>
    <xf numFmtId="177" fontId="34" fillId="0" borderId="115" xfId="0" applyNumberFormat="1" applyFont="1" applyBorder="1" applyAlignment="1" applyProtection="1">
      <alignment horizontal="center" vertical="center"/>
      <protection hidden="1"/>
    </xf>
    <xf numFmtId="177" fontId="54" fillId="0" borderId="10" xfId="0" applyNumberFormat="1" applyFont="1" applyBorder="1" applyAlignment="1" applyProtection="1">
      <alignment horizontal="center" vertical="center"/>
      <protection hidden="1"/>
    </xf>
    <xf numFmtId="3" fontId="171" fillId="0" borderId="62" xfId="0" applyNumberFormat="1" applyFont="1" applyBorder="1" applyAlignment="1" applyProtection="1">
      <alignment horizontal="left" vertical="center"/>
      <protection hidden="1"/>
    </xf>
    <xf numFmtId="0" fontId="171" fillId="0" borderId="62" xfId="0" applyFont="1" applyBorder="1" applyProtection="1">
      <alignment vertical="center"/>
      <protection hidden="1"/>
    </xf>
    <xf numFmtId="0" fontId="172" fillId="0" borderId="0" xfId="0" applyFont="1">
      <alignment vertical="center"/>
    </xf>
    <xf numFmtId="0" fontId="0" fillId="60" borderId="0" xfId="0" applyFill="1">
      <alignment vertical="center"/>
    </xf>
    <xf numFmtId="0" fontId="173" fillId="0" borderId="0" xfId="0" applyFont="1">
      <alignment vertical="center"/>
    </xf>
    <xf numFmtId="191" fontId="125" fillId="31" borderId="10" xfId="35" applyNumberFormat="1" applyFont="1" applyFill="1" applyBorder="1" applyAlignment="1" applyProtection="1">
      <alignment horizontal="center" vertical="center"/>
      <protection hidden="1"/>
    </xf>
    <xf numFmtId="191" fontId="125" fillId="31" borderId="27" xfId="35" applyNumberFormat="1" applyFont="1" applyFill="1" applyBorder="1" applyAlignment="1" applyProtection="1">
      <alignment horizontal="center" vertical="center"/>
      <protection hidden="1"/>
    </xf>
    <xf numFmtId="191" fontId="125" fillId="27" borderId="10" xfId="35" applyNumberFormat="1" applyFont="1" applyFill="1" applyBorder="1" applyAlignment="1" applyProtection="1">
      <alignment horizontal="center"/>
      <protection hidden="1"/>
    </xf>
    <xf numFmtId="191" fontId="125" fillId="27" borderId="27" xfId="35" applyNumberFormat="1" applyFont="1" applyFill="1" applyBorder="1" applyAlignment="1" applyProtection="1">
      <alignment horizontal="center"/>
      <protection hidden="1"/>
    </xf>
    <xf numFmtId="191" fontId="38" fillId="27" borderId="10" xfId="35" applyNumberFormat="1" applyFont="1" applyFill="1" applyBorder="1" applyAlignment="1" applyProtection="1">
      <alignment horizontal="center" vertical="center"/>
      <protection hidden="1"/>
    </xf>
    <xf numFmtId="191" fontId="125" fillId="27" borderId="10" xfId="35" applyNumberFormat="1" applyFont="1" applyFill="1" applyBorder="1" applyAlignment="1" applyProtection="1">
      <alignment horizontal="center" vertical="center"/>
      <protection hidden="1"/>
    </xf>
    <xf numFmtId="191" fontId="125" fillId="27" borderId="27" xfId="35" applyNumberFormat="1" applyFont="1" applyFill="1" applyBorder="1" applyAlignment="1" applyProtection="1">
      <alignment horizontal="center" vertical="center"/>
      <protection hidden="1"/>
    </xf>
    <xf numFmtId="191" fontId="38" fillId="27" borderId="10" xfId="35" applyNumberFormat="1" applyFont="1" applyFill="1" applyBorder="1" applyAlignment="1" applyProtection="1">
      <alignment horizontal="center"/>
      <protection hidden="1"/>
    </xf>
    <xf numFmtId="191" fontId="125" fillId="31" borderId="27" xfId="0" applyNumberFormat="1" applyFont="1" applyFill="1" applyBorder="1" applyAlignment="1" applyProtection="1">
      <alignment horizontal="center"/>
      <protection hidden="1"/>
    </xf>
    <xf numFmtId="191" fontId="125" fillId="31" borderId="10" xfId="0" applyNumberFormat="1" applyFont="1" applyFill="1" applyBorder="1" applyAlignment="1" applyProtection="1">
      <alignment horizontal="center"/>
      <protection hidden="1"/>
    </xf>
    <xf numFmtId="191" fontId="174" fillId="31" borderId="10" xfId="35" applyNumberFormat="1" applyFont="1" applyFill="1" applyBorder="1" applyAlignment="1" applyProtection="1">
      <alignment horizontal="center" vertical="center"/>
      <protection hidden="1"/>
    </xf>
    <xf numFmtId="191" fontId="174" fillId="31" borderId="27" xfId="35" applyNumberFormat="1" applyFont="1" applyFill="1" applyBorder="1" applyAlignment="1" applyProtection="1">
      <alignment horizontal="center" vertical="center"/>
      <protection hidden="1"/>
    </xf>
    <xf numFmtId="191" fontId="174" fillId="27" borderId="10" xfId="35" applyNumberFormat="1" applyFont="1" applyFill="1" applyBorder="1" applyAlignment="1" applyProtection="1">
      <alignment horizontal="center"/>
      <protection hidden="1"/>
    </xf>
    <xf numFmtId="191" fontId="174" fillId="54" borderId="26" xfId="35" applyNumberFormat="1" applyFont="1" applyFill="1" applyBorder="1" applyAlignment="1" applyProtection="1">
      <alignment horizontal="center" vertical="center"/>
      <protection hidden="1"/>
    </xf>
    <xf numFmtId="191" fontId="174" fillId="27" borderId="27" xfId="35" applyNumberFormat="1" applyFont="1" applyFill="1" applyBorder="1" applyAlignment="1" applyProtection="1">
      <alignment horizontal="center"/>
      <protection hidden="1"/>
    </xf>
    <xf numFmtId="191" fontId="175" fillId="27" borderId="10" xfId="35" applyNumberFormat="1" applyFont="1" applyFill="1" applyBorder="1" applyAlignment="1" applyProtection="1">
      <alignment horizontal="center" vertical="center"/>
      <protection hidden="1"/>
    </xf>
    <xf numFmtId="191" fontId="175" fillId="54" borderId="10" xfId="35" applyNumberFormat="1" applyFont="1" applyFill="1" applyBorder="1" applyAlignment="1" applyProtection="1">
      <alignment horizontal="center" vertical="center"/>
      <protection hidden="1"/>
    </xf>
    <xf numFmtId="191" fontId="175" fillId="27" borderId="27" xfId="35" applyNumberFormat="1" applyFont="1" applyFill="1" applyBorder="1" applyAlignment="1" applyProtection="1">
      <alignment horizontal="center" vertical="center"/>
      <protection hidden="1"/>
    </xf>
    <xf numFmtId="191" fontId="175" fillId="54" borderId="26" xfId="35" applyNumberFormat="1" applyFont="1" applyFill="1" applyBorder="1" applyAlignment="1" applyProtection="1">
      <alignment horizontal="center" vertical="center"/>
      <protection hidden="1"/>
    </xf>
    <xf numFmtId="191" fontId="174" fillId="54" borderId="26" xfId="0" applyNumberFormat="1" applyFont="1" applyFill="1" applyBorder="1" applyAlignment="1" applyProtection="1">
      <alignment horizontal="center" vertical="center"/>
      <protection hidden="1"/>
    </xf>
    <xf numFmtId="191" fontId="175" fillId="54" borderId="26" xfId="0" applyNumberFormat="1" applyFont="1" applyFill="1" applyBorder="1" applyAlignment="1" applyProtection="1">
      <alignment horizontal="center" vertical="center"/>
      <protection hidden="1"/>
    </xf>
    <xf numFmtId="191" fontId="175" fillId="27" borderId="10" xfId="0" applyNumberFormat="1" applyFont="1" applyFill="1" applyBorder="1" applyAlignment="1" applyProtection="1">
      <alignment horizontal="center"/>
      <protection hidden="1"/>
    </xf>
    <xf numFmtId="191" fontId="175" fillId="42" borderId="10" xfId="35" applyNumberFormat="1" applyFont="1" applyFill="1" applyBorder="1" applyAlignment="1" applyProtection="1">
      <alignment horizontal="center" vertical="center"/>
      <protection hidden="1"/>
    </xf>
    <xf numFmtId="191" fontId="175" fillId="56" borderId="26" xfId="35" applyNumberFormat="1" applyFont="1" applyFill="1" applyBorder="1" applyAlignment="1" applyProtection="1">
      <alignment horizontal="center" vertical="center"/>
      <protection hidden="1"/>
    </xf>
    <xf numFmtId="191" fontId="175" fillId="42" borderId="27" xfId="35" applyNumberFormat="1" applyFont="1" applyFill="1" applyBorder="1" applyAlignment="1" applyProtection="1">
      <alignment horizontal="center" vertical="center"/>
      <protection hidden="1"/>
    </xf>
    <xf numFmtId="191" fontId="174" fillId="27" borderId="10" xfId="35" applyNumberFormat="1" applyFont="1" applyFill="1" applyBorder="1" applyAlignment="1" applyProtection="1">
      <alignment horizontal="center" vertical="center"/>
      <protection hidden="1"/>
    </xf>
    <xf numFmtId="191" fontId="174" fillId="27" borderId="27" xfId="35" applyNumberFormat="1" applyFont="1" applyFill="1" applyBorder="1" applyAlignment="1" applyProtection="1">
      <alignment horizontal="center" vertical="center"/>
      <protection hidden="1"/>
    </xf>
    <xf numFmtId="191" fontId="175" fillId="27" borderId="26" xfId="35" applyNumberFormat="1" applyFont="1" applyFill="1" applyBorder="1" applyAlignment="1" applyProtection="1">
      <alignment horizontal="center" vertical="center"/>
      <protection hidden="1"/>
    </xf>
    <xf numFmtId="191" fontId="175" fillId="27" borderId="26" xfId="0" applyNumberFormat="1" applyFont="1" applyFill="1" applyBorder="1" applyAlignment="1" applyProtection="1">
      <alignment horizontal="center" vertical="center"/>
      <protection hidden="1"/>
    </xf>
    <xf numFmtId="191" fontId="174" fillId="27" borderId="26" xfId="35" applyNumberFormat="1" applyFont="1" applyFill="1" applyBorder="1" applyAlignment="1" applyProtection="1">
      <alignment horizontal="center"/>
      <protection hidden="1"/>
    </xf>
    <xf numFmtId="191" fontId="175" fillId="27" borderId="10" xfId="35" applyNumberFormat="1" applyFont="1" applyFill="1" applyBorder="1" applyAlignment="1" applyProtection="1">
      <alignment horizontal="center"/>
      <protection hidden="1"/>
    </xf>
    <xf numFmtId="191" fontId="175" fillId="27" borderId="27" xfId="35" applyNumberFormat="1" applyFont="1" applyFill="1" applyBorder="1" applyAlignment="1" applyProtection="1">
      <alignment horizontal="center"/>
      <protection hidden="1"/>
    </xf>
    <xf numFmtId="191" fontId="174" fillId="35" borderId="10" xfId="35" applyNumberFormat="1" applyFont="1" applyFill="1" applyBorder="1" applyAlignment="1" applyProtection="1">
      <alignment horizontal="center" vertical="top"/>
      <protection hidden="1"/>
    </xf>
    <xf numFmtId="191" fontId="174" fillId="35" borderId="26" xfId="35" applyNumberFormat="1" applyFont="1" applyFill="1" applyBorder="1" applyAlignment="1" applyProtection="1">
      <alignment horizontal="center" vertical="top"/>
      <protection hidden="1"/>
    </xf>
    <xf numFmtId="191" fontId="174" fillId="35" borderId="27" xfId="0" applyNumberFormat="1" applyFont="1" applyFill="1" applyBorder="1" applyAlignment="1" applyProtection="1">
      <alignment horizontal="center" vertical="top"/>
      <protection hidden="1"/>
    </xf>
    <xf numFmtId="191" fontId="174" fillId="35" borderId="10" xfId="0" applyNumberFormat="1" applyFont="1" applyFill="1" applyBorder="1" applyAlignment="1" applyProtection="1">
      <alignment horizontal="center" vertical="top"/>
      <protection hidden="1"/>
    </xf>
    <xf numFmtId="191" fontId="174" fillId="31" borderId="27" xfId="0" applyNumberFormat="1" applyFont="1" applyFill="1" applyBorder="1" applyAlignment="1" applyProtection="1">
      <alignment horizontal="center"/>
      <protection hidden="1"/>
    </xf>
    <xf numFmtId="191" fontId="174" fillId="31" borderId="10" xfId="0" applyNumberFormat="1" applyFont="1" applyFill="1" applyBorder="1" applyAlignment="1" applyProtection="1">
      <alignment horizontal="center"/>
      <protection hidden="1"/>
    </xf>
    <xf numFmtId="191" fontId="174" fillId="27" borderId="27" xfId="0" applyNumberFormat="1" applyFont="1" applyFill="1" applyBorder="1" applyAlignment="1" applyProtection="1">
      <alignment horizontal="center"/>
      <protection hidden="1"/>
    </xf>
    <xf numFmtId="191" fontId="174" fillId="27" borderId="10" xfId="0" applyNumberFormat="1" applyFont="1" applyFill="1" applyBorder="1" applyAlignment="1" applyProtection="1">
      <alignment horizontal="center"/>
      <protection hidden="1"/>
    </xf>
    <xf numFmtId="191" fontId="175" fillId="27" borderId="27" xfId="0" applyNumberFormat="1" applyFont="1" applyFill="1" applyBorder="1" applyAlignment="1" applyProtection="1">
      <alignment horizontal="center"/>
      <protection hidden="1"/>
    </xf>
    <xf numFmtId="199" fontId="34" fillId="0" borderId="92" xfId="0" applyNumberFormat="1" applyFont="1" applyBorder="1" applyAlignment="1" applyProtection="1">
      <alignment horizontal="center" vertical="center"/>
      <protection hidden="1"/>
    </xf>
    <xf numFmtId="199" fontId="34" fillId="0" borderId="115" xfId="0" applyNumberFormat="1" applyFont="1" applyBorder="1" applyAlignment="1" applyProtection="1">
      <alignment horizontal="center" vertical="center"/>
      <protection hidden="1"/>
    </xf>
    <xf numFmtId="0" fontId="33" fillId="27" borderId="158" xfId="0" applyFont="1" applyFill="1" applyBorder="1" applyAlignment="1" applyProtection="1">
      <alignment vertical="center" wrapText="1"/>
      <protection hidden="1"/>
    </xf>
    <xf numFmtId="0" fontId="12" fillId="27" borderId="157" xfId="0" applyFont="1" applyFill="1" applyBorder="1">
      <alignment vertical="center"/>
    </xf>
    <xf numFmtId="0" fontId="12" fillId="27" borderId="158" xfId="0" applyFont="1" applyFill="1" applyBorder="1">
      <alignment vertical="center"/>
    </xf>
    <xf numFmtId="0" fontId="33" fillId="27" borderId="187" xfId="0" applyFont="1" applyFill="1" applyBorder="1" applyProtection="1">
      <alignment vertical="center"/>
      <protection hidden="1"/>
    </xf>
    <xf numFmtId="0" fontId="33" fillId="27" borderId="173" xfId="0" applyFont="1" applyFill="1" applyBorder="1" applyAlignment="1" applyProtection="1">
      <alignment vertical="center" wrapText="1"/>
      <protection hidden="1"/>
    </xf>
    <xf numFmtId="0" fontId="33" fillId="27" borderId="173" xfId="0" applyFont="1" applyFill="1" applyBorder="1" applyProtection="1">
      <alignment vertical="center"/>
      <protection hidden="1"/>
    </xf>
    <xf numFmtId="0" fontId="33" fillId="27" borderId="174" xfId="0" applyFont="1" applyFill="1" applyBorder="1" applyAlignment="1" applyProtection="1">
      <alignment vertical="center" wrapText="1"/>
      <protection hidden="1"/>
    </xf>
    <xf numFmtId="0" fontId="38" fillId="0" borderId="89" xfId="0" applyFont="1" applyBorder="1" applyProtection="1">
      <alignment vertical="center"/>
      <protection hidden="1"/>
    </xf>
    <xf numFmtId="2" fontId="39" fillId="0" borderId="53" xfId="0" applyNumberFormat="1" applyFont="1" applyBorder="1" applyAlignment="1" applyProtection="1">
      <alignment horizontal="left" vertical="center"/>
      <protection hidden="1"/>
    </xf>
    <xf numFmtId="182" fontId="38" fillId="0" borderId="53" xfId="0" applyNumberFormat="1" applyFont="1" applyBorder="1" applyAlignment="1" applyProtection="1">
      <alignment horizontal="left" vertical="center"/>
      <protection hidden="1"/>
    </xf>
    <xf numFmtId="0" fontId="57" fillId="0" borderId="90" xfId="0" applyFont="1" applyBorder="1" applyProtection="1">
      <alignment vertical="center"/>
      <protection hidden="1"/>
    </xf>
    <xf numFmtId="0" fontId="38" fillId="0" borderId="89" xfId="0" applyFont="1" applyBorder="1" applyAlignment="1" applyProtection="1">
      <alignment horizontal="left" vertical="center"/>
      <protection hidden="1"/>
    </xf>
    <xf numFmtId="37" fontId="39" fillId="0" borderId="53" xfId="0" applyNumberFormat="1" applyFont="1" applyBorder="1" applyAlignment="1" applyProtection="1">
      <alignment horizontal="left" vertical="center"/>
      <protection hidden="1"/>
    </xf>
    <xf numFmtId="0" fontId="57" fillId="0" borderId="201" xfId="0" applyFont="1" applyBorder="1" applyProtection="1">
      <alignment vertical="center"/>
      <protection hidden="1"/>
    </xf>
    <xf numFmtId="3" fontId="38" fillId="0" borderId="53" xfId="0" applyNumberFormat="1" applyFont="1" applyBorder="1" applyAlignment="1" applyProtection="1">
      <alignment horizontal="right" vertical="center"/>
      <protection hidden="1"/>
    </xf>
    <xf numFmtId="193" fontId="31" fillId="31" borderId="26" xfId="0" applyNumberFormat="1" applyFont="1" applyFill="1" applyBorder="1" applyAlignment="1" applyProtection="1">
      <alignment horizontal="center" vertical="center"/>
      <protection hidden="1"/>
    </xf>
    <xf numFmtId="0" fontId="33" fillId="27" borderId="10" xfId="0" applyFont="1" applyFill="1" applyBorder="1" applyAlignment="1" applyProtection="1">
      <alignment horizontal="center" vertical="center"/>
      <protection locked="0"/>
    </xf>
    <xf numFmtId="191" fontId="38" fillId="27" borderId="26" xfId="35" applyNumberFormat="1" applyFont="1" applyFill="1" applyBorder="1" applyAlignment="1" applyProtection="1">
      <alignment horizontal="center" vertical="center"/>
      <protection hidden="1"/>
    </xf>
    <xf numFmtId="40" fontId="38" fillId="35" borderId="27" xfId="0" applyNumberFormat="1" applyFont="1" applyFill="1" applyBorder="1" applyAlignment="1" applyProtection="1">
      <alignment horizontal="center" vertical="top"/>
      <protection hidden="1"/>
    </xf>
    <xf numFmtId="40" fontId="38" fillId="35" borderId="10" xfId="0" applyNumberFormat="1" applyFont="1" applyFill="1" applyBorder="1" applyAlignment="1" applyProtection="1">
      <alignment horizontal="center" vertical="top"/>
      <protection hidden="1"/>
    </xf>
    <xf numFmtId="40" fontId="125" fillId="31" borderId="10" xfId="35" applyNumberFormat="1" applyFont="1" applyFill="1" applyBorder="1" applyAlignment="1" applyProtection="1">
      <alignment horizontal="center" vertical="center"/>
      <protection hidden="1"/>
    </xf>
    <xf numFmtId="40" fontId="125" fillId="52" borderId="10" xfId="35" applyNumberFormat="1" applyFont="1" applyFill="1" applyBorder="1" applyAlignment="1" applyProtection="1">
      <alignment horizontal="center" vertical="center"/>
      <protection hidden="1"/>
    </xf>
    <xf numFmtId="40" fontId="125" fillId="31" borderId="27" xfId="35" applyNumberFormat="1" applyFont="1" applyFill="1" applyBorder="1" applyAlignment="1" applyProtection="1">
      <alignment horizontal="center" vertical="center"/>
      <protection hidden="1"/>
    </xf>
    <xf numFmtId="40" fontId="125" fillId="27" borderId="10" xfId="35" applyNumberFormat="1" applyFont="1" applyFill="1" applyBorder="1" applyAlignment="1" applyProtection="1">
      <alignment horizontal="center"/>
      <protection hidden="1"/>
    </xf>
    <xf numFmtId="40" fontId="125" fillId="27" borderId="26" xfId="35" applyNumberFormat="1" applyFont="1" applyFill="1" applyBorder="1" applyAlignment="1" applyProtection="1">
      <alignment horizontal="center" vertical="center"/>
      <protection hidden="1"/>
    </xf>
    <xf numFmtId="40" fontId="125" fillId="27" borderId="27" xfId="35" applyNumberFormat="1" applyFont="1" applyFill="1" applyBorder="1" applyAlignment="1" applyProtection="1">
      <alignment horizontal="center"/>
      <protection hidden="1"/>
    </xf>
    <xf numFmtId="40" fontId="38" fillId="27" borderId="10" xfId="35" applyNumberFormat="1" applyFont="1" applyFill="1" applyBorder="1" applyAlignment="1" applyProtection="1">
      <alignment horizontal="center" vertical="center"/>
      <protection hidden="1"/>
    </xf>
    <xf numFmtId="40" fontId="38" fillId="27" borderId="27" xfId="35" applyNumberFormat="1" applyFont="1" applyFill="1" applyBorder="1" applyAlignment="1" applyProtection="1">
      <alignment horizontal="center" vertical="center"/>
      <protection hidden="1"/>
    </xf>
    <xf numFmtId="40" fontId="38" fillId="27" borderId="26" xfId="35" applyNumberFormat="1" applyFont="1" applyFill="1" applyBorder="1" applyAlignment="1" applyProtection="1">
      <alignment horizontal="center" vertical="center"/>
      <protection hidden="1"/>
    </xf>
    <xf numFmtId="40" fontId="125" fillId="27" borderId="26" xfId="0" applyNumberFormat="1" applyFont="1" applyFill="1" applyBorder="1" applyAlignment="1" applyProtection="1">
      <alignment horizontal="center" vertical="center"/>
      <protection hidden="1"/>
    </xf>
    <xf numFmtId="40" fontId="38" fillId="27" borderId="26" xfId="0" applyNumberFormat="1" applyFont="1" applyFill="1" applyBorder="1" applyAlignment="1" applyProtection="1">
      <alignment horizontal="center" vertical="center"/>
      <protection hidden="1"/>
    </xf>
    <xf numFmtId="40" fontId="38" fillId="27" borderId="10" xfId="0" applyNumberFormat="1" applyFont="1" applyFill="1" applyBorder="1" applyAlignment="1" applyProtection="1">
      <alignment horizontal="center"/>
      <protection hidden="1"/>
    </xf>
    <xf numFmtId="40" fontId="38" fillId="42" borderId="10" xfId="35" applyNumberFormat="1" applyFont="1" applyFill="1" applyBorder="1" applyAlignment="1" applyProtection="1">
      <alignment horizontal="center" vertical="center"/>
      <protection hidden="1"/>
    </xf>
    <xf numFmtId="40" fontId="38" fillId="42" borderId="26" xfId="35" applyNumberFormat="1" applyFont="1" applyFill="1" applyBorder="1" applyAlignment="1" applyProtection="1">
      <alignment horizontal="center" vertical="center"/>
      <protection hidden="1"/>
    </xf>
    <xf numFmtId="40" fontId="38" fillId="42" borderId="27" xfId="35" applyNumberFormat="1" applyFont="1" applyFill="1" applyBorder="1" applyAlignment="1" applyProtection="1">
      <alignment horizontal="center" vertical="center"/>
      <protection hidden="1"/>
    </xf>
    <xf numFmtId="40" fontId="125" fillId="27" borderId="10" xfId="35" applyNumberFormat="1" applyFont="1" applyFill="1" applyBorder="1" applyAlignment="1" applyProtection="1">
      <alignment horizontal="center" vertical="center"/>
      <protection hidden="1"/>
    </xf>
    <xf numFmtId="40" fontId="125" fillId="27" borderId="27" xfId="35" applyNumberFormat="1" applyFont="1" applyFill="1" applyBorder="1" applyAlignment="1" applyProtection="1">
      <alignment horizontal="center" vertical="center"/>
      <protection hidden="1"/>
    </xf>
    <xf numFmtId="40" fontId="125" fillId="27" borderId="26" xfId="35" applyNumberFormat="1" applyFont="1" applyFill="1" applyBorder="1" applyAlignment="1" applyProtection="1">
      <alignment horizontal="center"/>
      <protection hidden="1"/>
    </xf>
    <xf numFmtId="40" fontId="38" fillId="27" borderId="10" xfId="35" applyNumberFormat="1" applyFont="1" applyFill="1" applyBorder="1" applyAlignment="1" applyProtection="1">
      <alignment horizontal="center"/>
      <protection hidden="1"/>
    </xf>
    <xf numFmtId="40" fontId="38" fillId="27" borderId="27" xfId="35" applyNumberFormat="1" applyFont="1" applyFill="1" applyBorder="1" applyAlignment="1" applyProtection="1">
      <alignment horizontal="center"/>
      <protection hidden="1"/>
    </xf>
    <xf numFmtId="40" fontId="125" fillId="35" borderId="27" xfId="0" applyNumberFormat="1" applyFont="1" applyFill="1" applyBorder="1" applyAlignment="1" applyProtection="1">
      <alignment horizontal="center" vertical="top"/>
      <protection hidden="1"/>
    </xf>
    <xf numFmtId="40" fontId="125" fillId="35" borderId="10" xfId="0" applyNumberFormat="1" applyFont="1" applyFill="1" applyBorder="1" applyAlignment="1" applyProtection="1">
      <alignment horizontal="center" vertical="top"/>
      <protection hidden="1"/>
    </xf>
    <xf numFmtId="40" fontId="125" fillId="31" borderId="26" xfId="35" applyNumberFormat="1" applyFont="1" applyFill="1" applyBorder="1" applyAlignment="1" applyProtection="1">
      <alignment horizontal="center" vertical="center"/>
      <protection hidden="1"/>
    </xf>
    <xf numFmtId="40" fontId="125" fillId="31" borderId="27" xfId="0" applyNumberFormat="1" applyFont="1" applyFill="1" applyBorder="1" applyAlignment="1" applyProtection="1">
      <alignment horizontal="center"/>
      <protection hidden="1"/>
    </xf>
    <xf numFmtId="40" fontId="125" fillId="31" borderId="10" xfId="0" applyNumberFormat="1" applyFont="1" applyFill="1" applyBorder="1" applyAlignment="1" applyProtection="1">
      <alignment horizontal="center"/>
      <protection hidden="1"/>
    </xf>
    <xf numFmtId="40" fontId="125" fillId="27" borderId="27" xfId="0" applyNumberFormat="1" applyFont="1" applyFill="1" applyBorder="1" applyAlignment="1" applyProtection="1">
      <alignment horizontal="center"/>
      <protection hidden="1"/>
    </xf>
    <xf numFmtId="40" fontId="125" fillId="27" borderId="10" xfId="0" applyNumberFormat="1" applyFont="1" applyFill="1" applyBorder="1" applyAlignment="1" applyProtection="1">
      <alignment horizontal="center"/>
      <protection hidden="1"/>
    </xf>
    <xf numFmtId="40" fontId="38" fillId="27" borderId="27" xfId="0" applyNumberFormat="1" applyFont="1" applyFill="1" applyBorder="1" applyAlignment="1" applyProtection="1">
      <alignment horizontal="center"/>
      <protection hidden="1"/>
    </xf>
    <xf numFmtId="0" fontId="31" fillId="27" borderId="50" xfId="0" applyFont="1" applyFill="1" applyBorder="1" applyAlignment="1" applyProtection="1">
      <alignment vertical="center" wrapText="1"/>
      <protection hidden="1"/>
    </xf>
    <xf numFmtId="2" fontId="33" fillId="31" borderId="50" xfId="0" applyNumberFormat="1" applyFont="1" applyFill="1" applyBorder="1" applyAlignment="1" applyProtection="1">
      <alignment horizontal="center" vertical="center"/>
      <protection hidden="1"/>
    </xf>
    <xf numFmtId="0" fontId="33" fillId="31" borderId="58" xfId="0" applyFont="1" applyFill="1" applyBorder="1" applyAlignment="1" applyProtection="1">
      <alignment horizontal="centerContinuous" vertical="center" wrapText="1"/>
      <protection hidden="1"/>
    </xf>
    <xf numFmtId="0" fontId="33" fillId="31" borderId="55" xfId="0" applyFont="1" applyFill="1" applyBorder="1" applyAlignment="1" applyProtection="1">
      <alignment horizontal="centerContinuous" vertical="center" wrapText="1"/>
      <protection hidden="1"/>
    </xf>
    <xf numFmtId="0" fontId="33" fillId="31" borderId="57" xfId="0" applyFont="1" applyFill="1" applyBorder="1" applyAlignment="1" applyProtection="1">
      <alignment horizontal="centerContinuous" vertical="center" wrapText="1"/>
      <protection hidden="1"/>
    </xf>
    <xf numFmtId="0" fontId="33" fillId="31" borderId="10" xfId="0" applyFont="1" applyFill="1" applyBorder="1" applyAlignment="1" applyProtection="1">
      <alignment horizontal="centerContinuous" vertical="center" wrapText="1"/>
      <protection hidden="1"/>
    </xf>
    <xf numFmtId="179" fontId="0" fillId="0" borderId="10" xfId="0" applyNumberFormat="1" applyBorder="1">
      <alignment vertical="center"/>
    </xf>
    <xf numFmtId="0" fontId="0" fillId="0" borderId="0" xfId="0" applyAlignment="1">
      <alignment vertical="top"/>
    </xf>
    <xf numFmtId="0" fontId="31" fillId="61" borderId="16" xfId="0" applyFont="1" applyFill="1" applyBorder="1" applyAlignment="1" applyProtection="1">
      <alignment horizontal="center" vertical="center"/>
      <protection hidden="1"/>
    </xf>
    <xf numFmtId="0" fontId="33" fillId="61" borderId="12" xfId="0" applyFont="1" applyFill="1" applyBorder="1" applyAlignment="1" applyProtection="1">
      <alignment vertical="center" wrapText="1"/>
      <protection hidden="1"/>
    </xf>
    <xf numFmtId="0" fontId="33" fillId="61" borderId="13" xfId="0" applyFont="1" applyFill="1" applyBorder="1" applyAlignment="1" applyProtection="1">
      <alignment vertical="center" wrapText="1"/>
      <protection hidden="1"/>
    </xf>
    <xf numFmtId="0" fontId="33" fillId="61" borderId="14" xfId="0" applyFont="1" applyFill="1" applyBorder="1" applyAlignment="1" applyProtection="1">
      <alignment vertical="center" wrapText="1"/>
      <protection hidden="1"/>
    </xf>
    <xf numFmtId="0" fontId="31" fillId="61" borderId="159" xfId="0" applyFont="1" applyFill="1" applyBorder="1" applyAlignment="1" applyProtection="1">
      <alignment horizontal="center" vertical="center"/>
      <protection hidden="1"/>
    </xf>
    <xf numFmtId="0" fontId="31" fillId="61" borderId="160" xfId="0" applyFont="1" applyFill="1" applyBorder="1" applyAlignment="1" applyProtection="1">
      <alignment horizontal="center" vertical="center"/>
      <protection hidden="1"/>
    </xf>
    <xf numFmtId="191" fontId="125" fillId="54" borderId="26" xfId="35" applyNumberFormat="1" applyFont="1" applyFill="1" applyBorder="1" applyAlignment="1" applyProtection="1">
      <alignment horizontal="center" vertical="center"/>
      <protection hidden="1"/>
    </xf>
    <xf numFmtId="191" fontId="38" fillId="54" borderId="10" xfId="35" applyNumberFormat="1" applyFont="1" applyFill="1" applyBorder="1" applyAlignment="1" applyProtection="1">
      <alignment horizontal="center" vertical="center"/>
      <protection hidden="1"/>
    </xf>
    <xf numFmtId="191" fontId="38" fillId="27" borderId="27" xfId="35" applyNumberFormat="1" applyFont="1" applyFill="1" applyBorder="1" applyAlignment="1" applyProtection="1">
      <alignment horizontal="center" vertical="center"/>
      <protection hidden="1"/>
    </xf>
    <xf numFmtId="191" fontId="125" fillId="54" borderId="26" xfId="0" applyNumberFormat="1" applyFont="1" applyFill="1" applyBorder="1" applyAlignment="1" applyProtection="1">
      <alignment horizontal="center" vertical="center"/>
      <protection hidden="1"/>
    </xf>
    <xf numFmtId="191" fontId="38" fillId="54" borderId="26" xfId="0" applyNumberFormat="1" applyFont="1" applyFill="1" applyBorder="1" applyAlignment="1" applyProtection="1">
      <alignment horizontal="center" vertical="center"/>
      <protection hidden="1"/>
    </xf>
    <xf numFmtId="191" fontId="38" fillId="27" borderId="10" xfId="0" applyNumberFormat="1" applyFont="1" applyFill="1" applyBorder="1" applyAlignment="1" applyProtection="1">
      <alignment horizontal="center"/>
      <protection hidden="1"/>
    </xf>
    <xf numFmtId="191" fontId="38" fillId="42" borderId="10" xfId="35" applyNumberFormat="1" applyFont="1" applyFill="1" applyBorder="1" applyAlignment="1" applyProtection="1">
      <alignment horizontal="center" vertical="center"/>
      <protection hidden="1"/>
    </xf>
    <xf numFmtId="191" fontId="38" fillId="56" borderId="26" xfId="35" applyNumberFormat="1" applyFont="1" applyFill="1" applyBorder="1" applyAlignment="1" applyProtection="1">
      <alignment horizontal="center" vertical="center"/>
      <protection hidden="1"/>
    </xf>
    <xf numFmtId="191" fontId="38" fillId="42" borderId="27" xfId="35" applyNumberFormat="1" applyFont="1" applyFill="1" applyBorder="1" applyAlignment="1" applyProtection="1">
      <alignment horizontal="center" vertical="center"/>
      <protection hidden="1"/>
    </xf>
    <xf numFmtId="191" fontId="38" fillId="54" borderId="26" xfId="35" applyNumberFormat="1" applyFont="1" applyFill="1" applyBorder="1" applyAlignment="1" applyProtection="1">
      <alignment horizontal="center" vertical="center"/>
      <protection hidden="1"/>
    </xf>
    <xf numFmtId="191" fontId="38" fillId="27" borderId="26" xfId="0" applyNumberFormat="1" applyFont="1" applyFill="1" applyBorder="1" applyAlignment="1" applyProtection="1">
      <alignment horizontal="center" vertical="center"/>
      <protection hidden="1"/>
    </xf>
    <xf numFmtId="191" fontId="125" fillId="27" borderId="26" xfId="35" applyNumberFormat="1" applyFont="1" applyFill="1" applyBorder="1" applyAlignment="1" applyProtection="1">
      <alignment horizontal="center"/>
      <protection hidden="1"/>
    </xf>
    <xf numFmtId="191" fontId="38" fillId="27" borderId="27" xfId="35" applyNumberFormat="1" applyFont="1" applyFill="1" applyBorder="1" applyAlignment="1" applyProtection="1">
      <alignment horizontal="center"/>
      <protection hidden="1"/>
    </xf>
    <xf numFmtId="191" fontId="125" fillId="35" borderId="10" xfId="35" applyNumberFormat="1" applyFont="1" applyFill="1" applyBorder="1" applyAlignment="1" applyProtection="1">
      <alignment horizontal="center" vertical="top"/>
      <protection hidden="1"/>
    </xf>
    <xf numFmtId="191" fontId="125" fillId="35" borderId="26" xfId="35" applyNumberFormat="1" applyFont="1" applyFill="1" applyBorder="1" applyAlignment="1" applyProtection="1">
      <alignment horizontal="center" vertical="top"/>
      <protection hidden="1"/>
    </xf>
    <xf numFmtId="191" fontId="125" fillId="35" borderId="27" xfId="0" applyNumberFormat="1" applyFont="1" applyFill="1" applyBorder="1" applyAlignment="1" applyProtection="1">
      <alignment horizontal="center" vertical="top"/>
      <protection hidden="1"/>
    </xf>
    <xf numFmtId="191" fontId="125" fillId="35" borderId="10" xfId="0" applyNumberFormat="1" applyFont="1" applyFill="1" applyBorder="1" applyAlignment="1" applyProtection="1">
      <alignment horizontal="center" vertical="top"/>
      <protection hidden="1"/>
    </xf>
    <xf numFmtId="191" fontId="125" fillId="27" borderId="27" xfId="0" applyNumberFormat="1" applyFont="1" applyFill="1" applyBorder="1" applyAlignment="1" applyProtection="1">
      <alignment horizontal="center"/>
      <protection hidden="1"/>
    </xf>
    <xf numFmtId="191" fontId="125" fillId="27" borderId="10" xfId="0" applyNumberFormat="1" applyFont="1" applyFill="1" applyBorder="1" applyAlignment="1" applyProtection="1">
      <alignment horizontal="center"/>
      <protection hidden="1"/>
    </xf>
    <xf numFmtId="191" fontId="38" fillId="27" borderId="27" xfId="0" applyNumberFormat="1" applyFont="1" applyFill="1" applyBorder="1" applyAlignment="1" applyProtection="1">
      <alignment horizontal="center"/>
      <protection hidden="1"/>
    </xf>
    <xf numFmtId="191" fontId="183" fillId="31" borderId="10" xfId="35" applyNumberFormat="1" applyFont="1" applyFill="1" applyBorder="1" applyAlignment="1" applyProtection="1">
      <alignment horizontal="center" vertical="center"/>
      <protection hidden="1"/>
    </xf>
    <xf numFmtId="191" fontId="184" fillId="27" borderId="10" xfId="35" applyNumberFormat="1" applyFont="1" applyFill="1" applyBorder="1" applyAlignment="1" applyProtection="1">
      <alignment horizontal="center" vertical="center"/>
      <protection hidden="1"/>
    </xf>
    <xf numFmtId="2" fontId="38" fillId="63" borderId="10" xfId="35" applyNumberFormat="1" applyFont="1" applyFill="1" applyBorder="1" applyAlignment="1" applyProtection="1">
      <alignment horizontal="center" vertical="center"/>
      <protection hidden="1"/>
    </xf>
    <xf numFmtId="178" fontId="38" fillId="63" borderId="10" xfId="35" applyNumberFormat="1" applyFont="1" applyFill="1" applyBorder="1" applyAlignment="1" applyProtection="1">
      <alignment horizontal="center" vertical="center"/>
      <protection hidden="1"/>
    </xf>
    <xf numFmtId="191" fontId="183" fillId="27" borderId="10" xfId="35" applyNumberFormat="1" applyFont="1" applyFill="1" applyBorder="1" applyAlignment="1" applyProtection="1">
      <alignment horizontal="center" vertical="center"/>
      <protection hidden="1"/>
    </xf>
    <xf numFmtId="49" fontId="184" fillId="27" borderId="10" xfId="0" applyNumberFormat="1" applyFont="1" applyFill="1" applyBorder="1" applyAlignment="1" applyProtection="1">
      <alignment horizontal="left" vertical="center"/>
      <protection hidden="1"/>
    </xf>
    <xf numFmtId="0" fontId="184" fillId="27" borderId="10" xfId="0" applyFont="1" applyFill="1" applyBorder="1" applyAlignment="1" applyProtection="1">
      <alignment horizontal="left" vertical="center" shrinkToFit="1"/>
      <protection hidden="1"/>
    </xf>
    <xf numFmtId="2" fontId="184" fillId="27" borderId="10" xfId="35" applyNumberFormat="1" applyFont="1" applyFill="1" applyBorder="1" applyAlignment="1" applyProtection="1">
      <alignment horizontal="center" vertical="center"/>
      <protection hidden="1"/>
    </xf>
    <xf numFmtId="191" fontId="183" fillId="27" borderId="10" xfId="35" applyNumberFormat="1" applyFont="1" applyFill="1" applyBorder="1" applyAlignment="1" applyProtection="1">
      <alignment horizontal="center"/>
      <protection hidden="1"/>
    </xf>
    <xf numFmtId="0" fontId="183" fillId="27" borderId="10" xfId="0" applyFont="1" applyFill="1" applyBorder="1" applyAlignment="1" applyProtection="1">
      <alignment horizontal="left" vertical="center" shrinkToFit="1"/>
      <protection hidden="1"/>
    </xf>
    <xf numFmtId="2" fontId="184" fillId="27" borderId="10" xfId="0" applyNumberFormat="1" applyFont="1" applyFill="1" applyBorder="1" applyAlignment="1" applyProtection="1">
      <alignment horizontal="left" vertical="center" shrinkToFit="1"/>
      <protection hidden="1"/>
    </xf>
    <xf numFmtId="191" fontId="184" fillId="27" borderId="10" xfId="35" applyNumberFormat="1" applyFont="1" applyFill="1" applyBorder="1" applyAlignment="1" applyProtection="1">
      <alignment horizontal="center"/>
      <protection hidden="1"/>
    </xf>
    <xf numFmtId="0" fontId="184" fillId="27" borderId="26" xfId="0" applyFont="1" applyFill="1" applyBorder="1" applyAlignment="1" applyProtection="1">
      <alignment horizontal="left" vertical="center" shrinkToFit="1"/>
      <protection hidden="1"/>
    </xf>
    <xf numFmtId="177" fontId="54" fillId="51" borderId="10" xfId="0" applyNumberFormat="1" applyFont="1" applyFill="1" applyBorder="1" applyAlignment="1" applyProtection="1">
      <alignment horizontal="center" vertical="center"/>
      <protection hidden="1"/>
    </xf>
    <xf numFmtId="0" fontId="40" fillId="63" borderId="10" xfId="0" applyFont="1" applyFill="1" applyBorder="1" applyAlignment="1" applyProtection="1">
      <alignment horizontal="center" vertical="center"/>
      <protection hidden="1"/>
    </xf>
    <xf numFmtId="177" fontId="54" fillId="63" borderId="10" xfId="0" applyNumberFormat="1" applyFont="1" applyFill="1" applyBorder="1" applyAlignment="1" applyProtection="1">
      <alignment horizontal="center" vertical="center"/>
      <protection hidden="1"/>
    </xf>
    <xf numFmtId="0" fontId="40" fillId="51" borderId="10" xfId="0" applyFont="1" applyFill="1" applyBorder="1" applyAlignment="1" applyProtection="1">
      <alignment horizontal="center" vertical="center"/>
      <protection hidden="1"/>
    </xf>
    <xf numFmtId="178" fontId="38" fillId="38" borderId="0" xfId="35" applyNumberFormat="1" applyFont="1" applyFill="1" applyBorder="1" applyAlignment="1" applyProtection="1">
      <alignment horizontal="center" vertical="center"/>
      <protection hidden="1"/>
    </xf>
    <xf numFmtId="0" fontId="40" fillId="0" borderId="0" xfId="0" applyFont="1" applyAlignment="1" applyProtection="1">
      <alignment horizontal="center" vertical="justify"/>
      <protection hidden="1"/>
    </xf>
    <xf numFmtId="0" fontId="34" fillId="27" borderId="10" xfId="0" applyFont="1" applyFill="1" applyBorder="1" applyAlignment="1" applyProtection="1">
      <alignment horizontal="center" vertical="center" shrinkToFit="1"/>
      <protection hidden="1"/>
    </xf>
    <xf numFmtId="0" fontId="34" fillId="0" borderId="0" xfId="0" applyFont="1" applyAlignment="1" applyProtection="1">
      <alignment horizontal="center" vertical="justify"/>
      <protection hidden="1"/>
    </xf>
    <xf numFmtId="0" fontId="34" fillId="0" borderId="69" xfId="0" applyFont="1" applyBorder="1" applyAlignment="1" applyProtection="1">
      <alignment horizontal="center" vertical="justify"/>
      <protection hidden="1"/>
    </xf>
    <xf numFmtId="0" fontId="34" fillId="0" borderId="60" xfId="0" applyFont="1" applyBorder="1" applyAlignment="1" applyProtection="1">
      <alignment horizontal="center" vertical="justify"/>
      <protection hidden="1"/>
    </xf>
    <xf numFmtId="0" fontId="34" fillId="0" borderId="66" xfId="0" applyFont="1" applyBorder="1" applyAlignment="1" applyProtection="1">
      <alignment horizontal="center" vertical="justify"/>
      <protection hidden="1"/>
    </xf>
    <xf numFmtId="0" fontId="34" fillId="0" borderId="62" xfId="0" applyFont="1" applyBorder="1" applyAlignment="1" applyProtection="1">
      <alignment horizontal="center" vertical="justify"/>
      <protection hidden="1"/>
    </xf>
    <xf numFmtId="177" fontId="34" fillId="0" borderId="117" xfId="0" applyNumberFormat="1" applyFont="1" applyBorder="1" applyAlignment="1" applyProtection="1">
      <alignment horizontal="center" vertical="justify"/>
      <protection hidden="1"/>
    </xf>
    <xf numFmtId="0" fontId="40" fillId="0" borderId="62" xfId="0" applyFont="1" applyBorder="1" applyAlignment="1" applyProtection="1">
      <alignment horizontal="center" vertical="justify"/>
      <protection hidden="1"/>
    </xf>
    <xf numFmtId="177" fontId="34" fillId="0" borderId="100" xfId="0" applyNumberFormat="1" applyFont="1" applyBorder="1" applyAlignment="1" applyProtection="1">
      <alignment horizontal="center" vertical="justify"/>
      <protection hidden="1"/>
    </xf>
    <xf numFmtId="177" fontId="34" fillId="0" borderId="115" xfId="0" applyNumberFormat="1" applyFont="1" applyBorder="1" applyAlignment="1" applyProtection="1">
      <alignment horizontal="center" vertical="justify"/>
      <protection hidden="1"/>
    </xf>
    <xf numFmtId="177" fontId="34" fillId="0" borderId="92" xfId="0" applyNumberFormat="1" applyFont="1" applyBorder="1" applyAlignment="1" applyProtection="1">
      <alignment horizontal="center" vertical="justify"/>
      <protection hidden="1"/>
    </xf>
    <xf numFmtId="177" fontId="34" fillId="0" borderId="0" xfId="0" applyNumberFormat="1" applyFont="1" applyAlignment="1" applyProtection="1">
      <alignment horizontal="center" vertical="justify"/>
      <protection hidden="1"/>
    </xf>
    <xf numFmtId="0" fontId="50" fillId="0" borderId="0" xfId="0" applyFont="1" applyAlignment="1">
      <alignment horizontal="center" vertical="center"/>
    </xf>
    <xf numFmtId="0" fontId="112" fillId="0" borderId="0" xfId="0" applyFont="1" applyAlignment="1" applyProtection="1">
      <alignment horizontal="center" vertical="top"/>
      <protection hidden="1"/>
    </xf>
    <xf numFmtId="0" fontId="50" fillId="0" borderId="60" xfId="0" applyFont="1" applyBorder="1" applyAlignment="1">
      <alignment horizontal="center" vertical="center"/>
    </xf>
    <xf numFmtId="0" fontId="38" fillId="27" borderId="53" xfId="0" applyFont="1" applyFill="1" applyBorder="1" applyAlignment="1" applyProtection="1">
      <alignment horizontal="left" vertical="center" shrinkToFit="1"/>
      <protection hidden="1"/>
    </xf>
    <xf numFmtId="177" fontId="186" fillId="0" borderId="100" xfId="0" applyNumberFormat="1" applyFont="1" applyBorder="1" applyAlignment="1" applyProtection="1">
      <alignment horizontal="center" vertical="center"/>
      <protection hidden="1"/>
    </xf>
    <xf numFmtId="177" fontId="186" fillId="0" borderId="115" xfId="0" applyNumberFormat="1" applyFont="1" applyBorder="1" applyAlignment="1" applyProtection="1">
      <alignment horizontal="center" vertical="justify"/>
      <protection hidden="1"/>
    </xf>
    <xf numFmtId="177" fontId="186" fillId="0" borderId="118" xfId="0" applyNumberFormat="1" applyFont="1" applyBorder="1" applyAlignment="1" applyProtection="1">
      <alignment horizontal="center" vertical="center"/>
      <protection hidden="1"/>
    </xf>
    <xf numFmtId="177" fontId="186" fillId="0" borderId="116" xfId="0" applyNumberFormat="1" applyFont="1" applyBorder="1" applyAlignment="1" applyProtection="1">
      <alignment horizontal="center" vertical="center"/>
      <protection hidden="1"/>
    </xf>
    <xf numFmtId="2" fontId="31" fillId="0" borderId="10" xfId="0" applyNumberFormat="1" applyFont="1" applyBorder="1" applyAlignment="1" applyProtection="1">
      <alignment horizontal="center" vertical="justify"/>
      <protection hidden="1"/>
    </xf>
    <xf numFmtId="1" fontId="31" fillId="0" borderId="10" xfId="0" applyNumberFormat="1" applyFont="1" applyBorder="1" applyAlignment="1" applyProtection="1">
      <alignment horizontal="center" vertical="justify"/>
      <protection hidden="1"/>
    </xf>
    <xf numFmtId="206" fontId="38" fillId="0" borderId="10" xfId="0" applyNumberFormat="1" applyFont="1" applyBorder="1" applyAlignment="1">
      <alignment vertical="top"/>
    </xf>
    <xf numFmtId="206" fontId="38" fillId="0" borderId="10" xfId="0" applyNumberFormat="1" applyFont="1" applyBorder="1" applyAlignment="1">
      <alignment horizontal="center"/>
    </xf>
    <xf numFmtId="206" fontId="38" fillId="0" borderId="26" xfId="0" applyNumberFormat="1" applyFont="1" applyBorder="1" applyAlignment="1">
      <alignment vertical="top"/>
    </xf>
    <xf numFmtId="206" fontId="38" fillId="0" borderId="50" xfId="0" applyNumberFormat="1" applyFont="1" applyBorder="1" applyAlignment="1">
      <alignment vertical="top"/>
    </xf>
    <xf numFmtId="206" fontId="38" fillId="0" borderId="27" xfId="0" applyNumberFormat="1" applyFont="1" applyBorder="1">
      <alignment vertical="center"/>
    </xf>
    <xf numFmtId="178" fontId="38" fillId="64" borderId="26" xfId="0" applyNumberFormat="1" applyFont="1" applyFill="1" applyBorder="1" applyAlignment="1" applyProtection="1">
      <alignment horizontal="center" vertical="center"/>
      <protection hidden="1"/>
    </xf>
    <xf numFmtId="37" fontId="33" fillId="0" borderId="79" xfId="0" applyNumberFormat="1" applyFont="1" applyBorder="1" applyAlignment="1" applyProtection="1">
      <alignment horizontal="left" vertical="center" shrinkToFit="1"/>
      <protection hidden="1"/>
    </xf>
    <xf numFmtId="0" fontId="38" fillId="0" borderId="53" xfId="44" applyFont="1" applyBorder="1" applyAlignment="1">
      <alignment horizontal="right"/>
    </xf>
    <xf numFmtId="0" fontId="33" fillId="0" borderId="10" xfId="44" applyFont="1" applyBorder="1" applyAlignment="1">
      <alignment horizontal="center"/>
    </xf>
    <xf numFmtId="0" fontId="38" fillId="0" borderId="10" xfId="44" applyFont="1" applyBorder="1" applyAlignment="1">
      <alignment horizontal="left" vertical="top"/>
    </xf>
    <xf numFmtId="40" fontId="38" fillId="41" borderId="10" xfId="35" applyNumberFormat="1" applyFont="1" applyFill="1" applyBorder="1" applyAlignment="1" applyProtection="1">
      <alignment horizontal="right" vertical="center"/>
      <protection locked="0"/>
    </xf>
    <xf numFmtId="205" fontId="38" fillId="58" borderId="10" xfId="0" applyNumberFormat="1" applyFont="1" applyFill="1" applyBorder="1" applyProtection="1">
      <alignment vertical="center"/>
      <protection locked="0"/>
    </xf>
    <xf numFmtId="2" fontId="125" fillId="50" borderId="10" xfId="35" applyNumberFormat="1" applyFont="1" applyFill="1" applyBorder="1" applyAlignment="1" applyProtection="1">
      <alignment horizontal="center" vertical="center"/>
      <protection hidden="1"/>
    </xf>
    <xf numFmtId="2" fontId="38" fillId="50" borderId="10" xfId="35" applyNumberFormat="1" applyFont="1" applyFill="1" applyBorder="1" applyAlignment="1" applyProtection="1">
      <alignment horizontal="center" vertical="center"/>
      <protection hidden="1"/>
    </xf>
    <xf numFmtId="2" fontId="163" fillId="50" borderId="27" xfId="35" applyNumberFormat="1" applyFont="1" applyFill="1" applyBorder="1" applyAlignment="1" applyProtection="1">
      <alignment horizontal="center" vertical="center"/>
      <protection hidden="1"/>
    </xf>
    <xf numFmtId="2" fontId="163" fillId="50" borderId="10" xfId="35" applyNumberFormat="1" applyFont="1" applyFill="1" applyBorder="1" applyAlignment="1" applyProtection="1">
      <alignment horizontal="center" vertical="center"/>
      <protection hidden="1"/>
    </xf>
    <xf numFmtId="0" fontId="41" fillId="27" borderId="0" xfId="0" applyFont="1" applyFill="1" applyAlignment="1">
      <alignment horizontal="right" vertical="center"/>
    </xf>
    <xf numFmtId="0" fontId="33" fillId="31" borderId="26" xfId="0" applyFont="1" applyFill="1" applyBorder="1" applyAlignment="1" applyProtection="1">
      <alignment horizontal="center" vertical="center"/>
      <protection hidden="1"/>
    </xf>
    <xf numFmtId="0" fontId="33" fillId="31" borderId="27" xfId="0" applyFont="1" applyFill="1" applyBorder="1" applyAlignment="1" applyProtection="1">
      <alignment horizontal="center" vertical="center"/>
      <protection hidden="1"/>
    </xf>
    <xf numFmtId="0" fontId="46" fillId="27" borderId="50" xfId="0" applyFont="1" applyFill="1" applyBorder="1" applyAlignment="1" applyProtection="1">
      <alignment horizontal="center" vertical="center" wrapText="1"/>
      <protection hidden="1"/>
    </xf>
    <xf numFmtId="0" fontId="12" fillId="38" borderId="13" xfId="0" applyFont="1" applyFill="1" applyBorder="1">
      <alignment vertical="center"/>
    </xf>
    <xf numFmtId="0" fontId="12" fillId="38" borderId="14" xfId="0" applyFont="1" applyFill="1" applyBorder="1">
      <alignment vertical="center"/>
    </xf>
    <xf numFmtId="0" fontId="12" fillId="38" borderId="163" xfId="0" applyFont="1" applyFill="1" applyBorder="1">
      <alignment vertical="center"/>
    </xf>
    <xf numFmtId="0" fontId="12" fillId="38" borderId="162" xfId="0" applyFont="1" applyFill="1" applyBorder="1">
      <alignment vertical="center"/>
    </xf>
    <xf numFmtId="0" fontId="33" fillId="27" borderId="26" xfId="0" applyFont="1" applyFill="1" applyBorder="1" applyAlignment="1" applyProtection="1">
      <alignment horizontal="center" vertical="center"/>
      <protection hidden="1"/>
    </xf>
    <xf numFmtId="0" fontId="33" fillId="27" borderId="27" xfId="0" applyFont="1" applyFill="1" applyBorder="1" applyAlignment="1" applyProtection="1">
      <alignment horizontal="center" vertical="center"/>
      <protection hidden="1"/>
    </xf>
    <xf numFmtId="0" fontId="12" fillId="27" borderId="169" xfId="0" applyFont="1" applyFill="1" applyBorder="1" applyAlignment="1" applyProtection="1">
      <alignment horizontal="center" vertical="center"/>
      <protection hidden="1"/>
    </xf>
    <xf numFmtId="0" fontId="33" fillId="27" borderId="52" xfId="0" applyFont="1" applyFill="1" applyBorder="1" applyAlignment="1" applyProtection="1">
      <alignment horizontal="center" vertical="center"/>
      <protection hidden="1"/>
    </xf>
    <xf numFmtId="0" fontId="33" fillId="42" borderId="158" xfId="0" applyFont="1" applyFill="1" applyBorder="1" applyAlignment="1" applyProtection="1">
      <alignment vertical="center" wrapText="1"/>
      <protection hidden="1"/>
    </xf>
    <xf numFmtId="0" fontId="33" fillId="42" borderId="14" xfId="0" applyFont="1" applyFill="1" applyBorder="1" applyAlignment="1" applyProtection="1">
      <alignment vertical="center" wrapText="1"/>
      <protection hidden="1"/>
    </xf>
    <xf numFmtId="0" fontId="33" fillId="42" borderId="162" xfId="0" applyFont="1" applyFill="1" applyBorder="1" applyAlignment="1" applyProtection="1">
      <alignment vertical="center" wrapText="1"/>
      <protection hidden="1"/>
    </xf>
    <xf numFmtId="179" fontId="33" fillId="31" borderId="27" xfId="0" applyNumberFormat="1" applyFont="1" applyFill="1" applyBorder="1" applyAlignment="1" applyProtection="1">
      <alignment horizontal="center" vertical="center"/>
      <protection hidden="1"/>
    </xf>
    <xf numFmtId="0" fontId="33" fillId="31" borderId="151" xfId="0" applyFont="1" applyFill="1" applyBorder="1" applyAlignment="1" applyProtection="1">
      <alignment horizontal="center" vertical="center"/>
      <protection hidden="1"/>
    </xf>
    <xf numFmtId="0" fontId="33" fillId="31" borderId="56" xfId="0" quotePrefix="1" applyFont="1" applyFill="1" applyBorder="1" applyAlignment="1" applyProtection="1">
      <alignment horizontal="center" vertical="center"/>
      <protection hidden="1"/>
    </xf>
    <xf numFmtId="0" fontId="41" fillId="31" borderId="68" xfId="0" applyFont="1" applyFill="1" applyBorder="1" applyAlignment="1" applyProtection="1">
      <alignment vertical="center" wrapText="1"/>
      <protection locked="0" hidden="1"/>
    </xf>
    <xf numFmtId="0" fontId="0" fillId="0" borderId="69" xfId="0" applyBorder="1" applyAlignment="1" applyProtection="1">
      <alignment vertical="center" wrapText="1"/>
      <protection locked="0" hidden="1"/>
    </xf>
    <xf numFmtId="0" fontId="0" fillId="0" borderId="71" xfId="0" applyBorder="1" applyAlignment="1" applyProtection="1">
      <alignment vertical="center" wrapText="1"/>
      <protection locked="0" hidden="1"/>
    </xf>
    <xf numFmtId="0" fontId="33" fillId="27" borderId="26" xfId="0" applyFont="1" applyFill="1" applyBorder="1" applyAlignment="1" applyProtection="1">
      <alignment vertical="center" wrapText="1"/>
      <protection hidden="1"/>
    </xf>
    <xf numFmtId="0" fontId="33" fillId="27" borderId="27" xfId="0" applyFont="1" applyFill="1" applyBorder="1" applyAlignment="1" applyProtection="1">
      <alignment vertical="center" wrapText="1"/>
      <protection hidden="1"/>
    </xf>
    <xf numFmtId="0" fontId="33" fillId="27" borderId="179" xfId="0" applyFont="1" applyFill="1" applyBorder="1" applyAlignment="1" applyProtection="1">
      <alignment horizontal="center" vertical="center"/>
      <protection hidden="1"/>
    </xf>
    <xf numFmtId="0" fontId="33" fillId="27" borderId="118" xfId="0" applyFont="1" applyFill="1" applyBorder="1" applyAlignment="1" applyProtection="1">
      <alignment horizontal="center" vertical="center"/>
      <protection hidden="1"/>
    </xf>
    <xf numFmtId="0" fontId="33" fillId="27" borderId="120" xfId="0" applyFont="1" applyFill="1" applyBorder="1" applyAlignment="1" applyProtection="1">
      <alignment horizontal="center" vertical="center"/>
      <protection hidden="1"/>
    </xf>
    <xf numFmtId="0" fontId="31" fillId="27" borderId="53" xfId="0" applyFont="1" applyFill="1" applyBorder="1" applyAlignment="1" applyProtection="1">
      <alignment horizontal="center" vertical="center"/>
      <protection hidden="1"/>
    </xf>
    <xf numFmtId="193" fontId="31" fillId="27" borderId="53" xfId="0" applyNumberFormat="1" applyFont="1" applyFill="1" applyBorder="1" applyAlignment="1" applyProtection="1">
      <alignment horizontal="center" vertical="center"/>
      <protection hidden="1"/>
    </xf>
    <xf numFmtId="9" fontId="33" fillId="27" borderId="180" xfId="0" applyNumberFormat="1" applyFont="1" applyFill="1" applyBorder="1" applyAlignment="1" applyProtection="1">
      <alignment horizontal="center" vertical="center"/>
      <protection locked="0" hidden="1"/>
    </xf>
    <xf numFmtId="0" fontId="33" fillId="27" borderId="174" xfId="0" applyFont="1" applyFill="1" applyBorder="1" applyProtection="1">
      <alignment vertical="center"/>
      <protection hidden="1"/>
    </xf>
    <xf numFmtId="0" fontId="31" fillId="27" borderId="50" xfId="0" applyFont="1" applyFill="1" applyBorder="1" applyAlignment="1" applyProtection="1">
      <alignment horizontal="center" vertical="top"/>
      <protection hidden="1"/>
    </xf>
    <xf numFmtId="0" fontId="33" fillId="51" borderId="13" xfId="0" applyFont="1" applyFill="1" applyBorder="1">
      <alignment vertical="center"/>
    </xf>
    <xf numFmtId="0" fontId="0" fillId="27" borderId="16" xfId="0" applyFill="1" applyBorder="1" applyAlignment="1" applyProtection="1">
      <alignment horizontal="center" vertical="center" wrapText="1"/>
      <protection hidden="1"/>
    </xf>
    <xf numFmtId="0" fontId="0" fillId="27" borderId="159" xfId="0" applyFill="1" applyBorder="1" applyAlignment="1" applyProtection="1">
      <alignment horizontal="center" vertical="center" wrapText="1"/>
      <protection hidden="1"/>
    </xf>
    <xf numFmtId="0" fontId="189" fillId="38" borderId="0" xfId="0" applyFont="1" applyFill="1" applyProtection="1">
      <alignment vertical="center"/>
      <protection hidden="1"/>
    </xf>
    <xf numFmtId="0" fontId="190" fillId="38" borderId="0" xfId="0" applyFont="1" applyFill="1">
      <alignment vertical="center"/>
    </xf>
    <xf numFmtId="0" fontId="190" fillId="0" borderId="57" xfId="0" applyFont="1" applyBorder="1">
      <alignment vertical="center"/>
    </xf>
    <xf numFmtId="0" fontId="190" fillId="0" borderId="0" xfId="0" applyFont="1">
      <alignment vertical="center"/>
    </xf>
    <xf numFmtId="0" fontId="189" fillId="27" borderId="50" xfId="0" applyFont="1" applyFill="1" applyBorder="1" applyAlignment="1" applyProtection="1">
      <alignment horizontal="center" vertical="center"/>
      <protection hidden="1"/>
    </xf>
    <xf numFmtId="0" fontId="189" fillId="27" borderId="51" xfId="0" applyFont="1" applyFill="1" applyBorder="1" applyAlignment="1" applyProtection="1">
      <alignment horizontal="center" vertical="center"/>
      <protection hidden="1"/>
    </xf>
    <xf numFmtId="0" fontId="189" fillId="27" borderId="157" xfId="0" applyFont="1" applyFill="1" applyBorder="1" applyAlignment="1" applyProtection="1">
      <alignment horizontal="left" vertical="center"/>
      <protection hidden="1"/>
    </xf>
    <xf numFmtId="0" fontId="189" fillId="27" borderId="158" xfId="0" applyFont="1" applyFill="1" applyBorder="1" applyAlignment="1" applyProtection="1">
      <alignment horizontal="left" vertical="center"/>
      <protection hidden="1"/>
    </xf>
    <xf numFmtId="0" fontId="189" fillId="27" borderId="156" xfId="0" applyFont="1" applyFill="1" applyBorder="1" applyAlignment="1" applyProtection="1">
      <alignment horizontal="left" vertical="center"/>
      <protection hidden="1"/>
    </xf>
    <xf numFmtId="0" fontId="190" fillId="27" borderId="16" xfId="0" applyFont="1" applyFill="1" applyBorder="1" applyAlignment="1" applyProtection="1">
      <alignment horizontal="center" vertical="center"/>
      <protection hidden="1"/>
    </xf>
    <xf numFmtId="0" fontId="192" fillId="39" borderId="165" xfId="0" applyFont="1" applyFill="1" applyBorder="1" applyAlignment="1" applyProtection="1">
      <alignment horizontal="center" vertical="center"/>
      <protection locked="0" hidden="1"/>
    </xf>
    <xf numFmtId="0" fontId="189" fillId="27" borderId="13" xfId="0" applyFont="1" applyFill="1" applyBorder="1" applyAlignment="1" applyProtection="1">
      <alignment horizontal="left" vertical="center"/>
      <protection hidden="1"/>
    </xf>
    <xf numFmtId="0" fontId="189" fillId="27" borderId="14" xfId="0" applyFont="1" applyFill="1" applyBorder="1" applyAlignment="1" applyProtection="1">
      <alignment horizontal="left" vertical="center"/>
      <protection hidden="1"/>
    </xf>
    <xf numFmtId="0" fontId="189" fillId="27" borderId="12" xfId="0" applyFont="1" applyFill="1" applyBorder="1" applyAlignment="1" applyProtection="1">
      <alignment horizontal="left" vertical="center"/>
      <protection hidden="1"/>
    </xf>
    <xf numFmtId="0" fontId="190" fillId="27" borderId="11" xfId="0" applyFont="1" applyFill="1" applyBorder="1" applyAlignment="1" applyProtection="1">
      <alignment horizontal="center" vertical="center"/>
      <protection hidden="1"/>
    </xf>
    <xf numFmtId="0" fontId="192" fillId="39" borderId="166" xfId="0" applyFont="1" applyFill="1" applyBorder="1" applyAlignment="1" applyProtection="1">
      <alignment horizontal="center" vertical="center"/>
      <protection locked="0" hidden="1"/>
    </xf>
    <xf numFmtId="0" fontId="189" fillId="27" borderId="163" xfId="0" applyFont="1" applyFill="1" applyBorder="1" applyAlignment="1" applyProtection="1">
      <alignment horizontal="left" vertical="center"/>
      <protection hidden="1"/>
    </xf>
    <xf numFmtId="0" fontId="189" fillId="27" borderId="162" xfId="0" applyFont="1" applyFill="1" applyBorder="1" applyAlignment="1" applyProtection="1">
      <alignment horizontal="left" vertical="center"/>
      <protection hidden="1"/>
    </xf>
    <xf numFmtId="0" fontId="189" fillId="27" borderId="161" xfId="0" applyFont="1" applyFill="1" applyBorder="1" applyAlignment="1" applyProtection="1">
      <alignment horizontal="left" vertical="center"/>
      <protection hidden="1"/>
    </xf>
    <xf numFmtId="0" fontId="190" fillId="27" borderId="169" xfId="0" applyFont="1" applyFill="1" applyBorder="1" applyAlignment="1" applyProtection="1">
      <alignment horizontal="center" vertical="center"/>
      <protection hidden="1"/>
    </xf>
    <xf numFmtId="0" fontId="193" fillId="27" borderId="50" xfId="0" applyFont="1" applyFill="1" applyBorder="1" applyAlignment="1" applyProtection="1">
      <alignment vertical="center" wrapText="1"/>
      <protection hidden="1"/>
    </xf>
    <xf numFmtId="0" fontId="191" fillId="27" borderId="50" xfId="0" applyFont="1" applyFill="1" applyBorder="1" applyAlignment="1" applyProtection="1">
      <alignment horizontal="center" vertical="center" wrapText="1"/>
      <protection hidden="1"/>
    </xf>
    <xf numFmtId="0" fontId="192" fillId="27" borderId="165" xfId="0" applyFont="1" applyFill="1" applyBorder="1" applyAlignment="1" applyProtection="1">
      <alignment horizontal="center" vertical="center"/>
      <protection locked="0" hidden="1"/>
    </xf>
    <xf numFmtId="0" fontId="192" fillId="27" borderId="166" xfId="0" applyFont="1" applyFill="1" applyBorder="1" applyAlignment="1" applyProtection="1">
      <alignment horizontal="center" vertical="center"/>
      <protection locked="0" hidden="1"/>
    </xf>
    <xf numFmtId="0" fontId="194" fillId="0" borderId="0" xfId="0" applyFont="1">
      <alignment vertical="center"/>
    </xf>
    <xf numFmtId="0" fontId="33" fillId="65" borderId="50" xfId="0" applyFont="1" applyFill="1" applyBorder="1">
      <alignment vertical="center"/>
    </xf>
    <xf numFmtId="0" fontId="29" fillId="65" borderId="50" xfId="0" applyFont="1" applyFill="1" applyBorder="1" applyAlignment="1" applyProtection="1">
      <alignment horizontal="center" vertical="center"/>
      <protection hidden="1"/>
    </xf>
    <xf numFmtId="0" fontId="33" fillId="27" borderId="86" xfId="0" applyFont="1" applyFill="1" applyBorder="1" applyProtection="1">
      <alignment vertical="center"/>
      <protection hidden="1"/>
    </xf>
    <xf numFmtId="0" fontId="33" fillId="51" borderId="50" xfId="0" applyFont="1" applyFill="1" applyBorder="1" applyAlignment="1" applyProtection="1">
      <alignment horizontal="center" vertical="center"/>
      <protection hidden="1"/>
    </xf>
    <xf numFmtId="0" fontId="12" fillId="51" borderId="13" xfId="0" applyFont="1" applyFill="1" applyBorder="1">
      <alignment vertical="center"/>
    </xf>
    <xf numFmtId="0" fontId="12" fillId="51" borderId="0" xfId="0" applyFont="1" applyFill="1">
      <alignment vertical="center"/>
    </xf>
    <xf numFmtId="0" fontId="33" fillId="51" borderId="12" xfId="0" applyFont="1" applyFill="1" applyBorder="1" applyProtection="1">
      <alignment vertical="center"/>
      <protection hidden="1"/>
    </xf>
    <xf numFmtId="0" fontId="12" fillId="51" borderId="14" xfId="0" applyFont="1" applyFill="1" applyBorder="1">
      <alignment vertical="center"/>
    </xf>
    <xf numFmtId="0" fontId="33" fillId="51" borderId="64" xfId="0" applyFont="1" applyFill="1" applyBorder="1" applyProtection="1">
      <alignment vertical="center"/>
      <protection hidden="1"/>
    </xf>
    <xf numFmtId="0" fontId="12" fillId="51" borderId="17" xfId="0" applyFont="1" applyFill="1" applyBorder="1">
      <alignment vertical="center"/>
    </xf>
    <xf numFmtId="0" fontId="33" fillId="51" borderId="13" xfId="0" applyFont="1" applyFill="1" applyBorder="1" applyProtection="1">
      <alignment vertical="center"/>
      <protection hidden="1"/>
    </xf>
    <xf numFmtId="0" fontId="33" fillId="51" borderId="0" xfId="0" applyFont="1" applyFill="1" applyProtection="1">
      <alignment vertical="center"/>
      <protection hidden="1"/>
    </xf>
    <xf numFmtId="0" fontId="33" fillId="51" borderId="158" xfId="0" applyFont="1" applyFill="1" applyBorder="1" applyAlignment="1" applyProtection="1">
      <alignment vertical="center" wrapText="1"/>
      <protection hidden="1"/>
    </xf>
    <xf numFmtId="0" fontId="12" fillId="51" borderId="14" xfId="0" applyFont="1" applyFill="1" applyBorder="1" applyAlignment="1">
      <alignment vertical="center" wrapText="1"/>
    </xf>
    <xf numFmtId="0" fontId="12" fillId="51" borderId="162" xfId="0" applyFont="1" applyFill="1" applyBorder="1" applyAlignment="1">
      <alignment vertical="center" wrapText="1"/>
    </xf>
    <xf numFmtId="0" fontId="0" fillId="51" borderId="53" xfId="0" applyFill="1" applyBorder="1">
      <alignment vertical="center"/>
    </xf>
    <xf numFmtId="0" fontId="0" fillId="51" borderId="0" xfId="0" applyFill="1">
      <alignment vertical="center"/>
    </xf>
    <xf numFmtId="0" fontId="0" fillId="51" borderId="57" xfId="0" applyFill="1" applyBorder="1">
      <alignment vertical="center"/>
    </xf>
    <xf numFmtId="0" fontId="12" fillId="51" borderId="162" xfId="0" applyFont="1" applyFill="1" applyBorder="1">
      <alignment vertical="center"/>
    </xf>
    <xf numFmtId="193" fontId="31" fillId="27" borderId="10" xfId="0" applyNumberFormat="1" applyFont="1" applyFill="1" applyBorder="1" applyAlignment="1" applyProtection="1">
      <alignment horizontal="center" vertical="center"/>
      <protection hidden="1"/>
    </xf>
    <xf numFmtId="193" fontId="31" fillId="31" borderId="144" xfId="0" applyNumberFormat="1" applyFont="1" applyFill="1" applyBorder="1" applyAlignment="1" applyProtection="1">
      <alignment horizontal="center" vertical="center"/>
      <protection locked="0"/>
    </xf>
    <xf numFmtId="9" fontId="33" fillId="27" borderId="92" xfId="0" applyNumberFormat="1" applyFont="1" applyFill="1" applyBorder="1" applyAlignment="1" applyProtection="1">
      <alignment horizontal="center" vertical="center"/>
      <protection locked="0" hidden="1"/>
    </xf>
    <xf numFmtId="9" fontId="33" fillId="27" borderId="115" xfId="0" applyNumberFormat="1" applyFont="1" applyFill="1" applyBorder="1" applyAlignment="1" applyProtection="1">
      <alignment horizontal="center" vertical="center"/>
      <protection locked="0" hidden="1"/>
    </xf>
    <xf numFmtId="0" fontId="12" fillId="51" borderId="50" xfId="0" applyFont="1" applyFill="1" applyBorder="1">
      <alignment vertical="center"/>
    </xf>
    <xf numFmtId="0" fontId="31" fillId="51" borderId="27" xfId="0" applyFont="1" applyFill="1" applyBorder="1" applyAlignment="1" applyProtection="1">
      <alignment horizontal="center" vertical="center" wrapText="1"/>
      <protection hidden="1"/>
    </xf>
    <xf numFmtId="0" fontId="46" fillId="51" borderId="56" xfId="0" applyFont="1" applyFill="1" applyBorder="1" applyAlignment="1" applyProtection="1">
      <alignment horizontal="center" vertical="center" wrapText="1"/>
      <protection hidden="1"/>
    </xf>
    <xf numFmtId="0" fontId="33" fillId="51" borderId="157" xfId="0" applyFont="1" applyFill="1" applyBorder="1" applyAlignment="1" applyProtection="1">
      <alignment vertical="center" wrapText="1"/>
      <protection hidden="1"/>
    </xf>
    <xf numFmtId="0" fontId="31" fillId="51" borderId="155" xfId="0" applyFont="1" applyFill="1" applyBorder="1" applyAlignment="1" applyProtection="1">
      <alignment horizontal="center" vertical="center"/>
      <protection hidden="1"/>
    </xf>
    <xf numFmtId="0" fontId="12" fillId="51" borderId="13" xfId="0" applyFont="1" applyFill="1" applyBorder="1" applyAlignment="1">
      <alignment vertical="center" wrapText="1"/>
    </xf>
    <xf numFmtId="0" fontId="31" fillId="51" borderId="159" xfId="0" applyFont="1" applyFill="1" applyBorder="1" applyAlignment="1" applyProtection="1">
      <alignment horizontal="center" vertical="center"/>
      <protection hidden="1"/>
    </xf>
    <xf numFmtId="0" fontId="12" fillId="51" borderId="163" xfId="0" applyFont="1" applyFill="1" applyBorder="1" applyAlignment="1">
      <alignment vertical="center" wrapText="1"/>
    </xf>
    <xf numFmtId="0" fontId="31" fillId="51" borderId="160" xfId="0" applyFont="1" applyFill="1" applyBorder="1" applyAlignment="1" applyProtection="1">
      <alignment horizontal="center" vertical="center"/>
      <protection hidden="1"/>
    </xf>
    <xf numFmtId="0" fontId="12" fillId="51" borderId="163" xfId="0" applyFont="1" applyFill="1" applyBorder="1" applyAlignment="1">
      <alignment horizontal="centerContinuous" vertical="center" wrapText="1"/>
    </xf>
    <xf numFmtId="0" fontId="12" fillId="51" borderId="162" xfId="0" applyFont="1" applyFill="1" applyBorder="1" applyAlignment="1">
      <alignment horizontal="centerContinuous" vertical="center" wrapText="1"/>
    </xf>
    <xf numFmtId="0" fontId="33" fillId="51" borderId="161" xfId="0" applyFont="1" applyFill="1" applyBorder="1" applyAlignment="1" applyProtection="1">
      <alignment horizontal="left" vertical="center"/>
      <protection hidden="1"/>
    </xf>
    <xf numFmtId="0" fontId="33" fillId="51" borderId="156" xfId="0" applyFont="1" applyFill="1" applyBorder="1" applyAlignment="1" applyProtection="1">
      <alignment horizontal="left" vertical="center"/>
      <protection hidden="1"/>
    </xf>
    <xf numFmtId="0" fontId="33" fillId="51" borderId="12" xfId="0" applyFont="1" applyFill="1" applyBorder="1" applyAlignment="1" applyProtection="1">
      <alignment horizontal="left" vertical="center"/>
      <protection hidden="1"/>
    </xf>
    <xf numFmtId="0" fontId="33" fillId="27" borderId="179" xfId="0" applyFont="1" applyFill="1" applyBorder="1" applyProtection="1">
      <alignment vertical="center"/>
      <protection hidden="1"/>
    </xf>
    <xf numFmtId="0" fontId="33" fillId="27" borderId="118" xfId="0" applyFont="1" applyFill="1" applyBorder="1" applyProtection="1">
      <alignment vertical="center"/>
      <protection hidden="1"/>
    </xf>
    <xf numFmtId="193" fontId="31" fillId="51" borderId="51" xfId="0" applyNumberFormat="1" applyFont="1" applyFill="1" applyBorder="1" applyAlignment="1">
      <alignment horizontal="center" vertical="center"/>
    </xf>
    <xf numFmtId="193" fontId="191" fillId="51" borderId="10" xfId="0" applyNumberFormat="1" applyFont="1" applyFill="1" applyBorder="1" applyAlignment="1">
      <alignment horizontal="center" vertical="center"/>
    </xf>
    <xf numFmtId="0" fontId="189" fillId="27" borderId="50" xfId="0" applyFont="1" applyFill="1" applyBorder="1" applyAlignment="1" applyProtection="1">
      <alignment horizontal="left" vertical="center"/>
      <protection hidden="1"/>
    </xf>
    <xf numFmtId="0" fontId="189" fillId="27" borderId="26" xfId="0" applyFont="1" applyFill="1" applyBorder="1" applyAlignment="1" applyProtection="1">
      <alignment horizontal="left" vertical="center"/>
      <protection hidden="1"/>
    </xf>
    <xf numFmtId="0" fontId="192" fillId="39" borderId="194" xfId="0" applyFont="1" applyFill="1" applyBorder="1" applyAlignment="1" applyProtection="1">
      <alignment horizontal="center" vertical="center"/>
      <protection locked="0" hidden="1"/>
    </xf>
    <xf numFmtId="0" fontId="192" fillId="27" borderId="194" xfId="0" applyFont="1" applyFill="1" applyBorder="1" applyAlignment="1" applyProtection="1">
      <alignment horizontal="center" vertical="center"/>
      <protection locked="0" hidden="1"/>
    </xf>
    <xf numFmtId="0" fontId="33" fillId="66" borderId="26" xfId="0" applyFont="1" applyFill="1" applyBorder="1" applyAlignment="1" applyProtection="1">
      <alignment horizontal="centerContinuous" vertical="center"/>
      <protection hidden="1"/>
    </xf>
    <xf numFmtId="0" fontId="33" fillId="66" borderId="50" xfId="0" applyFont="1" applyFill="1" applyBorder="1" applyAlignment="1" applyProtection="1">
      <alignment horizontal="centerContinuous" vertical="center"/>
      <protection hidden="1"/>
    </xf>
    <xf numFmtId="0" fontId="38" fillId="27" borderId="51" xfId="0" applyFont="1" applyFill="1" applyBorder="1" applyAlignment="1">
      <alignment horizontal="center" vertical="center"/>
    </xf>
    <xf numFmtId="0" fontId="130" fillId="27" borderId="64" xfId="29" applyNumberFormat="1" applyFont="1" applyFill="1" applyBorder="1" applyAlignment="1" applyProtection="1">
      <alignment horizontal="center" vertical="center"/>
    </xf>
    <xf numFmtId="0" fontId="125" fillId="27" borderId="57" xfId="0" applyFont="1" applyFill="1" applyBorder="1" applyAlignment="1">
      <alignment horizontal="left" vertical="center"/>
    </xf>
    <xf numFmtId="0" fontId="38" fillId="27" borderId="50" xfId="0" applyFont="1" applyFill="1" applyBorder="1" applyAlignment="1">
      <alignment horizontal="left" vertical="center"/>
    </xf>
    <xf numFmtId="0" fontId="29" fillId="27" borderId="52" xfId="0" applyFont="1" applyFill="1" applyBorder="1">
      <alignment vertical="center"/>
    </xf>
    <xf numFmtId="0" fontId="128" fillId="27" borderId="50" xfId="0" applyFont="1" applyFill="1" applyBorder="1">
      <alignment vertical="center"/>
    </xf>
    <xf numFmtId="0" fontId="128" fillId="27" borderId="0" xfId="0" applyFont="1" applyFill="1">
      <alignment vertical="center"/>
    </xf>
    <xf numFmtId="0" fontId="125" fillId="27" borderId="0" xfId="0" applyFont="1" applyFill="1" applyAlignment="1">
      <alignment horizontal="left" vertical="center"/>
    </xf>
    <xf numFmtId="0" fontId="38" fillId="27" borderId="57" xfId="0" applyFont="1" applyFill="1" applyBorder="1" applyAlignment="1">
      <alignment horizontal="left" vertical="center"/>
    </xf>
    <xf numFmtId="0" fontId="125" fillId="27" borderId="50" xfId="0" applyFont="1" applyFill="1" applyBorder="1" applyAlignment="1">
      <alignment horizontal="left" vertical="center"/>
    </xf>
    <xf numFmtId="183" fontId="34" fillId="0" borderId="100" xfId="0" applyNumberFormat="1" applyFont="1" applyBorder="1" applyAlignment="1">
      <alignment horizontal="center" vertical="center"/>
    </xf>
    <xf numFmtId="0" fontId="184" fillId="27" borderId="57" xfId="0" applyFont="1" applyFill="1" applyBorder="1" applyAlignment="1">
      <alignment horizontal="left" vertical="center"/>
    </xf>
    <xf numFmtId="0" fontId="185" fillId="27" borderId="26" xfId="0" applyFont="1" applyFill="1" applyBorder="1">
      <alignment vertical="center"/>
    </xf>
    <xf numFmtId="0" fontId="130" fillId="27" borderId="56" xfId="29" applyNumberFormat="1" applyFont="1" applyFill="1" applyBorder="1" applyAlignment="1" applyProtection="1">
      <alignment horizontal="center" vertical="center"/>
    </xf>
    <xf numFmtId="0" fontId="29" fillId="27" borderId="64" xfId="0" applyFont="1" applyFill="1" applyBorder="1">
      <alignment vertical="center"/>
    </xf>
    <xf numFmtId="0" fontId="29" fillId="27" borderId="26" xfId="0" applyFont="1" applyFill="1" applyBorder="1">
      <alignment vertical="center"/>
    </xf>
    <xf numFmtId="0" fontId="29" fillId="31" borderId="129" xfId="0" applyFont="1" applyFill="1" applyBorder="1" applyAlignment="1">
      <alignment horizontal="left" vertical="center"/>
    </xf>
    <xf numFmtId="0" fontId="38" fillId="27" borderId="126" xfId="0" applyFont="1" applyFill="1" applyBorder="1">
      <alignment vertical="center"/>
    </xf>
    <xf numFmtId="0" fontId="38" fillId="27" borderId="136" xfId="0" applyFont="1" applyFill="1" applyBorder="1" applyAlignment="1">
      <alignment horizontal="center" vertical="center"/>
    </xf>
    <xf numFmtId="0" fontId="130" fillId="27" borderId="83" xfId="29" applyFont="1" applyFill="1" applyBorder="1" applyAlignment="1" applyProtection="1">
      <alignment horizontal="center" vertical="center"/>
    </xf>
    <xf numFmtId="0" fontId="130" fillId="27" borderId="64" xfId="29" applyFont="1" applyFill="1" applyBorder="1" applyAlignment="1" applyProtection="1">
      <alignment horizontal="center" vertical="center"/>
    </xf>
    <xf numFmtId="0" fontId="128" fillId="27" borderId="53" xfId="0" applyFont="1" applyFill="1" applyBorder="1">
      <alignment vertical="center"/>
    </xf>
    <xf numFmtId="0" fontId="38" fillId="27" borderId="53" xfId="0" applyFont="1" applyFill="1" applyBorder="1">
      <alignment vertical="center"/>
    </xf>
    <xf numFmtId="0" fontId="125" fillId="27" borderId="53" xfId="0" applyFont="1" applyFill="1" applyBorder="1" applyAlignment="1">
      <alignment horizontal="left" vertical="center"/>
    </xf>
    <xf numFmtId="0" fontId="165" fillId="27" borderId="50" xfId="0" applyFont="1" applyFill="1" applyBorder="1">
      <alignment vertical="center"/>
    </xf>
    <xf numFmtId="0" fontId="165" fillId="27" borderId="50" xfId="0" applyFont="1" applyFill="1" applyBorder="1" applyAlignment="1">
      <alignment horizontal="left" vertical="center"/>
    </xf>
    <xf numFmtId="0" fontId="178" fillId="27" borderId="26" xfId="0" applyFont="1" applyFill="1" applyBorder="1">
      <alignment vertical="center"/>
    </xf>
    <xf numFmtId="0" fontId="165" fillId="27" borderId="10" xfId="0" applyFont="1" applyFill="1" applyBorder="1" applyAlignment="1">
      <alignment horizontal="center" vertical="center"/>
    </xf>
    <xf numFmtId="0" fontId="176" fillId="27" borderId="64" xfId="29" applyFont="1" applyFill="1" applyBorder="1" applyAlignment="1" applyProtection="1">
      <alignment horizontal="center" vertical="center"/>
    </xf>
    <xf numFmtId="0" fontId="178" fillId="27" borderId="52" xfId="0" applyFont="1" applyFill="1" applyBorder="1">
      <alignment vertical="center"/>
    </xf>
    <xf numFmtId="0" fontId="130" fillId="27" borderId="56" xfId="29" quotePrefix="1" applyNumberFormat="1" applyFont="1" applyFill="1" applyBorder="1" applyAlignment="1" applyProtection="1">
      <alignment horizontal="center" vertical="center"/>
    </xf>
    <xf numFmtId="0" fontId="130" fillId="27" borderId="64" xfId="29" quotePrefix="1" applyNumberFormat="1" applyFont="1" applyFill="1" applyBorder="1" applyAlignment="1" applyProtection="1">
      <alignment horizontal="center" vertical="center"/>
    </xf>
    <xf numFmtId="0" fontId="38" fillId="27" borderId="53" xfId="0" applyFont="1" applyFill="1" applyBorder="1" applyAlignment="1">
      <alignment horizontal="left" vertical="center"/>
    </xf>
    <xf numFmtId="0" fontId="29" fillId="27" borderId="64" xfId="0" quotePrefix="1" applyFont="1" applyFill="1" applyBorder="1">
      <alignment vertical="center"/>
    </xf>
    <xf numFmtId="183" fontId="34" fillId="0" borderId="115" xfId="0" applyNumberFormat="1" applyFont="1" applyBorder="1" applyAlignment="1">
      <alignment horizontal="center" vertical="center"/>
    </xf>
    <xf numFmtId="0" fontId="136" fillId="0" borderId="50" xfId="0" applyFont="1" applyBorder="1" applyAlignment="1">
      <alignment horizontal="left" vertical="center"/>
    </xf>
    <xf numFmtId="0" fontId="141" fillId="0" borderId="26" xfId="0" applyFont="1" applyBorder="1">
      <alignment vertical="center"/>
    </xf>
    <xf numFmtId="183" fontId="34" fillId="0" borderId="92" xfId="0" applyNumberFormat="1" applyFont="1" applyBorder="1" applyAlignment="1">
      <alignment horizontal="center" vertical="center"/>
    </xf>
    <xf numFmtId="183" fontId="40" fillId="0" borderId="115" xfId="0" applyNumberFormat="1" applyFont="1" applyBorder="1" applyAlignment="1">
      <alignment horizontal="center" vertical="center"/>
    </xf>
    <xf numFmtId="0" fontId="29" fillId="27" borderId="26" xfId="0" applyFont="1" applyFill="1" applyBorder="1" applyAlignment="1">
      <alignment horizontal="right" vertical="center"/>
    </xf>
    <xf numFmtId="183" fontId="40" fillId="0" borderId="92" xfId="0" applyNumberFormat="1" applyFont="1" applyBorder="1" applyAlignment="1">
      <alignment horizontal="center" vertical="center"/>
    </xf>
    <xf numFmtId="0" fontId="29" fillId="31" borderId="102" xfId="0" applyFont="1" applyFill="1" applyBorder="1" applyAlignment="1">
      <alignment horizontal="left" vertical="center"/>
    </xf>
    <xf numFmtId="0" fontId="64" fillId="33" borderId="60" xfId="0" applyFont="1" applyFill="1" applyBorder="1" applyAlignment="1">
      <alignment horizontal="left" vertical="center"/>
    </xf>
    <xf numFmtId="0" fontId="64" fillId="33" borderId="59" xfId="0" applyFont="1" applyFill="1" applyBorder="1" applyAlignment="1">
      <alignment horizontal="left" vertical="center"/>
    </xf>
    <xf numFmtId="0" fontId="140" fillId="0" borderId="0" xfId="0" applyFont="1">
      <alignment vertical="center"/>
    </xf>
    <xf numFmtId="0" fontId="28" fillId="0" borderId="0" xfId="0" applyFont="1">
      <alignment vertical="center"/>
    </xf>
    <xf numFmtId="0" fontId="139" fillId="0" borderId="0" xfId="0" applyFont="1">
      <alignment vertical="center"/>
    </xf>
    <xf numFmtId="0" fontId="138" fillId="0" borderId="0" xfId="0" applyFont="1" applyAlignment="1">
      <alignment horizontal="left"/>
    </xf>
    <xf numFmtId="0" fontId="137" fillId="0" borderId="62" xfId="0" quotePrefix="1" applyFont="1" applyBorder="1" applyAlignment="1">
      <alignment horizontal="left" vertical="center"/>
    </xf>
    <xf numFmtId="0" fontId="38" fillId="27" borderId="57" xfId="0" applyFont="1" applyFill="1" applyBorder="1">
      <alignment vertical="center"/>
    </xf>
    <xf numFmtId="0" fontId="185" fillId="27" borderId="64" xfId="0" applyFont="1" applyFill="1" applyBorder="1">
      <alignment vertical="center"/>
    </xf>
    <xf numFmtId="0" fontId="184" fillId="27" borderId="50" xfId="0" applyFont="1" applyFill="1" applyBorder="1">
      <alignment vertical="center"/>
    </xf>
    <xf numFmtId="0" fontId="183" fillId="27" borderId="50" xfId="0" applyFont="1" applyFill="1" applyBorder="1" applyAlignment="1">
      <alignment horizontal="left" vertical="center"/>
    </xf>
    <xf numFmtId="0" fontId="130" fillId="27" borderId="83" xfId="29" applyNumberFormat="1" applyFont="1" applyFill="1" applyBorder="1" applyAlignment="1" applyProtection="1">
      <alignment horizontal="center" vertical="center"/>
    </xf>
    <xf numFmtId="0" fontId="136" fillId="27" borderId="0" xfId="0" applyFont="1" applyFill="1" applyAlignment="1">
      <alignment horizontal="center" vertical="center"/>
    </xf>
    <xf numFmtId="0" fontId="136" fillId="27" borderId="0" xfId="0" applyFont="1" applyFill="1" applyAlignment="1">
      <alignment horizontal="left" vertical="center"/>
    </xf>
    <xf numFmtId="0" fontId="135" fillId="27" borderId="0" xfId="29" applyNumberFormat="1" applyFont="1" applyFill="1" applyBorder="1" applyAlignment="1" applyProtection="1">
      <alignment horizontal="center" vertical="center"/>
    </xf>
    <xf numFmtId="0" fontId="167" fillId="27" borderId="50" xfId="0" applyFont="1" applyFill="1" applyBorder="1">
      <alignment vertical="center"/>
    </xf>
    <xf numFmtId="0" fontId="167" fillId="27" borderId="10" xfId="0" applyFont="1" applyFill="1" applyBorder="1" applyAlignment="1">
      <alignment horizontal="center" vertical="center"/>
    </xf>
    <xf numFmtId="0" fontId="170" fillId="27" borderId="56" xfId="29" applyFont="1" applyFill="1" applyBorder="1" applyAlignment="1" applyProtection="1">
      <alignment horizontal="center" vertical="center"/>
    </xf>
    <xf numFmtId="0" fontId="170" fillId="27" borderId="64" xfId="29" applyFont="1" applyFill="1" applyBorder="1" applyAlignment="1" applyProtection="1">
      <alignment horizontal="center" vertical="center"/>
    </xf>
    <xf numFmtId="0" fontId="168" fillId="27" borderId="53" xfId="0" applyFont="1" applyFill="1" applyBorder="1">
      <alignment vertical="center"/>
    </xf>
    <xf numFmtId="0" fontId="167" fillId="27" borderId="53" xfId="0" applyFont="1" applyFill="1" applyBorder="1">
      <alignment vertical="center"/>
    </xf>
    <xf numFmtId="0" fontId="169" fillId="27" borderId="64" xfId="0" applyFont="1" applyFill="1" applyBorder="1">
      <alignment vertical="center"/>
    </xf>
    <xf numFmtId="0" fontId="130" fillId="27" borderId="56" xfId="29" applyFont="1" applyFill="1" applyBorder="1" applyAlignment="1" applyProtection="1">
      <alignment horizontal="center" vertical="center"/>
    </xf>
    <xf numFmtId="0" fontId="184" fillId="27" borderId="10" xfId="0" applyFont="1" applyFill="1" applyBorder="1" applyAlignment="1">
      <alignment horizontal="center" vertical="center"/>
    </xf>
    <xf numFmtId="0" fontId="125" fillId="27" borderId="109" xfId="0" applyFont="1" applyFill="1" applyBorder="1" applyAlignment="1">
      <alignment horizontal="left" vertical="center"/>
    </xf>
    <xf numFmtId="0" fontId="29" fillId="31" borderId="129" xfId="0" applyFont="1" applyFill="1" applyBorder="1" applyAlignment="1">
      <alignment horizontal="left"/>
    </xf>
    <xf numFmtId="0" fontId="136" fillId="0" borderId="50" xfId="0" applyFont="1" applyBorder="1">
      <alignment vertical="center"/>
    </xf>
    <xf numFmtId="0" fontId="136" fillId="0" borderId="10" xfId="0" applyFont="1" applyBorder="1" applyAlignment="1">
      <alignment horizontal="center" vertical="center"/>
    </xf>
    <xf numFmtId="0" fontId="130" fillId="0" borderId="56" xfId="29" applyFont="1" applyFill="1" applyBorder="1" applyAlignment="1" applyProtection="1">
      <alignment horizontal="center" vertical="center"/>
    </xf>
    <xf numFmtId="0" fontId="130" fillId="0" borderId="56" xfId="29" applyNumberFormat="1" applyFont="1" applyFill="1" applyBorder="1" applyAlignment="1" applyProtection="1">
      <alignment horizontal="center" vertical="center"/>
    </xf>
    <xf numFmtId="0" fontId="130" fillId="0" borderId="64" xfId="29" applyNumberFormat="1" applyFont="1" applyFill="1" applyBorder="1" applyAlignment="1" applyProtection="1">
      <alignment horizontal="center" vertical="center"/>
    </xf>
    <xf numFmtId="0" fontId="130" fillId="0" borderId="64" xfId="29" applyFont="1" applyFill="1" applyBorder="1" applyAlignment="1" applyProtection="1">
      <alignment horizontal="center" vertical="center"/>
    </xf>
    <xf numFmtId="0" fontId="132" fillId="27" borderId="56" xfId="29" applyFont="1" applyFill="1" applyBorder="1" applyAlignment="1" applyProtection="1">
      <alignment horizontal="center" vertical="center"/>
    </xf>
    <xf numFmtId="0" fontId="132" fillId="27" borderId="64" xfId="29" applyFont="1" applyFill="1" applyBorder="1" applyAlignment="1" applyProtection="1">
      <alignment horizontal="center" vertical="center"/>
    </xf>
    <xf numFmtId="0" fontId="169" fillId="27" borderId="52" xfId="0" applyFont="1" applyFill="1" applyBorder="1">
      <alignment vertical="center"/>
    </xf>
    <xf numFmtId="0" fontId="136" fillId="59" borderId="57" xfId="0" applyFont="1" applyFill="1" applyBorder="1">
      <alignment vertical="center"/>
    </xf>
    <xf numFmtId="0" fontId="136" fillId="59" borderId="10" xfId="0" applyFont="1" applyFill="1" applyBorder="1" applyAlignment="1">
      <alignment horizontal="center" vertical="center"/>
    </xf>
    <xf numFmtId="0" fontId="130" fillId="59" borderId="64" xfId="29" applyFont="1" applyFill="1" applyBorder="1" applyAlignment="1" applyProtection="1">
      <alignment horizontal="center" vertical="center"/>
    </xf>
    <xf numFmtId="0" fontId="125" fillId="27" borderId="0" xfId="0" applyFont="1" applyFill="1">
      <alignment vertical="center"/>
    </xf>
    <xf numFmtId="182" fontId="64" fillId="33" borderId="129" xfId="0" applyNumberFormat="1" applyFont="1" applyFill="1" applyBorder="1" applyAlignment="1">
      <alignment horizontal="center" vertical="center"/>
    </xf>
    <xf numFmtId="182" fontId="123" fillId="33" borderId="129" xfId="0" applyNumberFormat="1" applyFont="1" applyFill="1" applyBorder="1" applyAlignment="1">
      <alignment horizontal="center" vertical="center"/>
    </xf>
    <xf numFmtId="0" fontId="124" fillId="33" borderId="129" xfId="0" applyFont="1" applyFill="1" applyBorder="1" applyAlignment="1">
      <alignment horizontal="left" vertical="center"/>
    </xf>
    <xf numFmtId="0" fontId="119" fillId="27" borderId="0" xfId="0" applyFont="1" applyFill="1" applyAlignment="1">
      <alignment vertical="top"/>
    </xf>
    <xf numFmtId="0" fontId="118" fillId="27" borderId="0" xfId="0" applyFont="1" applyFill="1" applyAlignment="1">
      <alignment vertical="top"/>
    </xf>
    <xf numFmtId="0" fontId="86" fillId="27" borderId="0" xfId="0" applyFont="1" applyFill="1" applyAlignment="1">
      <alignment horizontal="left" vertical="top"/>
    </xf>
    <xf numFmtId="0" fontId="123" fillId="37" borderId="69" xfId="0" applyFont="1" applyFill="1" applyBorder="1">
      <alignment vertical="center"/>
    </xf>
    <xf numFmtId="0" fontId="86" fillId="37" borderId="69" xfId="0" applyFont="1" applyFill="1" applyBorder="1" applyAlignment="1">
      <alignment horizontal="left" vertical="center"/>
    </xf>
    <xf numFmtId="0" fontId="64" fillId="37" borderId="68" xfId="0" applyFont="1" applyFill="1" applyBorder="1" applyAlignment="1">
      <alignment horizontal="left" vertical="center"/>
    </xf>
    <xf numFmtId="0" fontId="122" fillId="0" borderId="0" xfId="0" applyFont="1">
      <alignment vertical="center"/>
    </xf>
    <xf numFmtId="0" fontId="121" fillId="0" borderId="0" xfId="0" applyFont="1" applyAlignment="1">
      <alignment horizontal="left"/>
    </xf>
    <xf numFmtId="180" fontId="41" fillId="0" borderId="0" xfId="0" applyNumberFormat="1" applyFont="1" applyAlignment="1">
      <alignment horizontal="left"/>
    </xf>
    <xf numFmtId="0" fontId="115" fillId="37" borderId="60" xfId="0" applyFont="1" applyFill="1" applyBorder="1">
      <alignment vertical="center"/>
    </xf>
    <xf numFmtId="0" fontId="188" fillId="0" borderId="0" xfId="0" applyFont="1">
      <alignment vertical="center"/>
    </xf>
    <xf numFmtId="193" fontId="31" fillId="31" borderId="92" xfId="0" applyNumberFormat="1" applyFont="1" applyFill="1" applyBorder="1" applyAlignment="1" applyProtection="1">
      <alignment horizontal="center" vertical="center"/>
      <protection locked="0"/>
    </xf>
    <xf numFmtId="0" fontId="31" fillId="51" borderId="164" xfId="0" applyFont="1" applyFill="1" applyBorder="1" applyAlignment="1" applyProtection="1">
      <alignment horizontal="center" vertical="center"/>
      <protection locked="0" hidden="1"/>
    </xf>
    <xf numFmtId="0" fontId="31" fillId="51" borderId="165" xfId="0" applyFont="1" applyFill="1" applyBorder="1" applyAlignment="1" applyProtection="1">
      <alignment horizontal="center" vertical="center"/>
      <protection locked="0" hidden="1"/>
    </xf>
    <xf numFmtId="0" fontId="31" fillId="51" borderId="115" xfId="0" applyFont="1" applyFill="1" applyBorder="1" applyAlignment="1" applyProtection="1">
      <alignment horizontal="center" vertical="center"/>
      <protection locked="0" hidden="1"/>
    </xf>
    <xf numFmtId="190" fontId="33" fillId="53" borderId="27" xfId="0" applyNumberFormat="1" applyFont="1" applyFill="1" applyBorder="1" applyAlignment="1" applyProtection="1">
      <alignment horizontal="center" vertical="center"/>
      <protection hidden="1"/>
    </xf>
    <xf numFmtId="190" fontId="33" fillId="53" borderId="50" xfId="0" applyNumberFormat="1" applyFont="1" applyFill="1" applyBorder="1" applyAlignment="1" applyProtection="1">
      <alignment horizontal="center" vertical="center"/>
      <protection hidden="1"/>
    </xf>
    <xf numFmtId="0" fontId="12" fillId="51" borderId="181" xfId="0" applyFont="1" applyFill="1" applyBorder="1">
      <alignment vertical="center"/>
    </xf>
    <xf numFmtId="0" fontId="33" fillId="51" borderId="52" xfId="0" applyFont="1" applyFill="1" applyBorder="1" applyProtection="1">
      <alignment vertical="center"/>
      <protection hidden="1"/>
    </xf>
    <xf numFmtId="0" fontId="33" fillId="51" borderId="54" xfId="0" applyFont="1" applyFill="1" applyBorder="1" applyProtection="1">
      <alignment vertical="center"/>
      <protection hidden="1"/>
    </xf>
    <xf numFmtId="0" fontId="33" fillId="51" borderId="56" xfId="0" applyFont="1" applyFill="1" applyBorder="1" applyProtection="1">
      <alignment vertical="center"/>
      <protection hidden="1"/>
    </xf>
    <xf numFmtId="0" fontId="12" fillId="51" borderId="58" xfId="0" applyFont="1" applyFill="1" applyBorder="1">
      <alignment vertical="center"/>
    </xf>
    <xf numFmtId="0" fontId="0" fillId="51" borderId="13" xfId="0" applyFill="1" applyBorder="1">
      <alignment vertical="center"/>
    </xf>
    <xf numFmtId="0" fontId="41" fillId="27" borderId="17" xfId="0" applyFont="1" applyFill="1" applyBorder="1" applyAlignment="1" applyProtection="1">
      <alignment horizontal="left" vertical="center"/>
      <protection hidden="1"/>
    </xf>
    <xf numFmtId="0" fontId="41" fillId="27" borderId="64" xfId="0" applyFont="1" applyFill="1" applyBorder="1" applyAlignment="1" applyProtection="1">
      <alignment horizontal="left" vertical="center"/>
      <protection hidden="1"/>
    </xf>
    <xf numFmtId="0" fontId="41" fillId="27" borderId="27" xfId="0" applyFont="1" applyFill="1" applyBorder="1" applyAlignment="1" applyProtection="1">
      <alignment horizontal="left" vertical="center"/>
      <protection hidden="1"/>
    </xf>
    <xf numFmtId="0" fontId="12" fillId="51" borderId="27" xfId="0" applyFont="1" applyFill="1" applyBorder="1">
      <alignment vertical="center"/>
    </xf>
    <xf numFmtId="0" fontId="33" fillId="0" borderId="50" xfId="0" applyFont="1" applyBorder="1">
      <alignment vertical="center"/>
    </xf>
    <xf numFmtId="0" fontId="33" fillId="0" borderId="27" xfId="0" applyFont="1" applyBorder="1">
      <alignment vertical="center"/>
    </xf>
    <xf numFmtId="0" fontId="162" fillId="0" borderId="50" xfId="0" applyFont="1" applyBorder="1">
      <alignment vertical="center"/>
    </xf>
    <xf numFmtId="0" fontId="41" fillId="0" borderId="0" xfId="0" applyFont="1" applyAlignment="1">
      <alignment horizontal="center" vertical="center"/>
    </xf>
    <xf numFmtId="0" fontId="33" fillId="27" borderId="158" xfId="0" applyFont="1" applyFill="1" applyBorder="1">
      <alignment vertical="center"/>
    </xf>
    <xf numFmtId="0" fontId="33" fillId="27" borderId="14" xfId="0" applyFont="1" applyFill="1" applyBorder="1">
      <alignment vertical="center"/>
    </xf>
    <xf numFmtId="0" fontId="33" fillId="27" borderId="162" xfId="0" applyFont="1" applyFill="1" applyBorder="1">
      <alignment vertical="center"/>
    </xf>
    <xf numFmtId="0" fontId="31" fillId="58" borderId="11" xfId="0" applyFont="1" applyFill="1" applyBorder="1" applyAlignment="1" applyProtection="1">
      <alignment horizontal="center" vertical="center"/>
      <protection locked="0" hidden="1"/>
    </xf>
    <xf numFmtId="0" fontId="31" fillId="58" borderId="160" xfId="0" applyFont="1" applyFill="1" applyBorder="1" applyAlignment="1" applyProtection="1">
      <alignment horizontal="center" vertical="center"/>
      <protection locked="0" hidden="1"/>
    </xf>
    <xf numFmtId="0" fontId="29" fillId="31" borderId="92" xfId="0" applyFont="1" applyFill="1" applyBorder="1" applyAlignment="1" applyProtection="1">
      <alignment horizontal="center" vertical="center"/>
      <protection locked="0"/>
    </xf>
    <xf numFmtId="0" fontId="29" fillId="31" borderId="180" xfId="0" applyFont="1" applyFill="1" applyBorder="1" applyAlignment="1" applyProtection="1">
      <alignment horizontal="center" vertical="center"/>
      <protection locked="0"/>
    </xf>
    <xf numFmtId="0" fontId="29" fillId="31" borderId="166" xfId="0" applyFont="1" applyFill="1" applyBorder="1" applyAlignment="1" applyProtection="1">
      <alignment horizontal="center" vertical="center"/>
      <protection locked="0"/>
    </xf>
    <xf numFmtId="0" fontId="33" fillId="0" borderId="0" xfId="0" applyFont="1" applyAlignment="1">
      <alignment horizontal="right" vertical="center"/>
    </xf>
    <xf numFmtId="0" fontId="31" fillId="58" borderId="159" xfId="0" applyFont="1" applyFill="1" applyBorder="1" applyAlignment="1" applyProtection="1">
      <alignment horizontal="center" vertical="center"/>
      <protection locked="0" hidden="1"/>
    </xf>
    <xf numFmtId="0" fontId="33" fillId="27" borderId="10" xfId="0" applyFont="1" applyFill="1" applyBorder="1" applyAlignment="1" applyProtection="1">
      <alignment horizontal="left" vertical="center"/>
      <protection hidden="1"/>
    </xf>
    <xf numFmtId="0" fontId="162" fillId="0" borderId="53" xfId="0" applyFont="1" applyBorder="1">
      <alignment vertical="center"/>
    </xf>
    <xf numFmtId="0" fontId="33" fillId="58" borderId="16" xfId="0" applyFont="1" applyFill="1" applyBorder="1" applyAlignment="1" applyProtection="1">
      <alignment vertical="center" shrinkToFit="1"/>
      <protection locked="0"/>
    </xf>
    <xf numFmtId="0" fontId="33" fillId="58" borderId="11" xfId="0" applyFont="1" applyFill="1" applyBorder="1" applyAlignment="1" applyProtection="1">
      <alignment vertical="center" shrinkToFit="1"/>
      <protection locked="0"/>
    </xf>
    <xf numFmtId="0" fontId="33" fillId="58" borderId="160" xfId="0" applyFont="1" applyFill="1" applyBorder="1" applyAlignment="1" applyProtection="1">
      <alignment vertical="center" shrinkToFit="1"/>
      <protection locked="0"/>
    </xf>
    <xf numFmtId="0" fontId="162" fillId="27" borderId="158" xfId="0" applyFont="1" applyFill="1" applyBorder="1">
      <alignment vertical="center"/>
    </xf>
    <xf numFmtId="0" fontId="162" fillId="27" borderId="14" xfId="0" applyFont="1" applyFill="1" applyBorder="1">
      <alignment vertical="center"/>
    </xf>
    <xf numFmtId="0" fontId="162" fillId="27" borderId="174" xfId="0" applyFont="1" applyFill="1" applyBorder="1">
      <alignment vertical="center"/>
    </xf>
    <xf numFmtId="0" fontId="162" fillId="27" borderId="162" xfId="0" applyFont="1" applyFill="1" applyBorder="1">
      <alignment vertical="center"/>
    </xf>
    <xf numFmtId="0" fontId="33" fillId="27" borderId="0" xfId="0" applyFont="1" applyFill="1" applyAlignment="1" applyProtection="1">
      <alignment horizontal="left" vertical="center" wrapText="1"/>
      <protection hidden="1"/>
    </xf>
    <xf numFmtId="0" fontId="33" fillId="27" borderId="17" xfId="0" applyFont="1" applyFill="1" applyBorder="1" applyAlignment="1" applyProtection="1">
      <alignment horizontal="left" vertical="center" wrapText="1"/>
      <protection hidden="1"/>
    </xf>
    <xf numFmtId="176" fontId="33" fillId="27" borderId="13" xfId="0" applyNumberFormat="1" applyFont="1" applyFill="1" applyBorder="1" applyAlignment="1" applyProtection="1">
      <alignment horizontal="left" vertical="center" wrapText="1"/>
      <protection hidden="1"/>
    </xf>
    <xf numFmtId="0" fontId="33" fillId="58" borderId="26" xfId="0" applyFont="1" applyFill="1" applyBorder="1" applyProtection="1">
      <alignment vertical="center"/>
      <protection locked="0"/>
    </xf>
    <xf numFmtId="0" fontId="33" fillId="58" borderId="10" xfId="0" applyFont="1" applyFill="1" applyBorder="1" applyProtection="1">
      <alignment vertical="center"/>
      <protection locked="0"/>
    </xf>
    <xf numFmtId="0" fontId="31" fillId="58" borderId="164" xfId="0" applyFont="1" applyFill="1" applyBorder="1" applyAlignment="1" applyProtection="1">
      <alignment horizontal="center" vertical="center"/>
      <protection locked="0" hidden="1"/>
    </xf>
    <xf numFmtId="0" fontId="31" fillId="58" borderId="165" xfId="0" applyFont="1" applyFill="1" applyBorder="1" applyAlignment="1" applyProtection="1">
      <alignment horizontal="center" vertical="center"/>
      <protection locked="0" hidden="1"/>
    </xf>
    <xf numFmtId="0" fontId="31" fillId="58" borderId="180" xfId="0" applyFont="1" applyFill="1" applyBorder="1" applyAlignment="1" applyProtection="1">
      <alignment horizontal="center" vertical="center"/>
      <protection locked="0" hidden="1"/>
    </xf>
    <xf numFmtId="0" fontId="31" fillId="58" borderId="166" xfId="0" applyFont="1" applyFill="1" applyBorder="1" applyAlignment="1" applyProtection="1">
      <alignment horizontal="center" vertical="center"/>
      <protection locked="0"/>
    </xf>
    <xf numFmtId="0" fontId="33" fillId="27" borderId="26" xfId="0" applyFont="1" applyFill="1" applyBorder="1" applyAlignment="1" applyProtection="1">
      <alignment horizontal="center" vertical="center" shrinkToFit="1"/>
      <protection hidden="1"/>
    </xf>
    <xf numFmtId="0" fontId="31" fillId="58" borderId="16" xfId="0" applyFont="1" applyFill="1" applyBorder="1" applyAlignment="1" applyProtection="1">
      <alignment horizontal="center" vertical="center"/>
      <protection locked="0" hidden="1"/>
    </xf>
    <xf numFmtId="0" fontId="41" fillId="0" borderId="0" xfId="0" applyFont="1">
      <alignment vertical="center"/>
    </xf>
    <xf numFmtId="0" fontId="33" fillId="0" borderId="57" xfId="0" applyFont="1" applyBorder="1" applyProtection="1">
      <alignment vertical="center"/>
      <protection hidden="1"/>
    </xf>
    <xf numFmtId="0" fontId="29" fillId="27" borderId="197" xfId="0" applyFont="1" applyFill="1" applyBorder="1" applyAlignment="1" applyProtection="1">
      <alignment horizontal="center" vertical="center" wrapText="1"/>
      <protection hidden="1"/>
    </xf>
    <xf numFmtId="0" fontId="33" fillId="27" borderId="50" xfId="0" applyFont="1" applyFill="1" applyBorder="1" applyAlignment="1" applyProtection="1">
      <alignment horizontal="left" vertical="center" wrapText="1"/>
      <protection hidden="1"/>
    </xf>
    <xf numFmtId="0" fontId="33" fillId="27" borderId="50" xfId="0" applyFont="1" applyFill="1" applyBorder="1" applyAlignment="1" applyProtection="1">
      <alignment horizontal="right" vertical="center" wrapText="1"/>
      <protection hidden="1"/>
    </xf>
    <xf numFmtId="190" fontId="33" fillId="31" borderId="50" xfId="0" applyNumberFormat="1" applyFont="1" applyFill="1" applyBorder="1" applyAlignment="1" applyProtection="1">
      <alignment horizontal="centerContinuous" vertical="center"/>
      <protection hidden="1"/>
    </xf>
    <xf numFmtId="190" fontId="33" fillId="31" borderId="27" xfId="0" applyNumberFormat="1" applyFont="1" applyFill="1" applyBorder="1" applyAlignment="1" applyProtection="1">
      <alignment horizontal="centerContinuous" vertical="center"/>
      <protection hidden="1"/>
    </xf>
    <xf numFmtId="176" fontId="33" fillId="27" borderId="163" xfId="0" applyNumberFormat="1" applyFont="1" applyFill="1" applyBorder="1" applyAlignment="1" applyProtection="1">
      <alignment horizontal="left" vertical="center" wrapText="1"/>
      <protection hidden="1"/>
    </xf>
    <xf numFmtId="0" fontId="33" fillId="27" borderId="50" xfId="0" applyFont="1" applyFill="1" applyBorder="1" applyAlignment="1" applyProtection="1">
      <alignment horizontal="right" vertical="center"/>
      <protection hidden="1"/>
    </xf>
    <xf numFmtId="0" fontId="46" fillId="27" borderId="197" xfId="0" applyFont="1" applyFill="1" applyBorder="1" applyAlignment="1" applyProtection="1">
      <alignment horizontal="center" vertical="center" wrapText="1"/>
      <protection hidden="1"/>
    </xf>
    <xf numFmtId="208" fontId="33" fillId="27" borderId="50" xfId="0" applyNumberFormat="1" applyFont="1" applyFill="1" applyBorder="1" applyAlignment="1" applyProtection="1">
      <alignment horizontal="left" vertical="center"/>
      <protection hidden="1"/>
    </xf>
    <xf numFmtId="193" fontId="31" fillId="27" borderId="51" xfId="0" applyNumberFormat="1" applyFont="1" applyFill="1" applyBorder="1" applyAlignment="1" applyProtection="1">
      <alignment horizontal="center" vertical="center" wrapText="1"/>
      <protection hidden="1"/>
    </xf>
    <xf numFmtId="0" fontId="29" fillId="58" borderId="164" xfId="0" applyFont="1" applyFill="1" applyBorder="1" applyAlignment="1" applyProtection="1">
      <alignment horizontal="center" vertical="center"/>
      <protection locked="0" hidden="1"/>
    </xf>
    <xf numFmtId="0" fontId="29" fillId="58" borderId="180" xfId="0" applyFont="1" applyFill="1" applyBorder="1" applyAlignment="1" applyProtection="1">
      <alignment horizontal="center" vertical="center"/>
      <protection locked="0" hidden="1"/>
    </xf>
    <xf numFmtId="0" fontId="29" fillId="58" borderId="165" xfId="0" applyFont="1" applyFill="1" applyBorder="1" applyAlignment="1" applyProtection="1">
      <alignment horizontal="center" vertical="center"/>
      <protection locked="0" hidden="1"/>
    </xf>
    <xf numFmtId="0" fontId="29" fillId="58" borderId="166" xfId="0" applyFont="1" applyFill="1" applyBorder="1" applyAlignment="1" applyProtection="1">
      <alignment horizontal="center" vertical="center"/>
      <protection locked="0" hidden="1"/>
    </xf>
    <xf numFmtId="0" fontId="68" fillId="0" borderId="0" xfId="0" applyFont="1" applyAlignment="1">
      <alignment horizontal="left" vertical="top" wrapText="1"/>
    </xf>
    <xf numFmtId="0" fontId="41" fillId="0" borderId="0" xfId="0" applyFont="1" applyAlignment="1">
      <alignment horizontal="left" vertical="top" wrapText="1"/>
    </xf>
    <xf numFmtId="0" fontId="33" fillId="0" borderId="0" xfId="0" applyFont="1" applyAlignment="1">
      <alignment vertical="center" wrapText="1"/>
    </xf>
    <xf numFmtId="0" fontId="41" fillId="0" borderId="0" xfId="0" applyFont="1" applyAlignment="1">
      <alignment vertical="top" wrapText="1"/>
    </xf>
    <xf numFmtId="0" fontId="33" fillId="27" borderId="168" xfId="0" applyFont="1" applyFill="1" applyBorder="1">
      <alignment vertical="center"/>
    </xf>
    <xf numFmtId="0" fontId="12" fillId="51" borderId="173" xfId="0" applyFont="1" applyFill="1" applyBorder="1">
      <alignment vertical="center"/>
    </xf>
    <xf numFmtId="0" fontId="33" fillId="51" borderId="174" xfId="0" applyFont="1" applyFill="1" applyBorder="1" applyAlignment="1">
      <alignment horizontal="right" vertical="center"/>
    </xf>
    <xf numFmtId="0" fontId="12" fillId="51" borderId="173" xfId="0" applyFont="1" applyFill="1" applyBorder="1" applyAlignment="1">
      <alignment vertical="center" wrapText="1"/>
    </xf>
    <xf numFmtId="9" fontId="33" fillId="58" borderId="10" xfId="28" applyFont="1" applyFill="1" applyBorder="1" applyProtection="1">
      <alignment vertical="center"/>
      <protection locked="0"/>
    </xf>
    <xf numFmtId="9" fontId="31" fillId="51" borderId="181" xfId="28" applyFont="1" applyFill="1" applyBorder="1" applyAlignment="1">
      <alignment horizontal="right" vertical="center" wrapText="1"/>
    </xf>
    <xf numFmtId="193" fontId="31" fillId="27" borderId="10" xfId="0" applyNumberFormat="1" applyFont="1" applyFill="1" applyBorder="1" applyAlignment="1" applyProtection="1">
      <alignment horizontal="center" vertical="center" wrapText="1"/>
      <protection hidden="1"/>
    </xf>
    <xf numFmtId="0" fontId="33" fillId="69" borderId="80" xfId="0" applyFont="1" applyFill="1" applyBorder="1" applyAlignment="1" applyProtection="1">
      <alignment horizontal="centerContinuous" vertical="center"/>
      <protection hidden="1"/>
    </xf>
    <xf numFmtId="0" fontId="41" fillId="0" borderId="0" xfId="0" applyFont="1" applyAlignment="1">
      <alignment horizontal="right" vertical="center"/>
    </xf>
    <xf numFmtId="0" fontId="46" fillId="27" borderId="26" xfId="0" applyFont="1" applyFill="1" applyBorder="1" applyAlignment="1" applyProtection="1">
      <alignment horizontal="center" vertical="center"/>
      <protection hidden="1"/>
    </xf>
    <xf numFmtId="0" fontId="31" fillId="58" borderId="194" xfId="0" applyFont="1" applyFill="1" applyBorder="1" applyAlignment="1" applyProtection="1">
      <alignment horizontal="center" vertical="center"/>
      <protection locked="0" hidden="1"/>
    </xf>
    <xf numFmtId="0" fontId="31" fillId="58" borderId="100" xfId="0" applyFont="1" applyFill="1" applyBorder="1" applyAlignment="1" applyProtection="1">
      <alignment horizontal="center" vertical="center"/>
      <protection locked="0" hidden="1"/>
    </xf>
    <xf numFmtId="0" fontId="31" fillId="58" borderId="200" xfId="0" applyFont="1" applyFill="1" applyBorder="1" applyAlignment="1" applyProtection="1">
      <alignment horizontal="center" vertical="center"/>
      <protection locked="0" hidden="1"/>
    </xf>
    <xf numFmtId="0" fontId="31" fillId="58" borderId="199" xfId="0" applyFont="1" applyFill="1" applyBorder="1" applyAlignment="1" applyProtection="1">
      <alignment horizontal="center" vertical="center"/>
      <protection locked="0" hidden="1"/>
    </xf>
    <xf numFmtId="0" fontId="31" fillId="58" borderId="166" xfId="0" applyFont="1" applyFill="1" applyBorder="1" applyAlignment="1" applyProtection="1">
      <alignment horizontal="center" vertical="center"/>
      <protection locked="0" hidden="1"/>
    </xf>
    <xf numFmtId="0" fontId="31" fillId="58" borderId="144" xfId="0" applyFont="1" applyFill="1" applyBorder="1" applyAlignment="1" applyProtection="1">
      <alignment horizontal="center" vertical="center"/>
      <protection locked="0"/>
    </xf>
    <xf numFmtId="0" fontId="38" fillId="0" borderId="0" xfId="0" applyFont="1" applyAlignment="1">
      <alignment horizontal="center" vertical="center"/>
    </xf>
    <xf numFmtId="0" fontId="29" fillId="58" borderId="92" xfId="0" applyFont="1" applyFill="1" applyBorder="1" applyAlignment="1" applyProtection="1">
      <alignment horizontal="center" vertical="center"/>
      <protection locked="0" hidden="1"/>
    </xf>
    <xf numFmtId="0" fontId="33" fillId="27" borderId="64" xfId="0" applyFont="1" applyFill="1" applyBorder="1" applyAlignment="1" applyProtection="1">
      <alignment horizontal="left" vertical="center"/>
      <protection hidden="1"/>
    </xf>
    <xf numFmtId="0" fontId="12" fillId="27" borderId="169" xfId="0" applyFont="1" applyFill="1" applyBorder="1" applyAlignment="1" applyProtection="1">
      <alignment horizontal="center" vertical="center" wrapText="1"/>
      <protection hidden="1"/>
    </xf>
    <xf numFmtId="0" fontId="12" fillId="27" borderId="169" xfId="0" quotePrefix="1" applyFont="1" applyFill="1" applyBorder="1" applyAlignment="1" applyProtection="1">
      <alignment horizontal="center" vertical="center" wrapText="1"/>
      <protection hidden="1"/>
    </xf>
    <xf numFmtId="0" fontId="33" fillId="27" borderId="173" xfId="0" applyFont="1" applyFill="1" applyBorder="1" applyAlignment="1" applyProtection="1">
      <alignment horizontal="left" vertical="center" wrapText="1" indent="1"/>
      <protection hidden="1"/>
    </xf>
    <xf numFmtId="0" fontId="33" fillId="27" borderId="174" xfId="0" applyFont="1" applyFill="1" applyBorder="1" applyAlignment="1" applyProtection="1">
      <alignment horizontal="left" vertical="center" wrapText="1" indent="1"/>
      <protection hidden="1"/>
    </xf>
    <xf numFmtId="0" fontId="33" fillId="27" borderId="173" xfId="0" applyFont="1" applyFill="1" applyBorder="1">
      <alignment vertical="center"/>
    </xf>
    <xf numFmtId="0" fontId="33" fillId="27" borderId="174" xfId="0" applyFont="1" applyFill="1" applyBorder="1">
      <alignment vertical="center"/>
    </xf>
    <xf numFmtId="0" fontId="0" fillId="70" borderId="0" xfId="0" applyFill="1">
      <alignment vertical="center"/>
    </xf>
    <xf numFmtId="0" fontId="12" fillId="51" borderId="157" xfId="0" applyFont="1" applyFill="1" applyBorder="1" applyAlignment="1">
      <alignment vertical="center" wrapText="1"/>
    </xf>
    <xf numFmtId="0" fontId="12" fillId="51" borderId="158" xfId="0" applyFont="1" applyFill="1" applyBorder="1" applyAlignment="1">
      <alignment vertical="center" wrapText="1"/>
    </xf>
    <xf numFmtId="0" fontId="33" fillId="51" borderId="12" xfId="0" applyFont="1" applyFill="1" applyBorder="1" applyAlignment="1" applyProtection="1">
      <alignment vertical="center" wrapText="1"/>
      <protection hidden="1"/>
    </xf>
    <xf numFmtId="0" fontId="33" fillId="51" borderId="161" xfId="0" applyFont="1" applyFill="1" applyBorder="1" applyAlignment="1" applyProtection="1">
      <alignment vertical="center" wrapText="1"/>
      <protection hidden="1"/>
    </xf>
    <xf numFmtId="0" fontId="31" fillId="51" borderId="167" xfId="0" applyFont="1" applyFill="1" applyBorder="1" applyAlignment="1" applyProtection="1">
      <alignment horizontal="center" vertical="center"/>
      <protection hidden="1"/>
    </xf>
    <xf numFmtId="0" fontId="31" fillId="51" borderId="161" xfId="0" applyFont="1" applyFill="1" applyBorder="1" applyAlignment="1" applyProtection="1">
      <alignment horizontal="center" vertical="center"/>
      <protection hidden="1"/>
    </xf>
    <xf numFmtId="0" fontId="33" fillId="51" borderId="156" xfId="0" applyFont="1" applyFill="1" applyBorder="1" applyAlignment="1" applyProtection="1">
      <alignment horizontal="left" vertical="center" shrinkToFit="1"/>
      <protection hidden="1"/>
    </xf>
    <xf numFmtId="0" fontId="33" fillId="51" borderId="11" xfId="0" applyFont="1" applyFill="1" applyBorder="1" applyAlignment="1">
      <alignment vertical="center" wrapText="1"/>
    </xf>
    <xf numFmtId="0" fontId="33" fillId="51" borderId="12" xfId="0" applyFont="1" applyFill="1" applyBorder="1" applyAlignment="1" applyProtection="1">
      <alignment horizontal="left" vertical="center" wrapText="1"/>
      <protection hidden="1"/>
    </xf>
    <xf numFmtId="0" fontId="33" fillId="51" borderId="160" xfId="0" applyFont="1" applyFill="1" applyBorder="1" applyAlignment="1">
      <alignment vertical="center" wrapText="1"/>
    </xf>
    <xf numFmtId="0" fontId="33" fillId="51" borderId="177" xfId="0" applyFont="1" applyFill="1" applyBorder="1" applyAlignment="1" applyProtection="1">
      <alignment horizontal="left" vertical="center"/>
      <protection hidden="1"/>
    </xf>
    <xf numFmtId="0" fontId="33" fillId="51" borderId="12" xfId="0" applyFont="1" applyFill="1" applyBorder="1">
      <alignment vertical="center"/>
    </xf>
    <xf numFmtId="0" fontId="12" fillId="51" borderId="181" xfId="0" applyFont="1" applyFill="1" applyBorder="1" applyAlignment="1">
      <alignment vertical="center" wrapText="1"/>
    </xf>
    <xf numFmtId="0" fontId="33" fillId="51" borderId="177" xfId="0" applyFont="1" applyFill="1" applyBorder="1" applyProtection="1">
      <alignment vertical="center"/>
      <protection hidden="1"/>
    </xf>
    <xf numFmtId="0" fontId="33" fillId="51" borderId="178" xfId="0" applyFont="1" applyFill="1" applyBorder="1" applyProtection="1">
      <alignment vertical="center"/>
      <protection hidden="1"/>
    </xf>
    <xf numFmtId="0" fontId="33" fillId="51" borderId="161" xfId="0" applyFont="1" applyFill="1" applyBorder="1" applyProtection="1">
      <alignment vertical="center"/>
      <protection hidden="1"/>
    </xf>
    <xf numFmtId="0" fontId="0" fillId="51" borderId="163" xfId="0" applyFill="1" applyBorder="1" applyAlignment="1">
      <alignment vertical="center" wrapText="1"/>
    </xf>
    <xf numFmtId="0" fontId="0" fillId="51" borderId="162" xfId="0" applyFill="1" applyBorder="1" applyAlignment="1">
      <alignment vertical="center" wrapText="1"/>
    </xf>
    <xf numFmtId="0" fontId="33" fillId="51" borderId="167" xfId="0" applyFont="1" applyFill="1" applyBorder="1" applyProtection="1">
      <alignment vertical="center"/>
      <protection hidden="1"/>
    </xf>
    <xf numFmtId="0" fontId="0" fillId="51" borderId="13" xfId="0" applyFill="1" applyBorder="1" applyAlignment="1">
      <alignment vertical="center" wrapText="1"/>
    </xf>
    <xf numFmtId="0" fontId="0" fillId="51" borderId="14" xfId="0" applyFill="1" applyBorder="1" applyAlignment="1">
      <alignment vertical="center" wrapText="1"/>
    </xf>
    <xf numFmtId="0" fontId="12" fillId="51" borderId="11" xfId="0" applyFont="1" applyFill="1" applyBorder="1" applyAlignment="1" applyProtection="1">
      <alignment horizontal="center" vertical="center"/>
      <protection hidden="1"/>
    </xf>
    <xf numFmtId="0" fontId="33" fillId="51" borderId="156" xfId="0" applyFont="1" applyFill="1" applyBorder="1" applyProtection="1">
      <alignment vertical="center"/>
      <protection hidden="1"/>
    </xf>
    <xf numFmtId="0" fontId="0" fillId="51" borderId="157" xfId="0" applyFill="1" applyBorder="1" applyAlignment="1">
      <alignment vertical="center" wrapText="1"/>
    </xf>
    <xf numFmtId="0" fontId="0" fillId="51" borderId="158" xfId="0" applyFill="1" applyBorder="1" applyAlignment="1">
      <alignment vertical="center" wrapText="1"/>
    </xf>
    <xf numFmtId="0" fontId="46" fillId="51" borderId="50" xfId="0" applyFont="1" applyFill="1" applyBorder="1" applyAlignment="1" applyProtection="1">
      <alignment horizontal="center" vertical="center" wrapText="1"/>
      <protection hidden="1"/>
    </xf>
    <xf numFmtId="178" fontId="31" fillId="51" borderId="27" xfId="0" applyNumberFormat="1" applyFont="1" applyFill="1" applyBorder="1" applyAlignment="1" applyProtection="1">
      <alignment horizontal="center" vertical="center" wrapText="1"/>
      <protection hidden="1"/>
    </xf>
    <xf numFmtId="0" fontId="31" fillId="51" borderId="50" xfId="0" applyFont="1" applyFill="1" applyBorder="1" applyAlignment="1" applyProtection="1">
      <alignment horizontal="center" vertical="center" wrapText="1"/>
      <protection hidden="1"/>
    </xf>
    <xf numFmtId="0" fontId="33" fillId="51" borderId="50" xfId="0" applyFont="1" applyFill="1" applyBorder="1" applyAlignment="1" applyProtection="1">
      <alignment vertical="center" wrapText="1"/>
      <protection hidden="1"/>
    </xf>
    <xf numFmtId="0" fontId="33" fillId="51" borderId="27" xfId="0" applyFont="1" applyFill="1" applyBorder="1" applyAlignment="1" applyProtection="1">
      <alignment vertical="center" wrapText="1"/>
      <protection hidden="1"/>
    </xf>
    <xf numFmtId="0" fontId="0" fillId="51" borderId="50" xfId="0" applyFill="1" applyBorder="1" applyAlignment="1">
      <alignment vertical="center" wrapText="1"/>
    </xf>
    <xf numFmtId="0" fontId="0" fillId="51" borderId="27" xfId="0" applyFill="1" applyBorder="1" applyAlignment="1">
      <alignment vertical="center" wrapText="1"/>
    </xf>
    <xf numFmtId="0" fontId="33" fillId="51" borderId="50" xfId="0" applyFont="1" applyFill="1" applyBorder="1" applyProtection="1">
      <alignment vertical="center"/>
      <protection hidden="1"/>
    </xf>
    <xf numFmtId="0" fontId="33" fillId="51" borderId="27" xfId="0" applyFont="1" applyFill="1" applyBorder="1" applyProtection="1">
      <alignment vertical="center"/>
      <protection hidden="1"/>
    </xf>
    <xf numFmtId="0" fontId="0" fillId="51" borderId="17" xfId="0" applyFill="1" applyBorder="1" applyAlignment="1">
      <alignment vertical="center" wrapText="1"/>
    </xf>
    <xf numFmtId="0" fontId="0" fillId="51" borderId="64" xfId="0" applyFill="1" applyBorder="1" applyAlignment="1">
      <alignment vertical="center" wrapText="1"/>
    </xf>
    <xf numFmtId="0" fontId="0" fillId="51" borderId="56" xfId="0" applyFill="1" applyBorder="1" applyAlignment="1">
      <alignment vertical="center" wrapText="1"/>
    </xf>
    <xf numFmtId="0" fontId="0" fillId="51" borderId="58" xfId="0" applyFill="1" applyBorder="1" applyAlignment="1">
      <alignment vertical="center" wrapText="1"/>
    </xf>
    <xf numFmtId="0" fontId="33" fillId="51" borderId="89" xfId="0" applyFont="1" applyFill="1" applyBorder="1" applyProtection="1">
      <alignment vertical="center"/>
      <protection hidden="1"/>
    </xf>
    <xf numFmtId="0" fontId="0" fillId="51" borderId="62" xfId="0" applyFill="1" applyBorder="1">
      <alignment vertical="center"/>
    </xf>
    <xf numFmtId="0" fontId="0" fillId="51" borderId="77" xfId="0" applyFill="1" applyBorder="1">
      <alignment vertical="center"/>
    </xf>
    <xf numFmtId="0" fontId="0" fillId="51" borderId="62" xfId="0" applyFill="1" applyBorder="1" applyAlignment="1">
      <alignment vertical="center" wrapText="1"/>
    </xf>
    <xf numFmtId="0" fontId="0" fillId="51" borderId="77" xfId="0" applyFill="1" applyBorder="1" applyAlignment="1">
      <alignment vertical="center" wrapText="1"/>
    </xf>
    <xf numFmtId="0" fontId="33" fillId="51" borderId="158" xfId="0" applyFont="1" applyFill="1" applyBorder="1" applyAlignment="1" applyProtection="1">
      <alignment horizontal="left" vertical="center"/>
      <protection hidden="1"/>
    </xf>
    <xf numFmtId="0" fontId="33" fillId="51" borderId="13" xfId="0" applyFont="1" applyFill="1" applyBorder="1" applyAlignment="1" applyProtection="1">
      <alignment vertical="center" wrapText="1"/>
      <protection hidden="1"/>
    </xf>
    <xf numFmtId="0" fontId="33" fillId="51" borderId="14" xfId="0" applyFont="1" applyFill="1" applyBorder="1" applyAlignment="1" applyProtection="1">
      <alignment horizontal="left" vertical="center"/>
      <protection hidden="1"/>
    </xf>
    <xf numFmtId="0" fontId="33" fillId="51" borderId="157" xfId="0" applyFont="1" applyFill="1" applyBorder="1" applyProtection="1">
      <alignment vertical="center"/>
      <protection hidden="1"/>
    </xf>
    <xf numFmtId="0" fontId="12" fillId="51" borderId="158" xfId="0" applyFont="1" applyFill="1" applyBorder="1">
      <alignment vertical="center"/>
    </xf>
    <xf numFmtId="0" fontId="12" fillId="51" borderId="163" xfId="0" applyFont="1" applyFill="1" applyBorder="1">
      <alignment vertical="center"/>
    </xf>
    <xf numFmtId="0" fontId="33" fillId="51" borderId="163" xfId="0" applyFont="1" applyFill="1" applyBorder="1" applyProtection="1">
      <alignment vertical="center"/>
      <protection hidden="1"/>
    </xf>
    <xf numFmtId="0" fontId="33" fillId="51" borderId="176" xfId="0" applyFont="1" applyFill="1" applyBorder="1" applyProtection="1">
      <alignment vertical="center"/>
      <protection hidden="1"/>
    </xf>
    <xf numFmtId="0" fontId="12" fillId="51" borderId="157" xfId="0" applyFont="1" applyFill="1" applyBorder="1">
      <alignment vertical="center"/>
    </xf>
    <xf numFmtId="0" fontId="33" fillId="51" borderId="158" xfId="0" applyFont="1" applyFill="1" applyBorder="1" applyAlignment="1" applyProtection="1">
      <alignment horizontal="left" vertical="top"/>
      <protection hidden="1"/>
    </xf>
    <xf numFmtId="0" fontId="33" fillId="51" borderId="14" xfId="0" applyFont="1" applyFill="1" applyBorder="1" applyAlignment="1" applyProtection="1">
      <alignment horizontal="left" vertical="top"/>
      <protection hidden="1"/>
    </xf>
    <xf numFmtId="0" fontId="33" fillId="51" borderId="163" xfId="0" applyFont="1" applyFill="1" applyBorder="1" applyAlignment="1" applyProtection="1">
      <alignment vertical="center" wrapText="1"/>
      <protection hidden="1"/>
    </xf>
    <xf numFmtId="0" fontId="33" fillId="51" borderId="162" xfId="0" applyFont="1" applyFill="1" applyBorder="1" applyAlignment="1" applyProtection="1">
      <alignment horizontal="left" vertical="top"/>
      <protection hidden="1"/>
    </xf>
    <xf numFmtId="0" fontId="31" fillId="51" borderId="10" xfId="0" applyFont="1" applyFill="1" applyBorder="1" applyAlignment="1">
      <alignment horizontal="center" vertical="center"/>
    </xf>
    <xf numFmtId="0" fontId="33" fillId="42" borderId="156" xfId="0" applyFont="1" applyFill="1" applyBorder="1" applyProtection="1">
      <alignment vertical="center"/>
      <protection hidden="1"/>
    </xf>
    <xf numFmtId="0" fontId="33" fillId="42" borderId="12" xfId="0" applyFont="1" applyFill="1" applyBorder="1" applyProtection="1">
      <alignment vertical="center"/>
      <protection hidden="1"/>
    </xf>
    <xf numFmtId="0" fontId="33" fillId="42" borderId="161" xfId="0" applyFont="1" applyFill="1" applyBorder="1" applyProtection="1">
      <alignment vertical="center"/>
      <protection hidden="1"/>
    </xf>
    <xf numFmtId="0" fontId="33" fillId="51" borderId="158" xfId="0" applyFont="1" applyFill="1" applyBorder="1" applyProtection="1">
      <alignment vertical="center"/>
      <protection hidden="1"/>
    </xf>
    <xf numFmtId="0" fontId="46" fillId="51" borderId="197" xfId="0" applyFont="1" applyFill="1" applyBorder="1" applyAlignment="1" applyProtection="1">
      <alignment horizontal="center" vertical="center" wrapText="1"/>
      <protection hidden="1"/>
    </xf>
    <xf numFmtId="0" fontId="33" fillId="27" borderId="50" xfId="0" quotePrefix="1" applyFont="1" applyFill="1" applyBorder="1" applyAlignment="1" applyProtection="1">
      <alignment horizontal="right" vertical="center"/>
      <protection hidden="1"/>
    </xf>
    <xf numFmtId="0" fontId="29" fillId="27" borderId="50" xfId="0" applyFont="1" applyFill="1" applyBorder="1" applyAlignment="1" applyProtection="1">
      <alignment horizontal="center" vertical="center"/>
      <protection hidden="1"/>
    </xf>
    <xf numFmtId="0" fontId="46" fillId="27" borderId="197" xfId="0" applyFont="1" applyFill="1" applyBorder="1" applyAlignment="1" applyProtection="1">
      <alignment vertical="center" wrapText="1"/>
      <protection hidden="1"/>
    </xf>
    <xf numFmtId="0" fontId="33" fillId="27" borderId="50" xfId="0" applyFont="1" applyFill="1" applyBorder="1" applyAlignment="1" applyProtection="1">
      <alignment horizontal="center" vertical="center" wrapText="1"/>
      <protection hidden="1"/>
    </xf>
    <xf numFmtId="0" fontId="33" fillId="27" borderId="26" xfId="0" applyFont="1" applyFill="1" applyBorder="1" applyAlignment="1" applyProtection="1">
      <alignment horizontal="center" vertical="center" wrapText="1"/>
      <protection hidden="1"/>
    </xf>
    <xf numFmtId="9" fontId="33" fillId="58" borderId="164" xfId="0" applyNumberFormat="1" applyFont="1" applyFill="1" applyBorder="1" applyAlignment="1" applyProtection="1">
      <alignment horizontal="center" vertical="center"/>
      <protection locked="0" hidden="1"/>
    </xf>
    <xf numFmtId="9" fontId="33" fillId="58" borderId="165" xfId="0" applyNumberFormat="1" applyFont="1" applyFill="1" applyBorder="1" applyAlignment="1" applyProtection="1">
      <alignment horizontal="center" vertical="center"/>
      <protection locked="0" hidden="1"/>
    </xf>
    <xf numFmtId="9" fontId="33" fillId="58" borderId="166" xfId="0" applyNumberFormat="1" applyFont="1" applyFill="1" applyBorder="1" applyAlignment="1" applyProtection="1">
      <alignment horizontal="center" vertical="center"/>
      <protection locked="0" hidden="1"/>
    </xf>
    <xf numFmtId="0" fontId="29" fillId="58" borderId="180" xfId="0" applyFont="1" applyFill="1" applyBorder="1" applyProtection="1">
      <alignment vertical="center"/>
      <protection locked="0" hidden="1"/>
    </xf>
    <xf numFmtId="0" fontId="29" fillId="58" borderId="194" xfId="0" applyFont="1" applyFill="1" applyBorder="1" applyProtection="1">
      <alignment vertical="center"/>
      <protection locked="0" hidden="1"/>
    </xf>
    <xf numFmtId="0" fontId="0" fillId="58" borderId="115" xfId="0" applyFill="1" applyBorder="1">
      <alignment vertical="center"/>
    </xf>
    <xf numFmtId="0" fontId="31" fillId="27" borderId="27" xfId="0" applyFont="1" applyFill="1" applyBorder="1" applyAlignment="1" applyProtection="1">
      <alignment horizontal="center" vertical="top"/>
      <protection hidden="1"/>
    </xf>
    <xf numFmtId="0" fontId="31" fillId="58" borderId="51" xfId="0" applyFont="1" applyFill="1" applyBorder="1" applyAlignment="1" applyProtection="1">
      <alignment horizontal="center" vertical="center"/>
      <protection locked="0" hidden="1"/>
    </xf>
    <xf numFmtId="0" fontId="31" fillId="58" borderId="115" xfId="0" applyFont="1" applyFill="1" applyBorder="1" applyAlignment="1" applyProtection="1">
      <alignment horizontal="center" vertical="center"/>
      <protection locked="0" hidden="1"/>
    </xf>
    <xf numFmtId="0" fontId="31" fillId="27" borderId="27" xfId="0" applyFont="1" applyFill="1" applyBorder="1" applyAlignment="1" applyProtection="1">
      <alignment horizontal="center" vertical="center"/>
      <protection hidden="1"/>
    </xf>
    <xf numFmtId="0" fontId="41" fillId="0" borderId="50" xfId="0" applyFont="1" applyBorder="1">
      <alignment vertical="center"/>
    </xf>
    <xf numFmtId="0" fontId="41" fillId="0" borderId="0" xfId="0" applyFont="1" applyAlignment="1">
      <alignment horizontal="right" vertical="top"/>
    </xf>
    <xf numFmtId="206" fontId="33" fillId="58" borderId="10" xfId="28" applyNumberFormat="1" applyFont="1" applyFill="1" applyBorder="1" applyProtection="1">
      <alignment vertical="center"/>
      <protection locked="0"/>
    </xf>
    <xf numFmtId="182" fontId="33" fillId="58" borderId="10" xfId="0" applyNumberFormat="1" applyFont="1" applyFill="1" applyBorder="1" applyProtection="1">
      <alignment vertical="center"/>
      <protection locked="0"/>
    </xf>
    <xf numFmtId="0" fontId="33" fillId="0" borderId="0" xfId="0" applyFont="1" applyAlignment="1">
      <alignment horizontal="right"/>
    </xf>
    <xf numFmtId="0" fontId="0" fillId="0" borderId="0" xfId="0" applyAlignment="1">
      <alignment horizontal="right"/>
    </xf>
    <xf numFmtId="0" fontId="41" fillId="0" borderId="0" xfId="0" applyFont="1" applyAlignment="1" applyProtection="1">
      <alignment horizontal="right" vertical="top"/>
      <protection hidden="1"/>
    </xf>
    <xf numFmtId="206" fontId="33" fillId="51" borderId="10" xfId="28" applyNumberFormat="1" applyFont="1" applyFill="1" applyBorder="1">
      <alignment vertical="center"/>
    </xf>
    <xf numFmtId="183" fontId="29" fillId="0" borderId="10" xfId="0" applyNumberFormat="1" applyFont="1" applyBorder="1" applyAlignment="1">
      <alignment horizontal="center" vertical="center"/>
    </xf>
    <xf numFmtId="183" fontId="29" fillId="0" borderId="0" xfId="0" applyNumberFormat="1" applyFont="1" applyAlignment="1">
      <alignment horizontal="center" vertical="center"/>
    </xf>
    <xf numFmtId="0" fontId="38" fillId="0" borderId="0" xfId="0" applyFont="1" applyAlignment="1">
      <alignment horizontal="center" vertical="top"/>
    </xf>
    <xf numFmtId="0" fontId="41" fillId="31" borderId="56" xfId="0" applyFont="1" applyFill="1" applyBorder="1" applyAlignment="1" applyProtection="1">
      <alignment horizontal="centerContinuous" vertical="center" wrapText="1"/>
      <protection hidden="1"/>
    </xf>
    <xf numFmtId="0" fontId="33" fillId="51" borderId="14" xfId="0" applyFont="1" applyFill="1" applyBorder="1">
      <alignment vertical="center"/>
    </xf>
    <xf numFmtId="0" fontId="33" fillId="51" borderId="50" xfId="0" applyFont="1" applyFill="1" applyBorder="1" applyAlignment="1" applyProtection="1">
      <alignment horizontal="left" vertical="center" wrapText="1"/>
      <protection hidden="1"/>
    </xf>
    <xf numFmtId="0" fontId="33" fillId="51" borderId="26" xfId="0" applyFont="1" applyFill="1" applyBorder="1" applyAlignment="1" applyProtection="1">
      <alignment horizontal="center" vertical="center" wrapText="1"/>
      <protection hidden="1"/>
    </xf>
    <xf numFmtId="0" fontId="33" fillId="51" borderId="50" xfId="0" applyFont="1" applyFill="1" applyBorder="1" applyAlignment="1" applyProtection="1">
      <alignment horizontal="right" vertical="center" wrapText="1"/>
      <protection hidden="1"/>
    </xf>
    <xf numFmtId="0" fontId="33" fillId="51" borderId="50" xfId="0" applyFont="1" applyFill="1" applyBorder="1" applyAlignment="1" applyProtection="1">
      <alignment horizontal="center" vertical="center" wrapText="1"/>
      <protection hidden="1"/>
    </xf>
    <xf numFmtId="0" fontId="41" fillId="51" borderId="50" xfId="0" applyFont="1" applyFill="1" applyBorder="1" applyAlignment="1" applyProtection="1">
      <alignment horizontal="right" vertical="center" wrapText="1"/>
      <protection hidden="1"/>
    </xf>
    <xf numFmtId="208" fontId="31" fillId="51" borderId="27" xfId="0" applyNumberFormat="1" applyFont="1" applyFill="1" applyBorder="1" applyAlignment="1" applyProtection="1">
      <alignment horizontal="center" vertical="center"/>
      <protection hidden="1"/>
    </xf>
    <xf numFmtId="0" fontId="33" fillId="53" borderId="89" xfId="0" applyFont="1" applyFill="1" applyBorder="1" applyAlignment="1" applyProtection="1">
      <alignment horizontal="centerContinuous" vertical="center"/>
      <protection hidden="1"/>
    </xf>
    <xf numFmtId="0" fontId="0" fillId="53" borderId="50" xfId="0" applyFill="1" applyBorder="1" applyAlignment="1">
      <alignment horizontal="centerContinuous" vertical="center"/>
    </xf>
    <xf numFmtId="0" fontId="33" fillId="31" borderId="56" xfId="0" applyFont="1" applyFill="1" applyBorder="1" applyAlignment="1" applyProtection="1">
      <alignment horizontal="centerContinuous" vertical="center"/>
      <protection hidden="1"/>
    </xf>
    <xf numFmtId="0" fontId="41" fillId="0" borderId="0" xfId="0" applyFont="1" applyAlignment="1">
      <alignment horizontal="left" vertical="center"/>
    </xf>
    <xf numFmtId="40" fontId="50" fillId="0" borderId="10" xfId="35" applyNumberFormat="1" applyFont="1" applyFill="1" applyBorder="1" applyAlignment="1" applyProtection="1">
      <alignment horizontal="right" vertical="center"/>
      <protection locked="0"/>
    </xf>
    <xf numFmtId="0" fontId="34" fillId="27" borderId="0" xfId="0" applyFont="1" applyFill="1" applyAlignment="1" applyProtection="1">
      <alignment horizontal="left" vertical="center"/>
      <protection hidden="1"/>
    </xf>
    <xf numFmtId="179" fontId="50" fillId="27" borderId="25" xfId="0" applyNumberFormat="1" applyFont="1" applyFill="1" applyBorder="1" applyAlignment="1">
      <alignment horizontal="right" vertical="center"/>
    </xf>
    <xf numFmtId="40" fontId="50" fillId="27" borderId="10" xfId="35" applyNumberFormat="1" applyFont="1" applyFill="1" applyBorder="1" applyAlignment="1" applyProtection="1">
      <alignment horizontal="right" vertical="center"/>
    </xf>
    <xf numFmtId="0" fontId="39" fillId="0" borderId="10" xfId="0" applyFont="1" applyBorder="1" applyAlignment="1" applyProtection="1">
      <alignment horizontal="right" vertical="center"/>
      <protection locked="0"/>
    </xf>
    <xf numFmtId="179" fontId="50" fillId="27" borderId="0" xfId="0" applyNumberFormat="1" applyFont="1" applyFill="1" applyAlignment="1">
      <alignment horizontal="right" vertical="center"/>
    </xf>
    <xf numFmtId="0" fontId="39" fillId="27" borderId="0" xfId="0" applyFont="1" applyFill="1" applyAlignment="1" applyProtection="1">
      <protection hidden="1"/>
    </xf>
    <xf numFmtId="0" fontId="39" fillId="27" borderId="25" xfId="0" applyFont="1" applyFill="1" applyBorder="1" applyAlignment="1" applyProtection="1">
      <protection hidden="1"/>
    </xf>
    <xf numFmtId="0" fontId="87" fillId="28" borderId="19" xfId="0" applyFont="1" applyFill="1" applyBorder="1" applyProtection="1">
      <alignment vertical="center"/>
      <protection hidden="1"/>
    </xf>
    <xf numFmtId="0" fontId="87" fillId="28" borderId="20" xfId="0" applyFont="1" applyFill="1" applyBorder="1" applyProtection="1">
      <alignment vertical="center"/>
      <protection hidden="1"/>
    </xf>
    <xf numFmtId="179" fontId="34" fillId="27" borderId="25" xfId="0" applyNumberFormat="1" applyFont="1" applyFill="1" applyBorder="1" applyAlignment="1">
      <alignment horizontal="left" vertical="center"/>
    </xf>
    <xf numFmtId="31" fontId="39" fillId="0" borderId="10" xfId="0" applyNumberFormat="1" applyFont="1" applyBorder="1" applyAlignment="1" applyProtection="1">
      <alignment horizontal="right" vertical="center"/>
      <protection locked="0"/>
    </xf>
    <xf numFmtId="179" fontId="39" fillId="0" borderId="10" xfId="35" applyNumberFormat="1" applyFont="1" applyFill="1" applyBorder="1" applyAlignment="1" applyProtection="1">
      <alignment horizontal="right" vertical="center"/>
      <protection locked="0"/>
    </xf>
    <xf numFmtId="181" fontId="39" fillId="0" borderId="10" xfId="0" applyNumberFormat="1" applyFont="1" applyBorder="1" applyAlignment="1" applyProtection="1">
      <alignment horizontal="right" vertical="center"/>
      <protection locked="0"/>
    </xf>
    <xf numFmtId="0" fontId="197" fillId="27" borderId="0" xfId="0" applyFont="1" applyFill="1" applyAlignment="1" applyProtection="1">
      <alignment horizontal="left" vertical="center"/>
      <protection hidden="1"/>
    </xf>
    <xf numFmtId="0" fontId="50" fillId="0" borderId="0" xfId="0" applyFont="1">
      <alignment vertical="center"/>
    </xf>
    <xf numFmtId="0" fontId="198" fillId="0" borderId="10" xfId="0" applyFont="1" applyBorder="1" applyAlignment="1" applyProtection="1">
      <alignment horizontal="center" vertical="center"/>
      <protection locked="0" hidden="1"/>
    </xf>
    <xf numFmtId="0" fontId="198" fillId="0" borderId="31" xfId="0" applyFont="1" applyBorder="1" applyAlignment="1" applyProtection="1">
      <alignment horizontal="right" vertical="center"/>
      <protection locked="0"/>
    </xf>
    <xf numFmtId="0" fontId="199" fillId="27" borderId="32" xfId="0" applyFont="1" applyFill="1" applyBorder="1" applyProtection="1">
      <alignment vertical="center"/>
      <protection hidden="1"/>
    </xf>
    <xf numFmtId="0" fontId="50" fillId="27" borderId="33" xfId="0" applyFont="1" applyFill="1" applyBorder="1" applyAlignment="1" applyProtection="1">
      <protection hidden="1"/>
    </xf>
    <xf numFmtId="0" fontId="39" fillId="27" borderId="19" xfId="0" applyFont="1" applyFill="1" applyBorder="1" applyAlignment="1" applyProtection="1">
      <alignment horizontal="left" vertical="top" wrapText="1"/>
      <protection hidden="1"/>
    </xf>
    <xf numFmtId="0" fontId="200" fillId="0" borderId="35" xfId="0" applyFont="1" applyBorder="1" applyProtection="1">
      <alignment vertical="center"/>
      <protection hidden="1"/>
    </xf>
    <xf numFmtId="0" fontId="200" fillId="0" borderId="36" xfId="0" applyFont="1" applyBorder="1" applyProtection="1">
      <alignment vertical="center"/>
      <protection hidden="1"/>
    </xf>
    <xf numFmtId="0" fontId="103" fillId="28" borderId="24" xfId="0" applyFont="1" applyFill="1" applyBorder="1" applyAlignment="1" applyProtection="1">
      <alignment horizontal="center" vertical="center"/>
      <protection hidden="1"/>
    </xf>
    <xf numFmtId="0" fontId="103" fillId="28" borderId="37" xfId="0" applyFont="1" applyFill="1" applyBorder="1" applyAlignment="1" applyProtection="1">
      <alignment horizontal="center" vertical="center"/>
      <protection hidden="1"/>
    </xf>
    <xf numFmtId="0" fontId="103" fillId="28" borderId="25" xfId="0" applyFont="1" applyFill="1" applyBorder="1" applyAlignment="1" applyProtection="1">
      <alignment horizontal="center" vertical="center"/>
      <protection hidden="1"/>
    </xf>
    <xf numFmtId="179" fontId="50" fillId="0" borderId="10" xfId="35" applyNumberFormat="1" applyFont="1" applyFill="1" applyBorder="1" applyAlignment="1" applyProtection="1">
      <alignment horizontal="right" vertical="center"/>
      <protection locked="0"/>
    </xf>
    <xf numFmtId="0" fontId="34" fillId="27" borderId="0" xfId="0" applyFont="1" applyFill="1" applyAlignment="1" applyProtection="1">
      <alignment horizontal="right" vertical="center"/>
      <protection hidden="1"/>
    </xf>
    <xf numFmtId="0" fontId="68" fillId="27" borderId="0" xfId="0" applyFont="1" applyFill="1" applyAlignment="1" applyProtection="1">
      <alignment horizontal="left" vertical="center"/>
      <protection hidden="1"/>
    </xf>
    <xf numFmtId="0" fontId="103" fillId="28" borderId="0" xfId="0" applyFont="1" applyFill="1" applyAlignment="1" applyProtection="1">
      <alignment horizontal="center" vertical="center"/>
      <protection hidden="1"/>
    </xf>
    <xf numFmtId="0" fontId="39" fillId="27" borderId="0" xfId="0" applyFont="1" applyFill="1" applyProtection="1">
      <alignment vertical="center"/>
      <protection hidden="1"/>
    </xf>
    <xf numFmtId="0" fontId="50" fillId="0" borderId="28" xfId="0" applyFont="1" applyBorder="1" applyAlignment="1" applyProtection="1">
      <alignment horizontal="center" vertical="center"/>
      <protection locked="0"/>
    </xf>
    <xf numFmtId="0" fontId="39" fillId="27" borderId="0" xfId="0" applyFont="1" applyFill="1" applyAlignment="1" applyProtection="1">
      <alignment horizontal="center" vertical="center"/>
      <protection hidden="1"/>
    </xf>
    <xf numFmtId="178" fontId="39" fillId="27" borderId="28" xfId="0" applyNumberFormat="1" applyFont="1" applyFill="1" applyBorder="1" applyProtection="1">
      <alignment vertical="center"/>
      <protection hidden="1"/>
    </xf>
    <xf numFmtId="0" fontId="39" fillId="27" borderId="32" xfId="0" applyFont="1" applyFill="1" applyBorder="1" applyProtection="1">
      <alignment vertical="center"/>
      <protection hidden="1"/>
    </xf>
    <xf numFmtId="0" fontId="39" fillId="27" borderId="33" xfId="0" applyFont="1" applyFill="1" applyBorder="1" applyProtection="1">
      <alignment vertical="center"/>
      <protection hidden="1"/>
    </xf>
    <xf numFmtId="0" fontId="201" fillId="28" borderId="0" xfId="0" applyFont="1" applyFill="1" applyAlignment="1" applyProtection="1">
      <alignment horizontal="centerContinuous" vertical="center"/>
      <protection hidden="1"/>
    </xf>
    <xf numFmtId="0" fontId="40" fillId="27" borderId="0" xfId="0" applyFont="1" applyFill="1" applyAlignment="1">
      <alignment horizontal="left" vertical="center"/>
    </xf>
    <xf numFmtId="0" fontId="50" fillId="27" borderId="0" xfId="0" applyFont="1" applyFill="1" applyProtection="1">
      <alignment vertical="center"/>
      <protection hidden="1"/>
    </xf>
    <xf numFmtId="0" fontId="200" fillId="0" borderId="18" xfId="0" applyFont="1" applyBorder="1" applyProtection="1">
      <alignment vertical="center"/>
      <protection hidden="1"/>
    </xf>
    <xf numFmtId="0" fontId="103" fillId="28" borderId="21" xfId="0" applyFont="1" applyFill="1" applyBorder="1" applyProtection="1">
      <alignment vertical="center"/>
      <protection hidden="1"/>
    </xf>
    <xf numFmtId="0" fontId="103" fillId="28" borderId="24" xfId="0" applyFont="1" applyFill="1" applyBorder="1" applyProtection="1">
      <alignment vertical="center"/>
      <protection hidden="1"/>
    </xf>
    <xf numFmtId="49" fontId="39" fillId="27" borderId="24" xfId="0" applyNumberFormat="1" applyFont="1" applyFill="1" applyBorder="1" applyAlignment="1" applyProtection="1">
      <protection hidden="1"/>
    </xf>
    <xf numFmtId="0" fontId="39" fillId="27" borderId="24" xfId="0" applyFont="1" applyFill="1" applyBorder="1" applyAlignment="1" applyProtection="1">
      <protection hidden="1"/>
    </xf>
    <xf numFmtId="0" fontId="71" fillId="27" borderId="24" xfId="0" applyFont="1" applyFill="1" applyBorder="1" applyAlignment="1" applyProtection="1">
      <protection hidden="1"/>
    </xf>
    <xf numFmtId="0" fontId="39" fillId="27" borderId="24" xfId="0" applyFont="1" applyFill="1" applyBorder="1" applyAlignment="1" applyProtection="1">
      <alignment horizontal="left"/>
      <protection hidden="1"/>
    </xf>
    <xf numFmtId="0" fontId="103" fillId="28" borderId="29" xfId="0" applyFont="1" applyFill="1" applyBorder="1" applyProtection="1">
      <alignment vertical="center"/>
      <protection hidden="1"/>
    </xf>
    <xf numFmtId="0" fontId="202" fillId="27" borderId="24" xfId="0" applyFont="1" applyFill="1" applyBorder="1" applyAlignment="1" applyProtection="1">
      <protection hidden="1"/>
    </xf>
    <xf numFmtId="0" fontId="39" fillId="27" borderId="24" xfId="0" applyFont="1" applyFill="1" applyBorder="1" applyProtection="1">
      <alignment vertical="center"/>
      <protection hidden="1"/>
    </xf>
    <xf numFmtId="0" fontId="39" fillId="27" borderId="30" xfId="0" applyFont="1" applyFill="1" applyBorder="1" applyProtection="1">
      <alignment vertical="center"/>
      <protection hidden="1"/>
    </xf>
    <xf numFmtId="0" fontId="203" fillId="28" borderId="0" xfId="0" applyFont="1" applyFill="1" applyAlignment="1" applyProtection="1">
      <alignment horizontal="centerContinuous" vertical="center"/>
      <protection hidden="1"/>
    </xf>
    <xf numFmtId="0" fontId="50" fillId="27" borderId="0" xfId="0" applyFont="1" applyFill="1">
      <alignment vertical="center"/>
    </xf>
    <xf numFmtId="0" fontId="201" fillId="28" borderId="0" xfId="0" applyFont="1" applyFill="1" applyAlignment="1" applyProtection="1">
      <alignment horizontal="centerContinuous" vertical="top"/>
      <protection hidden="1"/>
    </xf>
    <xf numFmtId="0" fontId="50" fillId="0" borderId="19" xfId="0" applyFont="1" applyBorder="1" applyProtection="1">
      <alignment vertical="center"/>
      <protection hidden="1"/>
    </xf>
    <xf numFmtId="0" fontId="50" fillId="0" borderId="20" xfId="0" applyFont="1" applyBorder="1" applyProtection="1">
      <alignment vertical="center"/>
      <protection hidden="1"/>
    </xf>
    <xf numFmtId="0" fontId="87" fillId="28" borderId="22" xfId="0" applyFont="1" applyFill="1" applyBorder="1" applyProtection="1">
      <alignment vertical="center"/>
      <protection hidden="1"/>
    </xf>
    <xf numFmtId="0" fontId="87" fillId="28" borderId="23" xfId="0" applyFont="1" applyFill="1" applyBorder="1" applyProtection="1">
      <alignment vertical="center"/>
      <protection hidden="1"/>
    </xf>
    <xf numFmtId="0" fontId="87" fillId="28" borderId="0" xfId="0" applyFont="1" applyFill="1" applyProtection="1">
      <alignment vertical="center"/>
      <protection hidden="1"/>
    </xf>
    <xf numFmtId="0" fontId="87" fillId="28" borderId="25" xfId="0" applyFont="1" applyFill="1" applyBorder="1" applyProtection="1">
      <alignment vertical="center"/>
      <protection hidden="1"/>
    </xf>
    <xf numFmtId="0" fontId="198" fillId="0" borderId="28" xfId="0" applyFont="1" applyBorder="1" applyAlignment="1" applyProtection="1">
      <alignment horizontal="center" vertical="center"/>
      <protection locked="0"/>
    </xf>
    <xf numFmtId="55" fontId="39" fillId="0" borderId="10" xfId="0" applyNumberFormat="1" applyFont="1" applyBorder="1" applyAlignment="1" applyProtection="1">
      <alignment horizontal="right" vertical="center"/>
      <protection locked="0"/>
    </xf>
    <xf numFmtId="0" fontId="50" fillId="27" borderId="0" xfId="0" applyFont="1" applyFill="1" applyAlignment="1"/>
    <xf numFmtId="0" fontId="39" fillId="27" borderId="0" xfId="0" applyFont="1" applyFill="1">
      <alignment vertical="center"/>
    </xf>
    <xf numFmtId="0" fontId="200" fillId="0" borderId="34" xfId="0" applyFont="1" applyBorder="1" applyProtection="1">
      <alignment vertical="center"/>
      <protection hidden="1"/>
    </xf>
    <xf numFmtId="0" fontId="39" fillId="27" borderId="18" xfId="0" applyFont="1" applyFill="1" applyBorder="1" applyProtection="1">
      <alignment vertical="center"/>
      <protection hidden="1"/>
    </xf>
    <xf numFmtId="0" fontId="39" fillId="27" borderId="24" xfId="0" applyFont="1" applyFill="1" applyBorder="1" applyAlignment="1" applyProtection="1">
      <alignment horizontal="right" vertical="center"/>
      <protection hidden="1"/>
    </xf>
    <xf numFmtId="0" fontId="200" fillId="0" borderId="29" xfId="0" applyFont="1" applyBorder="1" applyProtection="1">
      <alignment vertical="center"/>
      <protection hidden="1"/>
    </xf>
    <xf numFmtId="0" fontId="204" fillId="0" borderId="38" xfId="0" applyFont="1" applyBorder="1" applyAlignment="1" applyProtection="1">
      <alignment horizontal="left" vertical="center" indent="1"/>
      <protection hidden="1"/>
    </xf>
    <xf numFmtId="0" fontId="204" fillId="0" borderId="38" xfId="0" applyFont="1" applyBorder="1" applyAlignment="1" applyProtection="1">
      <alignment horizontal="right" vertical="center"/>
      <protection hidden="1"/>
    </xf>
    <xf numFmtId="0" fontId="204" fillId="0" borderId="39" xfId="0" applyFont="1" applyBorder="1" applyAlignment="1" applyProtection="1">
      <alignment horizontal="right" vertical="center"/>
      <protection hidden="1"/>
    </xf>
    <xf numFmtId="0" fontId="103" fillId="28" borderId="40" xfId="0" applyFont="1" applyFill="1" applyBorder="1" applyProtection="1">
      <alignment vertical="center"/>
      <protection hidden="1"/>
    </xf>
    <xf numFmtId="0" fontId="13" fillId="27" borderId="41" xfId="29" applyFill="1" applyBorder="1" applyAlignment="1" applyProtection="1">
      <alignment horizontal="left" vertical="center" indent="1"/>
      <protection hidden="1"/>
    </xf>
    <xf numFmtId="0" fontId="13" fillId="27" borderId="42" xfId="29" applyFill="1" applyBorder="1" applyAlignment="1" applyProtection="1">
      <alignment horizontal="left" vertical="center" indent="1"/>
      <protection hidden="1"/>
    </xf>
    <xf numFmtId="0" fontId="50" fillId="27" borderId="42" xfId="0" applyFont="1" applyFill="1" applyBorder="1" applyAlignment="1" applyProtection="1">
      <alignment horizontal="left" vertical="center" indent="1"/>
      <protection hidden="1"/>
    </xf>
    <xf numFmtId="0" fontId="50" fillId="27" borderId="43" xfId="0" applyFont="1" applyFill="1" applyBorder="1" applyAlignment="1" applyProtection="1">
      <alignment horizontal="left" vertical="center" indent="1"/>
      <protection hidden="1"/>
    </xf>
    <xf numFmtId="0" fontId="103" fillId="28" borderId="44" xfId="0" applyFont="1" applyFill="1" applyBorder="1" applyProtection="1">
      <alignment vertical="center"/>
      <protection hidden="1"/>
    </xf>
    <xf numFmtId="0" fontId="13" fillId="27" borderId="45" xfId="29" applyFill="1" applyBorder="1" applyAlignment="1" applyProtection="1">
      <alignment horizontal="left" vertical="center" indent="1"/>
      <protection hidden="1"/>
    </xf>
    <xf numFmtId="0" fontId="13" fillId="27" borderId="13" xfId="29" applyFill="1" applyBorder="1" applyAlignment="1" applyProtection="1">
      <alignment horizontal="left" vertical="center" indent="1"/>
      <protection hidden="1"/>
    </xf>
    <xf numFmtId="0" fontId="50" fillId="27" borderId="46" xfId="0" applyFont="1" applyFill="1" applyBorder="1" applyAlignment="1" applyProtection="1">
      <alignment horizontal="left" vertical="center" indent="1"/>
      <protection hidden="1"/>
    </xf>
    <xf numFmtId="0" fontId="13" fillId="27" borderId="47" xfId="29" applyFill="1" applyBorder="1" applyAlignment="1" applyProtection="1">
      <alignment horizontal="left" vertical="center" indent="1"/>
      <protection hidden="1"/>
    </xf>
    <xf numFmtId="0" fontId="13" fillId="27" borderId="48" xfId="29" applyFill="1" applyBorder="1" applyAlignment="1" applyProtection="1">
      <alignment horizontal="left" vertical="center" indent="1"/>
      <protection hidden="1"/>
    </xf>
    <xf numFmtId="0" fontId="50" fillId="27" borderId="49" xfId="0" applyFont="1" applyFill="1" applyBorder="1" applyAlignment="1" applyProtection="1">
      <alignment horizontal="left" vertical="center" indent="1"/>
      <protection hidden="1"/>
    </xf>
    <xf numFmtId="0" fontId="39" fillId="27" borderId="10" xfId="0" applyFont="1" applyFill="1" applyBorder="1" applyAlignment="1">
      <alignment horizontal="left" vertical="center"/>
    </xf>
    <xf numFmtId="0" fontId="39" fillId="27" borderId="26" xfId="0" applyFont="1" applyFill="1" applyBorder="1" applyAlignment="1" applyProtection="1">
      <alignment horizontal="left" vertical="center"/>
      <protection hidden="1"/>
    </xf>
    <xf numFmtId="0" fontId="39" fillId="27" borderId="50" xfId="0" applyFont="1" applyFill="1" applyBorder="1" applyAlignment="1" applyProtection="1">
      <alignment horizontal="left" vertical="center"/>
      <protection hidden="1"/>
    </xf>
    <xf numFmtId="0" fontId="87" fillId="27" borderId="50" xfId="0" applyFont="1" applyFill="1" applyBorder="1" applyAlignment="1" applyProtection="1">
      <alignment horizontal="left" vertical="top"/>
      <protection hidden="1"/>
    </xf>
    <xf numFmtId="0" fontId="39" fillId="27" borderId="27" xfId="0" applyFont="1" applyFill="1" applyBorder="1" applyAlignment="1">
      <alignment horizontal="left" vertical="top"/>
    </xf>
    <xf numFmtId="0" fontId="39" fillId="27" borderId="51" xfId="0" applyFont="1" applyFill="1" applyBorder="1" applyAlignment="1" applyProtection="1">
      <alignment horizontal="left" vertical="center"/>
      <protection hidden="1"/>
    </xf>
    <xf numFmtId="0" fontId="39" fillId="27" borderId="52" xfId="0" applyFont="1" applyFill="1" applyBorder="1" applyAlignment="1" applyProtection="1">
      <alignment horizontal="left" vertical="center"/>
      <protection hidden="1"/>
    </xf>
    <xf numFmtId="0" fontId="39" fillId="27" borderId="53" xfId="0" applyFont="1" applyFill="1" applyBorder="1" applyAlignment="1" applyProtection="1">
      <alignment horizontal="left" vertical="center"/>
      <protection hidden="1"/>
    </xf>
    <xf numFmtId="0" fontId="39" fillId="27" borderId="53" xfId="0" applyFont="1" applyFill="1" applyBorder="1" applyAlignment="1" applyProtection="1">
      <alignment horizontal="left" vertical="top"/>
      <protection hidden="1"/>
    </xf>
    <xf numFmtId="0" fontId="39" fillId="27" borderId="54" xfId="0" applyFont="1" applyFill="1" applyBorder="1" applyAlignment="1">
      <alignment horizontal="left" vertical="top"/>
    </xf>
    <xf numFmtId="0" fontId="39" fillId="27" borderId="0" xfId="0" applyFont="1" applyFill="1" applyAlignment="1">
      <alignment horizontal="left" vertical="top"/>
    </xf>
    <xf numFmtId="0" fontId="39" fillId="27" borderId="11" xfId="0" applyFont="1" applyFill="1" applyBorder="1" applyAlignment="1" applyProtection="1">
      <alignment horizontal="left" vertical="center"/>
      <protection hidden="1"/>
    </xf>
    <xf numFmtId="0" fontId="39" fillId="27" borderId="12" xfId="0" applyFont="1" applyFill="1" applyBorder="1" applyAlignment="1" applyProtection="1">
      <alignment horizontal="left" vertical="center"/>
      <protection hidden="1"/>
    </xf>
    <xf numFmtId="0" fontId="39" fillId="27" borderId="13" xfId="0" applyFont="1" applyFill="1" applyBorder="1" applyAlignment="1" applyProtection="1">
      <alignment horizontal="left" vertical="center"/>
      <protection hidden="1"/>
    </xf>
    <xf numFmtId="0" fontId="39" fillId="27" borderId="13" xfId="0" applyFont="1" applyFill="1" applyBorder="1" applyAlignment="1" applyProtection="1">
      <alignment horizontal="left" vertical="top"/>
      <protection hidden="1"/>
    </xf>
    <xf numFmtId="0" fontId="39" fillId="27" borderId="14" xfId="0" applyFont="1" applyFill="1" applyBorder="1" applyAlignment="1">
      <alignment horizontal="left" vertical="top"/>
    </xf>
    <xf numFmtId="0" fontId="34" fillId="27" borderId="12" xfId="0" applyFont="1" applyFill="1" applyBorder="1" applyAlignment="1" applyProtection="1">
      <alignment horizontal="left" vertical="center"/>
      <protection hidden="1"/>
    </xf>
    <xf numFmtId="0" fontId="205" fillId="27" borderId="13" xfId="0" applyFont="1" applyFill="1" applyBorder="1" applyAlignment="1" applyProtection="1">
      <alignment horizontal="left" vertical="top"/>
      <protection hidden="1"/>
    </xf>
    <xf numFmtId="0" fontId="39" fillId="27" borderId="55" xfId="0" applyFont="1" applyFill="1" applyBorder="1" applyAlignment="1" applyProtection="1">
      <alignment horizontal="left" vertical="center"/>
      <protection hidden="1"/>
    </xf>
    <xf numFmtId="0" fontId="39" fillId="27" borderId="56" xfId="0" applyFont="1" applyFill="1" applyBorder="1" applyAlignment="1" applyProtection="1">
      <alignment horizontal="left" vertical="center"/>
      <protection hidden="1"/>
    </xf>
    <xf numFmtId="0" fontId="39" fillId="27" borderId="57" xfId="0" applyFont="1" applyFill="1" applyBorder="1" applyAlignment="1" applyProtection="1">
      <alignment horizontal="left" vertical="center"/>
      <protection hidden="1"/>
    </xf>
    <xf numFmtId="0" fontId="205" fillId="27" borderId="57" xfId="0" applyFont="1" applyFill="1" applyBorder="1" applyAlignment="1" applyProtection="1">
      <alignment horizontal="left" vertical="top"/>
      <protection hidden="1"/>
    </xf>
    <xf numFmtId="0" fontId="39" fillId="27" borderId="58" xfId="0" applyFont="1" applyFill="1" applyBorder="1" applyAlignment="1">
      <alignment horizontal="left" vertical="top"/>
    </xf>
    <xf numFmtId="206" fontId="33" fillId="51" borderId="10" xfId="28" applyNumberFormat="1" applyFont="1" applyFill="1" applyBorder="1" applyProtection="1">
      <alignment vertical="center"/>
      <protection locked="0"/>
    </xf>
    <xf numFmtId="0" fontId="40" fillId="0" borderId="0" xfId="0" applyFont="1" applyAlignment="1" applyProtection="1">
      <alignment horizontal="left" vertical="center"/>
      <protection hidden="1"/>
    </xf>
    <xf numFmtId="0" fontId="40" fillId="0" borderId="0" xfId="0" applyFont="1" applyProtection="1">
      <alignment vertical="center"/>
      <protection hidden="1"/>
    </xf>
    <xf numFmtId="0" fontId="0" fillId="27" borderId="10" xfId="0" applyFill="1" applyBorder="1" applyAlignment="1" applyProtection="1">
      <alignment horizontal="center" vertical="center"/>
      <protection hidden="1"/>
    </xf>
    <xf numFmtId="210" fontId="33" fillId="58" borderId="10" xfId="0" applyNumberFormat="1" applyFont="1" applyFill="1" applyBorder="1" applyProtection="1">
      <alignment vertical="center"/>
      <protection locked="0"/>
    </xf>
    <xf numFmtId="210" fontId="33" fillId="51" borderId="10" xfId="0" applyNumberFormat="1" applyFont="1" applyFill="1" applyBorder="1" applyProtection="1">
      <alignment vertical="center"/>
      <protection locked="0"/>
    </xf>
    <xf numFmtId="0" fontId="41" fillId="69" borderId="10" xfId="0" applyFont="1" applyFill="1" applyBorder="1" applyAlignment="1">
      <alignment vertical="center" shrinkToFit="1"/>
    </xf>
    <xf numFmtId="0" fontId="41" fillId="69" borderId="51" xfId="0" applyFont="1" applyFill="1" applyBorder="1" applyAlignment="1">
      <alignment vertical="center" shrinkToFit="1"/>
    </xf>
    <xf numFmtId="40" fontId="33" fillId="51" borderId="10" xfId="35" applyNumberFormat="1" applyFont="1" applyFill="1" applyBorder="1">
      <alignment vertical="center"/>
    </xf>
    <xf numFmtId="40" fontId="0" fillId="0" borderId="0" xfId="35" applyNumberFormat="1" applyFont="1">
      <alignment vertical="center"/>
    </xf>
    <xf numFmtId="40" fontId="188" fillId="0" borderId="0" xfId="35" applyNumberFormat="1" applyFont="1">
      <alignment vertical="center"/>
    </xf>
    <xf numFmtId="208" fontId="31" fillId="27" borderId="51" xfId="0" applyNumberFormat="1" applyFont="1" applyFill="1" applyBorder="1" applyAlignment="1" applyProtection="1">
      <alignment horizontal="center" vertical="center"/>
      <protection hidden="1"/>
    </xf>
    <xf numFmtId="0" fontId="41" fillId="0" borderId="0" xfId="0" applyFont="1" applyAlignment="1">
      <alignment vertical="top"/>
    </xf>
    <xf numFmtId="0" fontId="33" fillId="27" borderId="157" xfId="0" applyFont="1" applyFill="1" applyBorder="1" applyAlignment="1" applyProtection="1">
      <alignment vertical="center" shrinkToFit="1"/>
      <protection hidden="1"/>
    </xf>
    <xf numFmtId="0" fontId="33" fillId="27" borderId="169" xfId="0" applyFont="1" applyFill="1" applyBorder="1" applyAlignment="1" applyProtection="1">
      <alignment vertical="center" wrapText="1" shrinkToFit="1"/>
      <protection hidden="1"/>
    </xf>
    <xf numFmtId="0" fontId="33" fillId="27" borderId="160" xfId="0" applyFont="1" applyFill="1" applyBorder="1" applyAlignment="1" applyProtection="1">
      <alignment vertical="center" wrapText="1" shrinkToFit="1"/>
      <protection hidden="1"/>
    </xf>
    <xf numFmtId="199" fontId="33" fillId="58" borderId="10" xfId="0" applyNumberFormat="1" applyFont="1" applyFill="1" applyBorder="1" applyProtection="1">
      <alignment vertical="center"/>
      <protection locked="0"/>
    </xf>
    <xf numFmtId="40" fontId="33" fillId="58" borderId="10" xfId="35" applyNumberFormat="1" applyFont="1" applyFill="1" applyBorder="1" applyProtection="1">
      <alignment vertical="center"/>
      <protection locked="0"/>
    </xf>
    <xf numFmtId="179" fontId="33" fillId="58" borderId="10" xfId="28" applyNumberFormat="1" applyFont="1" applyFill="1" applyBorder="1" applyProtection="1">
      <alignment vertical="center"/>
      <protection locked="0"/>
    </xf>
    <xf numFmtId="208" fontId="31" fillId="65" borderId="27" xfId="0" applyNumberFormat="1" applyFont="1" applyFill="1" applyBorder="1" applyAlignment="1" applyProtection="1">
      <alignment horizontal="center" vertical="center"/>
      <protection hidden="1"/>
    </xf>
    <xf numFmtId="0" fontId="33" fillId="51" borderId="170" xfId="0" applyFont="1" applyFill="1" applyBorder="1" applyAlignment="1" applyProtection="1">
      <alignment horizontal="left" vertical="center"/>
      <protection hidden="1"/>
    </xf>
    <xf numFmtId="0" fontId="33" fillId="51" borderId="26" xfId="0" applyFont="1" applyFill="1" applyBorder="1" applyAlignment="1">
      <alignment horizontal="right" vertical="center"/>
    </xf>
    <xf numFmtId="0" fontId="29" fillId="51" borderId="50" xfId="0" applyFont="1" applyFill="1" applyBorder="1" applyAlignment="1" applyProtection="1">
      <alignment horizontal="center" vertical="center"/>
      <protection hidden="1"/>
    </xf>
    <xf numFmtId="0" fontId="33" fillId="51" borderId="26" xfId="0" applyFont="1" applyFill="1" applyBorder="1" applyAlignment="1" applyProtection="1">
      <alignment horizontal="right" vertical="center"/>
      <protection hidden="1"/>
    </xf>
    <xf numFmtId="0" fontId="41" fillId="0" borderId="0" xfId="0" applyFont="1" applyAlignment="1">
      <alignment vertical="center" shrinkToFit="1"/>
    </xf>
    <xf numFmtId="0" fontId="41" fillId="0" borderId="0" xfId="0" applyFont="1" applyAlignment="1">
      <alignment horizontal="right" vertical="center" shrinkToFit="1"/>
    </xf>
    <xf numFmtId="0" fontId="33" fillId="27" borderId="50" xfId="0" applyFont="1" applyFill="1" applyBorder="1" applyAlignment="1" applyProtection="1">
      <alignment horizontal="centerContinuous" vertical="center"/>
      <protection hidden="1"/>
    </xf>
    <xf numFmtId="0" fontId="33" fillId="27" borderId="27" xfId="0" applyFont="1" applyFill="1" applyBorder="1" applyAlignment="1" applyProtection="1">
      <alignment horizontal="centerContinuous" vertical="center"/>
      <protection hidden="1"/>
    </xf>
    <xf numFmtId="0" fontId="33" fillId="27" borderId="52" xfId="0" applyFont="1" applyFill="1" applyBorder="1" applyAlignment="1" applyProtection="1">
      <alignment horizontal="centerContinuous" vertical="center"/>
      <protection hidden="1"/>
    </xf>
    <xf numFmtId="193" fontId="31" fillId="27" borderId="53" xfId="0" applyNumberFormat="1" applyFont="1" applyFill="1" applyBorder="1" applyAlignment="1" applyProtection="1">
      <alignment horizontal="centerContinuous" vertical="center"/>
      <protection hidden="1"/>
    </xf>
    <xf numFmtId="0" fontId="31" fillId="27" borderId="53" xfId="0" applyFont="1" applyFill="1" applyBorder="1" applyAlignment="1" applyProtection="1">
      <alignment horizontal="centerContinuous" vertical="center"/>
      <protection hidden="1"/>
    </xf>
    <xf numFmtId="0" fontId="31" fillId="27" borderId="54" xfId="0" applyFont="1" applyFill="1" applyBorder="1" applyAlignment="1" applyProtection="1">
      <alignment horizontal="centerContinuous" vertical="center"/>
      <protection hidden="1"/>
    </xf>
    <xf numFmtId="0" fontId="33" fillId="51" borderId="26" xfId="0" applyFont="1" applyFill="1" applyBorder="1" applyAlignment="1" applyProtection="1">
      <alignment horizontal="centerContinuous" vertical="center"/>
      <protection hidden="1"/>
    </xf>
    <xf numFmtId="0" fontId="33" fillId="51" borderId="50" xfId="0" applyFont="1" applyFill="1" applyBorder="1" applyAlignment="1" applyProtection="1">
      <alignment horizontal="centerContinuous" vertical="center"/>
      <protection hidden="1"/>
    </xf>
    <xf numFmtId="0" fontId="0" fillId="51" borderId="50" xfId="0" applyFill="1" applyBorder="1" applyAlignment="1">
      <alignment horizontal="centerContinuous" vertical="center"/>
    </xf>
    <xf numFmtId="0" fontId="33" fillId="51" borderId="27" xfId="0" applyFont="1" applyFill="1" applyBorder="1" applyAlignment="1" applyProtection="1">
      <alignment horizontal="centerContinuous" vertical="center"/>
      <protection hidden="1"/>
    </xf>
    <xf numFmtId="0" fontId="31" fillId="27" borderId="50" xfId="0" applyFont="1" applyFill="1" applyBorder="1" applyAlignment="1" applyProtection="1">
      <alignment horizontal="centerContinuous" vertical="center"/>
      <protection hidden="1"/>
    </xf>
    <xf numFmtId="0" fontId="41" fillId="27" borderId="26" xfId="0" applyFont="1" applyFill="1" applyBorder="1" applyAlignment="1" applyProtection="1">
      <alignment horizontal="center" vertical="center"/>
      <protection hidden="1"/>
    </xf>
    <xf numFmtId="0" fontId="41" fillId="27" borderId="26" xfId="0" applyFont="1" applyFill="1" applyBorder="1">
      <alignment vertical="center"/>
    </xf>
    <xf numFmtId="0" fontId="41" fillId="27" borderId="13" xfId="0" applyFont="1" applyFill="1" applyBorder="1">
      <alignment vertical="center"/>
    </xf>
    <xf numFmtId="208" fontId="31" fillId="27" borderId="50" xfId="0" applyNumberFormat="1" applyFont="1" applyFill="1" applyBorder="1" applyAlignment="1" applyProtection="1">
      <alignment horizontal="center" vertical="center"/>
      <protection hidden="1"/>
    </xf>
    <xf numFmtId="0" fontId="41" fillId="27" borderId="156" xfId="0" applyFont="1" applyFill="1" applyBorder="1">
      <alignment vertical="center"/>
    </xf>
    <xf numFmtId="0" fontId="41" fillId="27" borderId="12" xfId="0" applyFont="1" applyFill="1" applyBorder="1">
      <alignment vertical="center"/>
    </xf>
    <xf numFmtId="0" fontId="41" fillId="27" borderId="161" xfId="0" applyFont="1" applyFill="1" applyBorder="1">
      <alignment vertical="center"/>
    </xf>
    <xf numFmtId="0" fontId="41" fillId="27" borderId="54" xfId="0" applyFont="1" applyFill="1" applyBorder="1" applyAlignment="1" applyProtection="1">
      <alignment horizontal="center" vertical="center"/>
      <protection hidden="1"/>
    </xf>
    <xf numFmtId="0" fontId="41" fillId="27" borderId="16" xfId="0" applyFont="1" applyFill="1" applyBorder="1">
      <alignment vertical="center"/>
    </xf>
    <xf numFmtId="0" fontId="41" fillId="27" borderId="11" xfId="0" applyFont="1" applyFill="1" applyBorder="1">
      <alignment vertical="center"/>
    </xf>
    <xf numFmtId="0" fontId="41" fillId="27" borderId="160" xfId="0" applyFont="1" applyFill="1" applyBorder="1">
      <alignment vertical="center"/>
    </xf>
    <xf numFmtId="0" fontId="162" fillId="27" borderId="157" xfId="0" applyFont="1" applyFill="1" applyBorder="1" applyAlignment="1">
      <alignment horizontal="centerContinuous" vertical="center"/>
    </xf>
    <xf numFmtId="0" fontId="162" fillId="27" borderId="158" xfId="0" applyFont="1" applyFill="1" applyBorder="1" applyAlignment="1">
      <alignment horizontal="centerContinuous" vertical="center"/>
    </xf>
    <xf numFmtId="0" fontId="33" fillId="0" borderId="158" xfId="0" applyFont="1" applyBorder="1">
      <alignment vertical="center"/>
    </xf>
    <xf numFmtId="0" fontId="33" fillId="0" borderId="14" xfId="0" applyFont="1" applyBorder="1">
      <alignment vertical="center"/>
    </xf>
    <xf numFmtId="0" fontId="33" fillId="0" borderId="162" xfId="0" applyFont="1" applyBorder="1">
      <alignment vertical="center"/>
    </xf>
    <xf numFmtId="0" fontId="41" fillId="58" borderId="156" xfId="0" applyFont="1" applyFill="1" applyBorder="1" applyProtection="1">
      <alignment vertical="center"/>
      <protection locked="0"/>
    </xf>
    <xf numFmtId="0" fontId="41" fillId="58" borderId="12" xfId="0" applyFont="1" applyFill="1" applyBorder="1" applyProtection="1">
      <alignment vertical="center"/>
      <protection locked="0"/>
    </xf>
    <xf numFmtId="0" fontId="41" fillId="58" borderId="161" xfId="0" applyFont="1" applyFill="1" applyBorder="1" applyProtection="1">
      <alignment vertical="center"/>
      <protection locked="0"/>
    </xf>
    <xf numFmtId="0" fontId="41" fillId="27" borderId="52" xfId="0" applyFont="1" applyFill="1" applyBorder="1" applyAlignment="1">
      <alignment horizontal="center" vertical="center"/>
    </xf>
    <xf numFmtId="0" fontId="196" fillId="0" borderId="0" xfId="0" applyFont="1" applyProtection="1">
      <alignment vertical="center"/>
      <protection hidden="1"/>
    </xf>
    <xf numFmtId="0" fontId="41" fillId="27" borderId="157" xfId="0" applyFont="1" applyFill="1" applyBorder="1">
      <alignment vertical="center"/>
    </xf>
    <xf numFmtId="0" fontId="33" fillId="27" borderId="50" xfId="0" applyFont="1" applyFill="1" applyBorder="1">
      <alignment vertical="center"/>
    </xf>
    <xf numFmtId="0" fontId="33" fillId="27" borderId="57" xfId="0" applyFont="1" applyFill="1" applyBorder="1">
      <alignment vertical="center"/>
    </xf>
    <xf numFmtId="0" fontId="41" fillId="27" borderId="10" xfId="0" applyFont="1" applyFill="1" applyBorder="1">
      <alignment vertical="center"/>
    </xf>
    <xf numFmtId="40" fontId="34" fillId="27" borderId="0" xfId="35" applyNumberFormat="1" applyFont="1" applyFill="1" applyBorder="1" applyAlignment="1" applyProtection="1">
      <alignment horizontal="left" vertical="center"/>
      <protection hidden="1"/>
    </xf>
    <xf numFmtId="0" fontId="0" fillId="0" borderId="0" xfId="0" applyAlignment="1">
      <alignment horizontal="left" vertical="center"/>
    </xf>
    <xf numFmtId="186" fontId="31" fillId="27" borderId="144" xfId="35" applyNumberFormat="1" applyFont="1" applyFill="1" applyBorder="1" applyAlignment="1" applyProtection="1">
      <alignment horizontal="center" vertical="center"/>
      <protection locked="0"/>
    </xf>
    <xf numFmtId="0" fontId="41" fillId="0" borderId="0" xfId="0" applyFont="1" applyAlignment="1" applyProtection="1">
      <alignment horizontal="centerContinuous" vertical="center"/>
      <protection hidden="1"/>
    </xf>
    <xf numFmtId="0" fontId="33" fillId="27" borderId="53" xfId="0" applyFont="1" applyFill="1" applyBorder="1">
      <alignment vertical="center"/>
    </xf>
    <xf numFmtId="0" fontId="41" fillId="27" borderId="27" xfId="0" applyFont="1" applyFill="1" applyBorder="1">
      <alignment vertical="center"/>
    </xf>
    <xf numFmtId="0" fontId="206" fillId="27" borderId="51" xfId="0" applyFont="1" applyFill="1" applyBorder="1">
      <alignment vertical="center"/>
    </xf>
    <xf numFmtId="0" fontId="206" fillId="27" borderId="27" xfId="0" applyFont="1" applyFill="1" applyBorder="1">
      <alignment vertical="center"/>
    </xf>
    <xf numFmtId="0" fontId="206" fillId="27" borderId="55" xfId="0" applyFont="1" applyFill="1" applyBorder="1">
      <alignment vertical="center"/>
    </xf>
    <xf numFmtId="0" fontId="31" fillId="58" borderId="15" xfId="0" applyFont="1" applyFill="1" applyBorder="1" applyAlignment="1" applyProtection="1">
      <alignment horizontal="center" vertical="center"/>
      <protection locked="0" hidden="1"/>
    </xf>
    <xf numFmtId="0" fontId="206" fillId="27" borderId="11" xfId="0" applyFont="1" applyFill="1" applyBorder="1">
      <alignment vertical="center"/>
    </xf>
    <xf numFmtId="0" fontId="31" fillId="27" borderId="51" xfId="0" applyFont="1" applyFill="1" applyBorder="1" applyAlignment="1">
      <alignment horizontal="center" vertical="center"/>
    </xf>
    <xf numFmtId="0" fontId="31" fillId="58" borderId="16" xfId="0" applyFont="1" applyFill="1" applyBorder="1" applyAlignment="1" applyProtection="1">
      <alignment horizontal="center" vertical="center"/>
      <protection locked="0"/>
    </xf>
    <xf numFmtId="0" fontId="31" fillId="58" borderId="55" xfId="0" applyFont="1" applyFill="1" applyBorder="1" applyAlignment="1" applyProtection="1">
      <alignment horizontal="center" vertical="center"/>
      <protection locked="0"/>
    </xf>
    <xf numFmtId="0" fontId="31" fillId="58" borderId="10" xfId="0" applyFont="1" applyFill="1" applyBorder="1" applyAlignment="1" applyProtection="1">
      <alignment horizontal="center" vertical="center"/>
      <protection locked="0"/>
    </xf>
    <xf numFmtId="0" fontId="27" fillId="27" borderId="16" xfId="0" applyFont="1" applyFill="1" applyBorder="1">
      <alignment vertical="center"/>
    </xf>
    <xf numFmtId="0" fontId="27" fillId="27" borderId="15" xfId="0" applyFont="1" applyFill="1" applyBorder="1">
      <alignment vertical="center"/>
    </xf>
    <xf numFmtId="0" fontId="33" fillId="27" borderId="53" xfId="0" applyFont="1" applyFill="1" applyBorder="1" applyAlignment="1" applyProtection="1">
      <alignment horizontal="centerContinuous" vertical="center"/>
      <protection hidden="1"/>
    </xf>
    <xf numFmtId="0" fontId="33" fillId="27" borderId="54" xfId="0" applyFont="1" applyFill="1" applyBorder="1" applyAlignment="1" applyProtection="1">
      <alignment horizontal="centerContinuous" vertical="center"/>
      <protection hidden="1"/>
    </xf>
    <xf numFmtId="0" fontId="112" fillId="0" borderId="0" xfId="0" applyFont="1" applyAlignment="1">
      <alignment horizontal="right" vertical="top"/>
    </xf>
    <xf numFmtId="184" fontId="39" fillId="0" borderId="0" xfId="0" applyNumberFormat="1" applyFont="1">
      <alignment vertical="center"/>
    </xf>
    <xf numFmtId="0" fontId="33" fillId="0" borderId="0" xfId="0" applyFont="1" applyAlignment="1">
      <alignment horizontal="center" vertical="justify"/>
    </xf>
    <xf numFmtId="0" fontId="31" fillId="0" borderId="0" xfId="0" applyFont="1" applyAlignment="1">
      <alignment horizontal="center" vertical="justify"/>
    </xf>
    <xf numFmtId="0" fontId="120" fillId="0" borderId="0" xfId="0" applyFont="1" applyAlignment="1">
      <alignment horizontal="left" vertical="center"/>
    </xf>
    <xf numFmtId="180" fontId="107" fillId="0" borderId="0" xfId="0" applyNumberFormat="1" applyFont="1" applyAlignment="1">
      <alignment horizontal="left"/>
    </xf>
    <xf numFmtId="180" fontId="41" fillId="37" borderId="68" xfId="0" applyNumberFormat="1" applyFont="1" applyFill="1" applyBorder="1" applyAlignment="1">
      <alignment horizontal="left" vertical="center"/>
    </xf>
    <xf numFmtId="180" fontId="41" fillId="37" borderId="69" xfId="0" applyNumberFormat="1" applyFont="1" applyFill="1" applyBorder="1" applyAlignment="1">
      <alignment horizontal="left" vertical="center"/>
    </xf>
    <xf numFmtId="183" fontId="36" fillId="37" borderId="71" xfId="0" applyNumberFormat="1" applyFont="1" applyFill="1" applyBorder="1">
      <alignment vertical="center"/>
    </xf>
    <xf numFmtId="0" fontId="29" fillId="27" borderId="62" xfId="0" applyFont="1" applyFill="1" applyBorder="1" applyAlignment="1">
      <alignment horizontal="left" vertical="center"/>
    </xf>
    <xf numFmtId="0" fontId="86" fillId="27" borderId="0" xfId="0" applyFont="1" applyFill="1" applyAlignment="1">
      <alignment horizontal="left" vertical="center"/>
    </xf>
    <xf numFmtId="0" fontId="118" fillId="27" borderId="0" xfId="0" applyFont="1" applyFill="1">
      <alignment vertical="center"/>
    </xf>
    <xf numFmtId="0" fontId="119" fillId="27" borderId="0" xfId="0" applyFont="1" applyFill="1">
      <alignment vertical="center"/>
    </xf>
    <xf numFmtId="0" fontId="119" fillId="27" borderId="63" xfId="0" applyFont="1" applyFill="1" applyBorder="1">
      <alignment vertical="center"/>
    </xf>
    <xf numFmtId="180" fontId="29" fillId="27" borderId="0" xfId="0" applyNumberFormat="1" applyFont="1" applyFill="1" applyAlignment="1">
      <alignment horizontal="centerContinuous" vertical="center"/>
    </xf>
    <xf numFmtId="0" fontId="33" fillId="27" borderId="56" xfId="0" applyFont="1" applyFill="1" applyBorder="1" applyAlignment="1">
      <alignment horizontal="centerContinuous" vertical="center"/>
    </xf>
    <xf numFmtId="0" fontId="12" fillId="27" borderId="58" xfId="0" applyFont="1" applyFill="1" applyBorder="1" applyAlignment="1">
      <alignment horizontal="centerContinuous" vertical="center"/>
    </xf>
    <xf numFmtId="0" fontId="12" fillId="27" borderId="57" xfId="0" applyFont="1" applyFill="1" applyBorder="1" applyAlignment="1">
      <alignment horizontal="centerContinuous" vertical="center"/>
    </xf>
    <xf numFmtId="0" fontId="12" fillId="27" borderId="100" xfId="0" applyFont="1" applyFill="1" applyBorder="1" applyAlignment="1">
      <alignment horizontal="center" vertical="distributed"/>
    </xf>
    <xf numFmtId="0" fontId="29" fillId="27" borderId="62" xfId="0" applyFont="1" applyFill="1" applyBorder="1" applyAlignment="1">
      <alignment horizontal="left" vertical="top"/>
    </xf>
    <xf numFmtId="0" fontId="119" fillId="27" borderId="63" xfId="0" applyFont="1" applyFill="1" applyBorder="1" applyAlignment="1">
      <alignment vertical="top"/>
    </xf>
    <xf numFmtId="180" fontId="29" fillId="27" borderId="65" xfId="0" applyNumberFormat="1" applyFont="1" applyFill="1" applyBorder="1" applyAlignment="1">
      <alignment horizontal="centerContinuous" vertical="top"/>
    </xf>
    <xf numFmtId="180" fontId="29" fillId="27" borderId="66" xfId="0" applyNumberFormat="1" applyFont="1" applyFill="1" applyBorder="1" applyAlignment="1">
      <alignment horizontal="centerContinuous" vertical="top"/>
    </xf>
    <xf numFmtId="180" fontId="29" fillId="27" borderId="84" xfId="0" applyNumberFormat="1" applyFont="1" applyFill="1" applyBorder="1" applyAlignment="1">
      <alignment horizontal="centerContinuous" vertical="top"/>
    </xf>
    <xf numFmtId="183" fontId="31" fillId="27" borderId="147" xfId="0" applyNumberFormat="1" applyFont="1" applyFill="1" applyBorder="1" applyAlignment="1">
      <alignment horizontal="center" vertical="center" wrapText="1"/>
    </xf>
    <xf numFmtId="183" fontId="86" fillId="27" borderId="206" xfId="0" applyNumberFormat="1" applyFont="1" applyFill="1" applyBorder="1" applyAlignment="1">
      <alignment horizontal="center" vertical="center" wrapText="1"/>
    </xf>
    <xf numFmtId="183" fontId="31" fillId="27" borderId="66" xfId="0" applyNumberFormat="1" applyFont="1" applyFill="1" applyBorder="1" applyAlignment="1">
      <alignment horizontal="center" vertical="center" wrapText="1"/>
    </xf>
    <xf numFmtId="183" fontId="86" fillId="27" borderId="137" xfId="0" applyNumberFormat="1" applyFont="1" applyFill="1" applyBorder="1" applyAlignment="1">
      <alignment horizontal="center" vertical="center" wrapText="1"/>
    </xf>
    <xf numFmtId="183" fontId="21" fillId="27" borderId="115" xfId="0" applyNumberFormat="1" applyFont="1" applyFill="1" applyBorder="1" applyAlignment="1">
      <alignment horizontal="center" vertical="top" wrapText="1"/>
    </xf>
    <xf numFmtId="0" fontId="64" fillId="33" borderId="128" xfId="0" applyFont="1" applyFill="1" applyBorder="1" applyAlignment="1">
      <alignment horizontal="left" vertical="center"/>
    </xf>
    <xf numFmtId="182" fontId="64" fillId="33" borderId="130" xfId="0" applyNumberFormat="1" applyFont="1" applyFill="1" applyBorder="1" applyAlignment="1">
      <alignment horizontal="center" vertical="center"/>
    </xf>
    <xf numFmtId="180" fontId="33" fillId="33" borderId="0" xfId="0" applyNumberFormat="1" applyFont="1" applyFill="1" applyAlignment="1">
      <alignment horizontal="left" vertical="center"/>
    </xf>
    <xf numFmtId="180" fontId="33" fillId="33" borderId="0" xfId="0" applyNumberFormat="1" applyFont="1" applyFill="1" applyAlignment="1">
      <alignment horizontal="left"/>
    </xf>
    <xf numFmtId="180" fontId="41" fillId="33" borderId="97" xfId="0" applyNumberFormat="1" applyFont="1" applyFill="1" applyBorder="1" applyAlignment="1">
      <alignment horizontal="left"/>
    </xf>
    <xf numFmtId="191" fontId="103" fillId="33" borderId="98" xfId="0" applyNumberFormat="1" applyFont="1" applyFill="1" applyBorder="1" applyAlignment="1">
      <alignment horizontal="center" vertical="center"/>
    </xf>
    <xf numFmtId="183" fontId="34" fillId="33" borderId="0" xfId="0" applyNumberFormat="1" applyFont="1" applyFill="1" applyAlignment="1">
      <alignment horizontal="center" vertical="center"/>
    </xf>
    <xf numFmtId="191" fontId="103" fillId="33" borderId="99" xfId="0" applyNumberFormat="1" applyFont="1" applyFill="1" applyBorder="1" applyAlignment="1">
      <alignment horizontal="center" vertical="center"/>
    </xf>
    <xf numFmtId="183" fontId="65" fillId="33" borderId="100" xfId="0" applyNumberFormat="1" applyFont="1" applyFill="1" applyBorder="1" applyAlignment="1">
      <alignment horizontal="center" vertical="center"/>
    </xf>
    <xf numFmtId="0" fontId="29" fillId="31" borderId="101" xfId="0" applyFont="1" applyFill="1" applyBorder="1" applyAlignment="1">
      <alignment horizontal="left" vertical="center"/>
    </xf>
    <xf numFmtId="0" fontId="38" fillId="31" borderId="103" xfId="0" applyFont="1" applyFill="1" applyBorder="1" applyAlignment="1">
      <alignment horizontal="left" vertical="center"/>
    </xf>
    <xf numFmtId="180" fontId="33" fillId="31" borderId="104" xfId="0" applyNumberFormat="1" applyFont="1" applyFill="1" applyBorder="1" applyAlignment="1">
      <alignment horizontal="left" vertical="center"/>
    </xf>
    <xf numFmtId="180" fontId="33" fillId="31" borderId="102" xfId="0" applyNumberFormat="1" applyFont="1" applyFill="1" applyBorder="1" applyAlignment="1">
      <alignment horizontal="left" vertical="center"/>
    </xf>
    <xf numFmtId="180" fontId="33" fillId="31" borderId="102" xfId="0" applyNumberFormat="1" applyFont="1" applyFill="1" applyBorder="1" applyAlignment="1">
      <alignment horizontal="left"/>
    </xf>
    <xf numFmtId="180" fontId="41" fillId="31" borderId="105" xfId="0" applyNumberFormat="1" applyFont="1" applyFill="1" applyBorder="1" applyAlignment="1">
      <alignment horizontal="left"/>
    </xf>
    <xf numFmtId="191" fontId="126" fillId="31" borderId="106" xfId="0" applyNumberFormat="1" applyFont="1" applyFill="1" applyBorder="1" applyAlignment="1">
      <alignment horizontal="center" vertical="center"/>
    </xf>
    <xf numFmtId="183" fontId="127" fillId="31" borderId="102" xfId="0" applyNumberFormat="1" applyFont="1" applyFill="1" applyBorder="1" applyAlignment="1">
      <alignment horizontal="center" vertical="center"/>
    </xf>
    <xf numFmtId="183" fontId="127" fillId="31" borderId="108" xfId="0" applyNumberFormat="1" applyFont="1" applyFill="1" applyBorder="1" applyAlignment="1">
      <alignment horizontal="center" vertical="center"/>
    </xf>
    <xf numFmtId="0" fontId="29" fillId="27" borderId="62" xfId="0" quotePrefix="1" applyFont="1" applyFill="1" applyBorder="1" applyAlignment="1">
      <alignment horizontal="left" vertical="center"/>
    </xf>
    <xf numFmtId="0" fontId="128" fillId="27" borderId="63" xfId="0" applyFont="1" applyFill="1" applyBorder="1">
      <alignment vertical="center"/>
    </xf>
    <xf numFmtId="180" fontId="33" fillId="0" borderId="62" xfId="0" applyNumberFormat="1" applyFont="1" applyBorder="1" applyAlignment="1">
      <alignment horizontal="left" vertical="center" wrapText="1"/>
    </xf>
    <xf numFmtId="180" fontId="33" fillId="0" borderId="0" xfId="0" applyNumberFormat="1" applyFont="1" applyAlignment="1">
      <alignment horizontal="left" vertical="center" wrapText="1"/>
    </xf>
    <xf numFmtId="180" fontId="33" fillId="0" borderId="0" xfId="0" applyNumberFormat="1" applyFont="1" applyAlignment="1">
      <alignment horizontal="left" wrapText="1"/>
    </xf>
    <xf numFmtId="183" fontId="40" fillId="27" borderId="143" xfId="0" applyNumberFormat="1" applyFont="1" applyFill="1" applyBorder="1" applyAlignment="1">
      <alignment horizontal="center" vertical="center"/>
    </xf>
    <xf numFmtId="191" fontId="129" fillId="27" borderId="98" xfId="0" applyNumberFormat="1" applyFont="1" applyFill="1" applyBorder="1" applyAlignment="1">
      <alignment horizontal="center" vertical="center"/>
    </xf>
    <xf numFmtId="191" fontId="129" fillId="27" borderId="99" xfId="0" applyNumberFormat="1" applyFont="1" applyFill="1" applyBorder="1" applyAlignment="1">
      <alignment horizontal="center" vertical="center"/>
    </xf>
    <xf numFmtId="183" fontId="126" fillId="27" borderId="100" xfId="0" applyNumberFormat="1" applyFont="1" applyFill="1" applyBorder="1" applyAlignment="1">
      <alignment horizontal="center" vertical="center"/>
    </xf>
    <xf numFmtId="0" fontId="125" fillId="27" borderId="62" xfId="0" applyFont="1" applyFill="1" applyBorder="1" applyAlignment="1">
      <alignment horizontal="left"/>
    </xf>
    <xf numFmtId="0" fontId="38" fillId="27" borderId="82" xfId="0" applyFont="1" applyFill="1" applyBorder="1">
      <alignment vertical="center"/>
    </xf>
    <xf numFmtId="191" fontId="129" fillId="27" borderId="53" xfId="0" applyNumberFormat="1" applyFont="1" applyFill="1" applyBorder="1" applyAlignment="1">
      <alignment horizontal="center" vertical="center"/>
    </xf>
    <xf numFmtId="183" fontId="126" fillId="27" borderId="112" xfId="0" applyNumberFormat="1" applyFont="1" applyFill="1" applyBorder="1" applyAlignment="1">
      <alignment horizontal="center" vertical="center"/>
    </xf>
    <xf numFmtId="0" fontId="125" fillId="59" borderId="62" xfId="0" applyFont="1" applyFill="1" applyBorder="1" applyAlignment="1">
      <alignment horizontal="left"/>
    </xf>
    <xf numFmtId="0" fontId="38" fillId="59" borderId="79" xfId="0" applyFont="1" applyFill="1" applyBorder="1">
      <alignment vertical="center"/>
    </xf>
    <xf numFmtId="191" fontId="129" fillId="27" borderId="0" xfId="0" applyNumberFormat="1" applyFont="1" applyFill="1" applyAlignment="1">
      <alignment horizontal="center" vertical="center"/>
    </xf>
    <xf numFmtId="0" fontId="125" fillId="0" borderId="62" xfId="0" applyFont="1" applyBorder="1" applyAlignment="1">
      <alignment horizontal="left"/>
    </xf>
    <xf numFmtId="0" fontId="128" fillId="0" borderId="82" xfId="0" applyFont="1" applyBorder="1">
      <alignment vertical="center"/>
    </xf>
    <xf numFmtId="183" fontId="40" fillId="27" borderId="146" xfId="0" applyNumberFormat="1" applyFont="1" applyFill="1" applyBorder="1" applyAlignment="1">
      <alignment horizontal="center" vertical="center"/>
    </xf>
    <xf numFmtId="0" fontId="125" fillId="27" borderId="120" xfId="0" applyFont="1" applyFill="1" applyBorder="1" applyAlignment="1">
      <alignment horizontal="left"/>
    </xf>
    <xf numFmtId="0" fontId="29" fillId="27" borderId="89" xfId="0" quotePrefix="1" applyFont="1" applyFill="1" applyBorder="1" applyAlignment="1">
      <alignment horizontal="left" vertical="center"/>
    </xf>
    <xf numFmtId="0" fontId="128" fillId="27" borderId="90" xfId="0" applyFont="1" applyFill="1" applyBorder="1">
      <alignment vertical="center"/>
    </xf>
    <xf numFmtId="180" fontId="33" fillId="0" borderId="80" xfId="0" applyNumberFormat="1" applyFont="1" applyBorder="1" applyAlignment="1">
      <alignment horizontal="left" vertical="center" wrapText="1"/>
    </xf>
    <xf numFmtId="180" fontId="33" fillId="0" borderId="50" xfId="0" applyNumberFormat="1" applyFont="1" applyBorder="1" applyAlignment="1">
      <alignment horizontal="left" vertical="center" wrapText="1"/>
    </xf>
    <xf numFmtId="180" fontId="33" fillId="0" borderId="27" xfId="0" applyNumberFormat="1" applyFont="1" applyBorder="1" applyAlignment="1">
      <alignment horizontal="left" wrapText="1"/>
    </xf>
    <xf numFmtId="183" fontId="40" fillId="27" borderId="93" xfId="0" applyNumberFormat="1" applyFont="1" applyFill="1" applyBorder="1" applyAlignment="1">
      <alignment horizontal="center" vertical="center"/>
    </xf>
    <xf numFmtId="191" fontId="129" fillId="27" borderId="121" xfId="0" applyNumberFormat="1" applyFont="1" applyFill="1" applyBorder="1" applyAlignment="1">
      <alignment horizontal="center" vertical="center"/>
    </xf>
    <xf numFmtId="183" fontId="40" fillId="27" borderId="110" xfId="0" applyNumberFormat="1" applyFont="1" applyFill="1" applyBorder="1" applyAlignment="1">
      <alignment horizontal="center" vertical="center"/>
    </xf>
    <xf numFmtId="191" fontId="129" fillId="27" borderId="122" xfId="0" applyNumberFormat="1" applyFont="1" applyFill="1" applyBorder="1" applyAlignment="1">
      <alignment horizontal="center" vertical="center"/>
    </xf>
    <xf numFmtId="183" fontId="126" fillId="27" borderId="123" xfId="0" applyNumberFormat="1" applyFont="1" applyFill="1" applyBorder="1" applyAlignment="1">
      <alignment horizontal="center" vertical="center"/>
    </xf>
    <xf numFmtId="183" fontId="40" fillId="27" borderId="111" xfId="0" applyNumberFormat="1" applyFont="1" applyFill="1" applyBorder="1" applyAlignment="1">
      <alignment horizontal="center" vertical="center"/>
    </xf>
    <xf numFmtId="191" fontId="129" fillId="27" borderId="124" xfId="0" applyNumberFormat="1" applyFont="1" applyFill="1" applyBorder="1" applyAlignment="1">
      <alignment horizontal="center" vertical="center"/>
    </xf>
    <xf numFmtId="183" fontId="40" fillId="27" borderId="202" xfId="0" applyNumberFormat="1" applyFont="1" applyFill="1" applyBorder="1" applyAlignment="1">
      <alignment horizontal="center" vertical="center"/>
    </xf>
    <xf numFmtId="191" fontId="129" fillId="27" borderId="125" xfId="0" applyNumberFormat="1" applyFont="1" applyFill="1" applyBorder="1" applyAlignment="1">
      <alignment horizontal="center" vertical="center"/>
    </xf>
    <xf numFmtId="0" fontId="128" fillId="27" borderId="82" xfId="0" applyFont="1" applyFill="1" applyBorder="1">
      <alignment vertical="center"/>
    </xf>
    <xf numFmtId="191" fontId="129" fillId="0" borderId="0" xfId="0" applyNumberFormat="1" applyFont="1" applyAlignment="1">
      <alignment horizontal="center" vertical="center"/>
    </xf>
    <xf numFmtId="183" fontId="126" fillId="0" borderId="100" xfId="0" applyNumberFormat="1" applyFont="1" applyBorder="1" applyAlignment="1">
      <alignment horizontal="center" vertical="center"/>
    </xf>
    <xf numFmtId="183" fontId="40" fillId="0" borderId="100" xfId="0" applyNumberFormat="1" applyFont="1" applyBorder="1" applyAlignment="1">
      <alignment horizontal="center" vertical="center"/>
    </xf>
    <xf numFmtId="0" fontId="168" fillId="27" borderId="82" xfId="0" applyFont="1" applyFill="1" applyBorder="1">
      <alignment vertical="center"/>
    </xf>
    <xf numFmtId="0" fontId="133" fillId="0" borderId="0" xfId="0" applyFont="1" applyAlignment="1">
      <alignment horizontal="center" vertical="justify"/>
    </xf>
    <xf numFmtId="0" fontId="131" fillId="27" borderId="120" xfId="0" applyFont="1" applyFill="1" applyBorder="1" applyAlignment="1">
      <alignment horizontal="left" vertical="center"/>
    </xf>
    <xf numFmtId="180" fontId="33" fillId="0" borderId="89" xfId="0" applyNumberFormat="1" applyFont="1" applyBorder="1" applyAlignment="1">
      <alignment horizontal="left" vertical="center" wrapText="1"/>
    </xf>
    <xf numFmtId="180" fontId="33" fillId="0" borderId="53" xfId="0" applyNumberFormat="1" applyFont="1" applyBorder="1" applyAlignment="1">
      <alignment horizontal="left" vertical="center" wrapText="1"/>
    </xf>
    <xf numFmtId="180" fontId="33" fillId="0" borderId="54" xfId="0" applyNumberFormat="1" applyFont="1" applyBorder="1" applyAlignment="1">
      <alignment horizontal="left" wrapText="1"/>
    </xf>
    <xf numFmtId="183" fontId="40" fillId="27" borderId="188" xfId="0" applyNumberFormat="1" applyFont="1" applyFill="1" applyBorder="1" applyAlignment="1">
      <alignment horizontal="center" vertical="center"/>
    </xf>
    <xf numFmtId="0" fontId="125" fillId="27" borderId="62" xfId="0" quotePrefix="1" applyFont="1" applyFill="1" applyBorder="1" applyAlignment="1">
      <alignment horizontal="left" vertical="center"/>
    </xf>
    <xf numFmtId="0" fontId="125" fillId="0" borderId="62" xfId="0" quotePrefix="1" applyFont="1" applyBorder="1" applyAlignment="1">
      <alignment horizontal="left" vertical="center"/>
    </xf>
    <xf numFmtId="0" fontId="125" fillId="27" borderId="62" xfId="0" applyFont="1" applyFill="1" applyBorder="1" applyAlignment="1">
      <alignment horizontal="left" vertical="center"/>
    </xf>
    <xf numFmtId="0" fontId="38" fillId="27" borderId="90" xfId="0" applyFont="1" applyFill="1" applyBorder="1" applyAlignment="1">
      <alignment horizontal="left" vertical="center"/>
    </xf>
    <xf numFmtId="0" fontId="125" fillId="0" borderId="62" xfId="0" applyFont="1" applyBorder="1" applyAlignment="1">
      <alignment horizontal="left" vertical="center"/>
    </xf>
    <xf numFmtId="0" fontId="125" fillId="27" borderId="77" xfId="0" applyFont="1" applyFill="1" applyBorder="1" applyAlignment="1">
      <alignment horizontal="left" vertical="center"/>
    </xf>
    <xf numFmtId="183" fontId="40" fillId="27" borderId="97" xfId="0" applyNumberFormat="1" applyFont="1" applyFill="1" applyBorder="1" applyAlignment="1">
      <alignment horizontal="center" vertical="center"/>
    </xf>
    <xf numFmtId="0" fontId="128" fillId="27" borderId="79" xfId="0" applyFont="1" applyFill="1" applyBorder="1">
      <alignment vertical="center"/>
    </xf>
    <xf numFmtId="0" fontId="29" fillId="31" borderId="128" xfId="0" applyFont="1" applyFill="1" applyBorder="1" applyAlignment="1">
      <alignment horizontal="left" vertical="center"/>
    </xf>
    <xf numFmtId="0" fontId="12" fillId="31" borderId="130" xfId="0" applyFont="1" applyFill="1" applyBorder="1">
      <alignment vertical="center"/>
    </xf>
    <xf numFmtId="0" fontId="31" fillId="31" borderId="129" xfId="0" applyFont="1" applyFill="1" applyBorder="1" applyAlignment="1">
      <alignment horizontal="left"/>
    </xf>
    <xf numFmtId="180" fontId="41" fillId="31" borderId="131" xfId="0" applyNumberFormat="1" applyFont="1" applyFill="1" applyBorder="1" applyAlignment="1">
      <alignment horizontal="center"/>
    </xf>
    <xf numFmtId="191" fontId="126" fillId="31" borderId="132" xfId="0" applyNumberFormat="1" applyFont="1" applyFill="1" applyBorder="1" applyAlignment="1">
      <alignment horizontal="center" vertical="center"/>
    </xf>
    <xf numFmtId="183" fontId="127" fillId="31" borderId="131" xfId="0" applyNumberFormat="1" applyFont="1" applyFill="1" applyBorder="1" applyAlignment="1">
      <alignment horizontal="center" vertical="center"/>
    </xf>
    <xf numFmtId="191" fontId="126" fillId="31" borderId="133" xfId="0" applyNumberFormat="1" applyFont="1" applyFill="1" applyBorder="1" applyAlignment="1">
      <alignment horizontal="center" vertical="center"/>
    </xf>
    <xf numFmtId="183" fontId="127" fillId="31" borderId="134" xfId="0" applyNumberFormat="1" applyFont="1" applyFill="1" applyBorder="1" applyAlignment="1">
      <alignment horizontal="center" vertical="center"/>
    </xf>
    <xf numFmtId="191" fontId="129" fillId="27" borderId="94" xfId="0" applyNumberFormat="1" applyFont="1" applyFill="1" applyBorder="1" applyAlignment="1">
      <alignment horizontal="center" vertical="center"/>
    </xf>
    <xf numFmtId="191" fontId="129" fillId="27" borderId="95" xfId="0" applyNumberFormat="1" applyFont="1" applyFill="1" applyBorder="1" applyAlignment="1">
      <alignment horizontal="center" vertical="center"/>
    </xf>
    <xf numFmtId="183" fontId="126" fillId="27" borderId="96" xfId="0" applyNumberFormat="1" applyFont="1" applyFill="1" applyBorder="1" applyAlignment="1">
      <alignment horizontal="center" vertical="center"/>
    </xf>
    <xf numFmtId="183" fontId="40" fillId="27" borderId="147" xfId="0" applyNumberFormat="1" applyFont="1" applyFill="1" applyBorder="1" applyAlignment="1">
      <alignment horizontal="center" vertical="center"/>
    </xf>
    <xf numFmtId="0" fontId="184" fillId="27" borderId="82" xfId="0" applyFont="1" applyFill="1" applyBorder="1">
      <alignment vertical="center"/>
    </xf>
    <xf numFmtId="0" fontId="184" fillId="27" borderId="55" xfId="0" applyFont="1" applyFill="1" applyBorder="1" applyAlignment="1">
      <alignment horizontal="center" vertical="center"/>
    </xf>
    <xf numFmtId="0" fontId="184" fillId="27" borderId="57" xfId="0" applyFont="1" applyFill="1" applyBorder="1">
      <alignment vertical="center"/>
    </xf>
    <xf numFmtId="0" fontId="184" fillId="27" borderId="0" xfId="0" applyFont="1" applyFill="1">
      <alignment vertical="center"/>
    </xf>
    <xf numFmtId="0" fontId="125" fillId="27" borderId="118" xfId="0" quotePrefix="1" applyFont="1" applyFill="1" applyBorder="1" applyAlignment="1">
      <alignment horizontal="left" vertical="center"/>
    </xf>
    <xf numFmtId="183" fontId="40" fillId="27" borderId="203" xfId="0" applyNumberFormat="1" applyFont="1" applyFill="1" applyBorder="1" applyAlignment="1">
      <alignment horizontal="center" vertical="center"/>
    </xf>
    <xf numFmtId="183" fontId="40" fillId="51" borderId="97" xfId="0" applyNumberFormat="1" applyFont="1" applyFill="1" applyBorder="1" applyAlignment="1">
      <alignment horizontal="center" vertical="center"/>
    </xf>
    <xf numFmtId="191" fontId="129" fillId="27" borderId="17" xfId="0" applyNumberFormat="1" applyFont="1" applyFill="1" applyBorder="1" applyAlignment="1">
      <alignment horizontal="center" vertical="center"/>
    </xf>
    <xf numFmtId="183" fontId="34" fillId="51" borderId="97" xfId="0" applyNumberFormat="1" applyFont="1" applyFill="1" applyBorder="1" applyAlignment="1">
      <alignment horizontal="center" vertical="center"/>
    </xf>
    <xf numFmtId="191" fontId="129" fillId="27" borderId="58" xfId="0" applyNumberFormat="1" applyFont="1" applyFill="1" applyBorder="1" applyAlignment="1">
      <alignment horizontal="center" vertical="center"/>
    </xf>
    <xf numFmtId="183" fontId="34" fillId="51" borderId="93" xfId="0" applyNumberFormat="1" applyFont="1" applyFill="1" applyBorder="1" applyAlignment="1">
      <alignment horizontal="center" vertical="center"/>
    </xf>
    <xf numFmtId="0" fontId="168" fillId="27" borderId="90" xfId="0" applyFont="1" applyFill="1" applyBorder="1">
      <alignment vertical="center"/>
    </xf>
    <xf numFmtId="183" fontId="40" fillId="51" borderId="111" xfId="0" applyNumberFormat="1" applyFont="1" applyFill="1" applyBorder="1" applyAlignment="1">
      <alignment horizontal="center" vertical="center"/>
    </xf>
    <xf numFmtId="0" fontId="125" fillId="27" borderId="77" xfId="0" applyFont="1" applyFill="1" applyBorder="1" applyAlignment="1">
      <alignment horizontal="left"/>
    </xf>
    <xf numFmtId="191" fontId="129" fillId="27" borderId="120" xfId="0" applyNumberFormat="1" applyFont="1" applyFill="1" applyBorder="1" applyAlignment="1">
      <alignment horizontal="center" vertical="center"/>
    </xf>
    <xf numFmtId="183" fontId="34" fillId="0" borderId="97" xfId="0" applyNumberFormat="1" applyFont="1" applyBorder="1" applyAlignment="1">
      <alignment horizontal="center" vertical="center"/>
    </xf>
    <xf numFmtId="183" fontId="40" fillId="27" borderId="135" xfId="0" applyNumberFormat="1" applyFont="1" applyFill="1" applyBorder="1" applyAlignment="1">
      <alignment horizontal="center" vertical="center"/>
    </xf>
    <xf numFmtId="183" fontId="40" fillId="27" borderId="138" xfId="0" applyNumberFormat="1" applyFont="1" applyFill="1" applyBorder="1" applyAlignment="1">
      <alignment horizontal="center" vertical="center"/>
    </xf>
    <xf numFmtId="0" fontId="125" fillId="27" borderId="65" xfId="0" quotePrefix="1" applyFont="1" applyFill="1" applyBorder="1" applyAlignment="1">
      <alignment horizontal="left" vertical="center"/>
    </xf>
    <xf numFmtId="0" fontId="128" fillId="27" borderId="127" xfId="0" applyFont="1" applyFill="1" applyBorder="1">
      <alignment vertical="center"/>
    </xf>
    <xf numFmtId="191" fontId="129" fillId="27" borderId="84" xfId="0" applyNumberFormat="1" applyFont="1" applyFill="1" applyBorder="1" applyAlignment="1">
      <alignment horizontal="center" vertical="center"/>
    </xf>
    <xf numFmtId="183" fontId="34" fillId="51" borderId="147" xfId="0" applyNumberFormat="1" applyFont="1" applyFill="1" applyBorder="1" applyAlignment="1">
      <alignment horizontal="center" vertical="center"/>
    </xf>
    <xf numFmtId="191" fontId="129" fillId="27" borderId="137" xfId="0" applyNumberFormat="1" applyFont="1" applyFill="1" applyBorder="1" applyAlignment="1">
      <alignment horizontal="center" vertical="center"/>
    </xf>
    <xf numFmtId="183" fontId="126" fillId="27" borderId="115" xfId="0" applyNumberFormat="1" applyFont="1" applyFill="1" applyBorder="1" applyAlignment="1">
      <alignment horizontal="center" vertical="center"/>
    </xf>
    <xf numFmtId="0" fontId="38" fillId="31" borderId="130" xfId="0" applyFont="1" applyFill="1" applyBorder="1" applyAlignment="1">
      <alignment horizontal="left" vertical="center"/>
    </xf>
    <xf numFmtId="180" fontId="33" fillId="31" borderId="128" xfId="0" applyNumberFormat="1" applyFont="1" applyFill="1" applyBorder="1" applyAlignment="1">
      <alignment horizontal="left" vertical="center"/>
    </xf>
    <xf numFmtId="180" fontId="33" fillId="31" borderId="129" xfId="0" applyNumberFormat="1" applyFont="1" applyFill="1" applyBorder="1" applyAlignment="1">
      <alignment horizontal="left" vertical="center"/>
    </xf>
    <xf numFmtId="180" fontId="33" fillId="31" borderId="129" xfId="0" applyNumberFormat="1" applyFont="1" applyFill="1" applyBorder="1" applyAlignment="1">
      <alignment horizontal="left"/>
    </xf>
    <xf numFmtId="180" fontId="41" fillId="31" borderId="138" xfId="0" applyNumberFormat="1" applyFont="1" applyFill="1" applyBorder="1" applyAlignment="1">
      <alignment horizontal="center"/>
    </xf>
    <xf numFmtId="183" fontId="40" fillId="51" borderId="143" xfId="0" applyNumberFormat="1" applyFont="1" applyFill="1" applyBorder="1" applyAlignment="1">
      <alignment horizontal="center" vertical="center"/>
    </xf>
    <xf numFmtId="0" fontId="185" fillId="27" borderId="89" xfId="0" quotePrefix="1" applyFont="1" applyFill="1" applyBorder="1" applyAlignment="1">
      <alignment horizontal="left" vertical="center"/>
    </xf>
    <xf numFmtId="183" fontId="40" fillId="27" borderId="204" xfId="0" applyNumberFormat="1" applyFont="1" applyFill="1" applyBorder="1" applyAlignment="1">
      <alignment horizontal="center" vertical="center"/>
    </xf>
    <xf numFmtId="0" fontId="185" fillId="27" borderId="62" xfId="0" quotePrefix="1" applyFont="1" applyFill="1" applyBorder="1" applyAlignment="1">
      <alignment horizontal="left" vertical="center"/>
    </xf>
    <xf numFmtId="191" fontId="129" fillId="27" borderId="154" xfId="0" applyNumberFormat="1" applyFont="1" applyFill="1" applyBorder="1" applyAlignment="1">
      <alignment horizontal="center" vertical="center"/>
    </xf>
    <xf numFmtId="183" fontId="40" fillId="51" borderId="135" xfId="0" applyNumberFormat="1" applyFont="1" applyFill="1" applyBorder="1" applyAlignment="1">
      <alignment horizontal="center" vertical="center"/>
    </xf>
    <xf numFmtId="0" fontId="29" fillId="27" borderId="80" xfId="0" quotePrefix="1" applyFont="1" applyFill="1" applyBorder="1" applyAlignment="1">
      <alignment horizontal="left" vertical="center"/>
    </xf>
    <xf numFmtId="191" fontId="129" fillId="27" borderId="27" xfId="0" applyNumberFormat="1" applyFont="1" applyFill="1" applyBorder="1" applyAlignment="1">
      <alignment horizontal="center" vertical="center"/>
    </xf>
    <xf numFmtId="183" fontId="40" fillId="51" borderId="93" xfId="0" applyNumberFormat="1" applyFont="1" applyFill="1" applyBorder="1" applyAlignment="1">
      <alignment horizontal="center" vertical="center"/>
    </xf>
    <xf numFmtId="191" fontId="129" fillId="27" borderId="140" xfId="0" applyNumberFormat="1" applyFont="1" applyFill="1" applyBorder="1" applyAlignment="1">
      <alignment horizontal="center" vertical="center"/>
    </xf>
    <xf numFmtId="191" fontId="126" fillId="27" borderId="98" xfId="0" applyNumberFormat="1" applyFont="1" applyFill="1" applyBorder="1" applyAlignment="1">
      <alignment horizontal="center" vertical="center"/>
    </xf>
    <xf numFmtId="183" fontId="34" fillId="0" borderId="147" xfId="0" applyNumberFormat="1" applyFont="1" applyBorder="1" applyAlignment="1">
      <alignment horizontal="center" vertical="center"/>
    </xf>
    <xf numFmtId="191" fontId="126" fillId="27" borderId="99" xfId="0" applyNumberFormat="1" applyFont="1" applyFill="1" applyBorder="1" applyAlignment="1">
      <alignment horizontal="center" vertical="center"/>
    </xf>
    <xf numFmtId="0" fontId="64" fillId="33" borderId="61" xfId="0" applyFont="1" applyFill="1" applyBorder="1" applyAlignment="1">
      <alignment horizontal="left" vertical="center"/>
    </xf>
    <xf numFmtId="180" fontId="33" fillId="33" borderId="59" xfId="0" applyNumberFormat="1" applyFont="1" applyFill="1" applyBorder="1" applyAlignment="1">
      <alignment horizontal="left" vertical="center"/>
    </xf>
    <xf numFmtId="180" fontId="33" fillId="33" borderId="60" xfId="0" applyNumberFormat="1" applyFont="1" applyFill="1" applyBorder="1" applyAlignment="1">
      <alignment horizontal="left" vertical="center"/>
    </xf>
    <xf numFmtId="180" fontId="33" fillId="33" borderId="60" xfId="0" applyNumberFormat="1" applyFont="1" applyFill="1" applyBorder="1" applyAlignment="1">
      <alignment horizontal="left"/>
    </xf>
    <xf numFmtId="180" fontId="41" fillId="33" borderId="138" xfId="0" applyNumberFormat="1" applyFont="1" applyFill="1" applyBorder="1" applyAlignment="1">
      <alignment horizontal="center"/>
    </xf>
    <xf numFmtId="191" fontId="129" fillId="33" borderId="141" xfId="0" applyNumberFormat="1" applyFont="1" applyFill="1" applyBorder="1" applyAlignment="1">
      <alignment horizontal="center" vertical="center"/>
    </xf>
    <xf numFmtId="183" fontId="34" fillId="33" borderId="60" xfId="0" applyNumberFormat="1" applyFont="1" applyFill="1" applyBorder="1" applyAlignment="1">
      <alignment horizontal="center" vertical="center"/>
    </xf>
    <xf numFmtId="191" fontId="129" fillId="33" borderId="142" xfId="0" applyNumberFormat="1" applyFont="1" applyFill="1" applyBorder="1" applyAlignment="1">
      <alignment horizontal="center" vertical="center"/>
    </xf>
    <xf numFmtId="183" fontId="65" fillId="33" borderId="92" xfId="0" applyNumberFormat="1" applyFont="1" applyFill="1" applyBorder="1" applyAlignment="1">
      <alignment horizontal="center" vertical="center"/>
    </xf>
    <xf numFmtId="0" fontId="29" fillId="31" borderId="104" xfId="0" applyFont="1" applyFill="1" applyBorder="1" applyAlignment="1">
      <alignment horizontal="left" vertical="center"/>
    </xf>
    <xf numFmtId="0" fontId="125" fillId="31" borderId="103" xfId="0" applyFont="1" applyFill="1" applyBorder="1" applyAlignment="1">
      <alignment horizontal="right" vertical="center"/>
    </xf>
    <xf numFmtId="180" fontId="41" fillId="31" borderId="143" xfId="0" applyNumberFormat="1" applyFont="1" applyFill="1" applyBorder="1" applyAlignment="1">
      <alignment horizontal="center"/>
    </xf>
    <xf numFmtId="191" fontId="126" fillId="31" borderId="107" xfId="0" applyNumberFormat="1" applyFont="1" applyFill="1" applyBorder="1" applyAlignment="1">
      <alignment horizontal="center" vertical="center"/>
    </xf>
    <xf numFmtId="0" fontId="125" fillId="27" borderId="63" xfId="0" applyFont="1" applyFill="1" applyBorder="1" applyAlignment="1">
      <alignment horizontal="right" vertical="center"/>
    </xf>
    <xf numFmtId="183" fontId="40" fillId="0" borderId="144" xfId="0" applyNumberFormat="1" applyFont="1" applyBorder="1" applyAlignment="1">
      <alignment horizontal="center" vertical="center"/>
    </xf>
    <xf numFmtId="183" fontId="40" fillId="51" borderId="110" xfId="0" applyNumberFormat="1" applyFont="1" applyFill="1" applyBorder="1" applyAlignment="1">
      <alignment horizontal="center" vertical="center"/>
    </xf>
    <xf numFmtId="0" fontId="29" fillId="27" borderId="89" xfId="0" applyFont="1" applyFill="1" applyBorder="1" applyAlignment="1">
      <alignment horizontal="left" vertical="center"/>
    </xf>
    <xf numFmtId="0" fontId="125" fillId="27" borderId="82" xfId="0" applyFont="1" applyFill="1" applyBorder="1" applyAlignment="1">
      <alignment horizontal="right" vertical="center"/>
    </xf>
    <xf numFmtId="0" fontId="29" fillId="27" borderId="120" xfId="0" applyFont="1" applyFill="1" applyBorder="1" applyAlignment="1">
      <alignment horizontal="left" vertical="center"/>
    </xf>
    <xf numFmtId="0" fontId="29" fillId="0" borderId="62" xfId="0" applyFont="1" applyBorder="1" applyAlignment="1">
      <alignment horizontal="left" vertical="center"/>
    </xf>
    <xf numFmtId="191" fontId="129" fillId="0" borderId="99" xfId="0" applyNumberFormat="1" applyFont="1" applyBorder="1" applyAlignment="1">
      <alignment horizontal="center" vertical="center"/>
    </xf>
    <xf numFmtId="0" fontId="142" fillId="0" borderId="62" xfId="0" applyFont="1" applyBorder="1" applyAlignment="1">
      <alignment horizontal="left" vertical="center"/>
    </xf>
    <xf numFmtId="191" fontId="129" fillId="0" borderId="17" xfId="0" applyNumberFormat="1" applyFont="1" applyBorder="1" applyAlignment="1">
      <alignment horizontal="center" vertical="center"/>
    </xf>
    <xf numFmtId="0" fontId="142" fillId="0" borderId="77" xfId="0" applyFont="1" applyBorder="1" applyAlignment="1">
      <alignment horizontal="left" vertical="center"/>
    </xf>
    <xf numFmtId="191" fontId="129" fillId="0" borderId="98" xfId="0" applyNumberFormat="1" applyFont="1" applyBorder="1" applyAlignment="1">
      <alignment horizontal="center" vertical="center"/>
    </xf>
    <xf numFmtId="183" fontId="40" fillId="51" borderId="64" xfId="0" applyNumberFormat="1" applyFont="1" applyFill="1" applyBorder="1" applyAlignment="1">
      <alignment horizontal="center" vertical="center"/>
    </xf>
    <xf numFmtId="183" fontId="34" fillId="51" borderId="64" xfId="0" applyNumberFormat="1" applyFont="1" applyFill="1" applyBorder="1" applyAlignment="1">
      <alignment horizontal="center" vertical="center"/>
    </xf>
    <xf numFmtId="0" fontId="125" fillId="27" borderId="77" xfId="0" quotePrefix="1" applyFont="1" applyFill="1" applyBorder="1" applyAlignment="1">
      <alignment horizontal="left" vertical="center"/>
    </xf>
    <xf numFmtId="183" fontId="127" fillId="31" borderId="198" xfId="0" applyNumberFormat="1" applyFont="1" applyFill="1" applyBorder="1" applyAlignment="1">
      <alignment horizontal="center" vertical="center"/>
    </xf>
    <xf numFmtId="0" fontId="29" fillId="27" borderId="145" xfId="0" quotePrefix="1" applyFont="1" applyFill="1" applyBorder="1" applyAlignment="1">
      <alignment horizontal="left" vertical="center"/>
    </xf>
    <xf numFmtId="191" fontId="129" fillId="27" borderId="54" xfId="0" applyNumberFormat="1" applyFont="1" applyFill="1" applyBorder="1" applyAlignment="1">
      <alignment horizontal="center" vertical="center"/>
    </xf>
    <xf numFmtId="183" fontId="40" fillId="51" borderId="52" xfId="0" applyNumberFormat="1" applyFont="1" applyFill="1" applyBorder="1" applyAlignment="1">
      <alignment horizontal="center" vertical="center"/>
    </xf>
    <xf numFmtId="183" fontId="40" fillId="51" borderId="26" xfId="0" applyNumberFormat="1" applyFont="1" applyFill="1" applyBorder="1" applyAlignment="1">
      <alignment horizontal="center" vertical="center"/>
    </xf>
    <xf numFmtId="0" fontId="177" fillId="27" borderId="82" xfId="0" applyFont="1" applyFill="1" applyBorder="1">
      <alignment vertical="center"/>
    </xf>
    <xf numFmtId="0" fontId="125" fillId="27" borderId="116" xfId="0" applyFont="1" applyFill="1" applyBorder="1" applyAlignment="1">
      <alignment horizontal="left" vertical="center"/>
    </xf>
    <xf numFmtId="183" fontId="34" fillId="51" borderId="83" xfId="0" applyNumberFormat="1" applyFont="1" applyFill="1" applyBorder="1" applyAlignment="1">
      <alignment horizontal="center" vertical="center"/>
    </xf>
    <xf numFmtId="180" fontId="41" fillId="31" borderId="146" xfId="0" applyNumberFormat="1" applyFont="1" applyFill="1" applyBorder="1" applyAlignment="1">
      <alignment horizontal="center"/>
    </xf>
    <xf numFmtId="191" fontId="129" fillId="27" borderId="50" xfId="0" applyNumberFormat="1" applyFont="1" applyFill="1" applyBorder="1" applyAlignment="1">
      <alignment horizontal="center" vertical="center"/>
    </xf>
    <xf numFmtId="191" fontId="129" fillId="27" borderId="64" xfId="0" applyNumberFormat="1" applyFont="1" applyFill="1" applyBorder="1" applyAlignment="1">
      <alignment horizontal="center" vertical="center"/>
    </xf>
    <xf numFmtId="191" fontId="129" fillId="27" borderId="57" xfId="0" applyNumberFormat="1" applyFont="1" applyFill="1" applyBorder="1" applyAlignment="1">
      <alignment horizontal="center" vertical="center"/>
    </xf>
    <xf numFmtId="0" fontId="142" fillId="27" borderId="62" xfId="0" applyFont="1" applyFill="1" applyBorder="1" applyAlignment="1">
      <alignment horizontal="left"/>
    </xf>
    <xf numFmtId="183" fontId="34" fillId="0" borderId="61" xfId="0" applyNumberFormat="1" applyFont="1" applyBorder="1" applyAlignment="1">
      <alignment horizontal="center" vertical="center"/>
    </xf>
    <xf numFmtId="183" fontId="34" fillId="0" borderId="63" xfId="0" applyNumberFormat="1" applyFont="1" applyBorder="1" applyAlignment="1">
      <alignment horizontal="center" vertical="center"/>
    </xf>
    <xf numFmtId="183" fontId="34" fillId="0" borderId="67" xfId="0" applyNumberFormat="1" applyFont="1" applyBorder="1" applyAlignment="1">
      <alignment horizontal="center" vertical="center"/>
    </xf>
    <xf numFmtId="191" fontId="129" fillId="27" borderId="118" xfId="0" applyNumberFormat="1" applyFont="1" applyFill="1" applyBorder="1" applyAlignment="1">
      <alignment horizontal="center" vertical="center"/>
    </xf>
    <xf numFmtId="183" fontId="40" fillId="51" borderId="83" xfId="0" applyNumberFormat="1" applyFont="1" applyFill="1" applyBorder="1" applyAlignment="1">
      <alignment horizontal="center" vertical="center"/>
    </xf>
    <xf numFmtId="0" fontId="0" fillId="0" borderId="60" xfId="0" applyBorder="1" applyAlignment="1">
      <alignment horizontal="left" vertical="center"/>
    </xf>
    <xf numFmtId="0" fontId="29" fillId="51" borderId="59" xfId="0" applyFont="1" applyFill="1" applyBorder="1" applyAlignment="1">
      <alignment horizontal="left" vertical="center"/>
    </xf>
    <xf numFmtId="0" fontId="29" fillId="51" borderId="60" xfId="0" applyFont="1" applyFill="1" applyBorder="1">
      <alignment vertical="center"/>
    </xf>
    <xf numFmtId="0" fontId="0" fillId="51" borderId="60" xfId="0" applyFill="1" applyBorder="1">
      <alignment vertical="center"/>
    </xf>
    <xf numFmtId="0" fontId="31" fillId="51" borderId="170" xfId="0" applyFont="1" applyFill="1" applyBorder="1" applyAlignment="1">
      <alignment horizontal="center" vertical="center"/>
    </xf>
    <xf numFmtId="0" fontId="34" fillId="51" borderId="170" xfId="0" applyFont="1" applyFill="1" applyBorder="1" applyAlignment="1">
      <alignment horizontal="center" vertical="center"/>
    </xf>
    <xf numFmtId="0" fontId="34" fillId="51" borderId="205" xfId="0" applyFont="1" applyFill="1" applyBorder="1" applyAlignment="1">
      <alignment horizontal="center" vertical="center"/>
    </xf>
    <xf numFmtId="0" fontId="0" fillId="51" borderId="62" xfId="0" applyFill="1" applyBorder="1" applyAlignment="1">
      <alignment horizontal="left" vertical="center"/>
    </xf>
    <xf numFmtId="0" fontId="0" fillId="51" borderId="10" xfId="0" applyFill="1" applyBorder="1">
      <alignment vertical="center"/>
    </xf>
    <xf numFmtId="0" fontId="34" fillId="51" borderId="10" xfId="0" applyFont="1" applyFill="1" applyBorder="1">
      <alignment vertical="center"/>
    </xf>
    <xf numFmtId="0" fontId="34" fillId="51" borderId="148" xfId="0" applyFont="1" applyFill="1" applyBorder="1">
      <alignment vertical="center"/>
    </xf>
    <xf numFmtId="183" fontId="29" fillId="51" borderId="10" xfId="0" applyNumberFormat="1" applyFont="1" applyFill="1" applyBorder="1" applyAlignment="1">
      <alignment horizontal="center" vertical="center"/>
    </xf>
    <xf numFmtId="183" fontId="29" fillId="51" borderId="148" xfId="0" applyNumberFormat="1" applyFont="1" applyFill="1" applyBorder="1" applyAlignment="1">
      <alignment horizontal="center" vertical="center"/>
    </xf>
    <xf numFmtId="0" fontId="0" fillId="51" borderId="148" xfId="0" applyFill="1" applyBorder="1">
      <alignment vertical="center"/>
    </xf>
    <xf numFmtId="183" fontId="29" fillId="51" borderId="51" xfId="0" applyNumberFormat="1" applyFont="1" applyFill="1" applyBorder="1" applyAlignment="1">
      <alignment horizontal="center" vertical="center"/>
    </xf>
    <xf numFmtId="183" fontId="29" fillId="51" borderId="150" xfId="0" applyNumberFormat="1" applyFont="1" applyFill="1" applyBorder="1" applyAlignment="1">
      <alignment horizontal="center" vertical="center"/>
    </xf>
    <xf numFmtId="0" fontId="29" fillId="31" borderId="80" xfId="0" applyFont="1" applyFill="1" applyBorder="1" applyAlignment="1">
      <alignment horizontal="left" vertical="center"/>
    </xf>
    <xf numFmtId="0" fontId="29" fillId="31" borderId="50" xfId="0" applyFont="1" applyFill="1" applyBorder="1" applyAlignment="1">
      <alignment horizontal="left" vertical="center"/>
    </xf>
    <xf numFmtId="0" fontId="38" fillId="31" borderId="50" xfId="0" applyFont="1" applyFill="1" applyBorder="1" applyAlignment="1">
      <alignment horizontal="left" vertical="center"/>
    </xf>
    <xf numFmtId="180" fontId="41" fillId="31" borderId="50" xfId="0" applyNumberFormat="1" applyFont="1" applyFill="1" applyBorder="1" applyAlignment="1">
      <alignment horizontal="left" vertical="center"/>
    </xf>
    <xf numFmtId="180" fontId="41" fillId="31" borderId="50" xfId="0" applyNumberFormat="1" applyFont="1" applyFill="1" applyBorder="1" applyAlignment="1">
      <alignment horizontal="left"/>
    </xf>
    <xf numFmtId="191" fontId="126" fillId="31" borderId="50" xfId="0" applyNumberFormat="1" applyFont="1" applyFill="1" applyBorder="1" applyAlignment="1">
      <alignment horizontal="center" vertical="center"/>
    </xf>
    <xf numFmtId="183" fontId="127" fillId="31" borderId="50" xfId="0" applyNumberFormat="1" applyFont="1" applyFill="1" applyBorder="1" applyAlignment="1">
      <alignment horizontal="center" vertical="center"/>
    </xf>
    <xf numFmtId="183" fontId="127" fillId="31" borderId="82" xfId="0" applyNumberFormat="1" applyFont="1" applyFill="1" applyBorder="1" applyAlignment="1">
      <alignment horizontal="center" vertical="center"/>
    </xf>
    <xf numFmtId="0" fontId="38" fillId="51" borderId="62" xfId="0" applyFont="1" applyFill="1" applyBorder="1" applyAlignment="1">
      <alignment horizontal="left" vertical="center"/>
    </xf>
    <xf numFmtId="0" fontId="38" fillId="51" borderId="0" xfId="0" applyFont="1" applyFill="1">
      <alignment vertical="center"/>
    </xf>
    <xf numFmtId="183" fontId="29" fillId="51" borderId="55" xfId="0" applyNumberFormat="1" applyFont="1" applyFill="1" applyBorder="1" applyAlignment="1">
      <alignment horizontal="center" vertical="center"/>
    </xf>
    <xf numFmtId="0" fontId="0" fillId="51" borderId="63" xfId="0" applyFill="1" applyBorder="1">
      <alignment vertical="center"/>
    </xf>
    <xf numFmtId="0" fontId="0" fillId="71" borderId="10" xfId="0" applyFill="1" applyBorder="1">
      <alignment vertical="center"/>
    </xf>
    <xf numFmtId="0" fontId="0" fillId="71" borderId="148" xfId="0" applyFill="1" applyBorder="1">
      <alignment vertical="center"/>
    </xf>
    <xf numFmtId="183" fontId="29" fillId="71" borderId="10" xfId="0" applyNumberFormat="1" applyFont="1" applyFill="1" applyBorder="1" applyAlignment="1">
      <alignment horizontal="center" vertical="center"/>
    </xf>
    <xf numFmtId="183" fontId="29" fillId="71" borderId="148" xfId="0" applyNumberFormat="1" applyFont="1" applyFill="1" applyBorder="1" applyAlignment="1">
      <alignment horizontal="center" vertical="center"/>
    </xf>
    <xf numFmtId="0" fontId="33" fillId="51" borderId="0" xfId="0" applyFont="1" applyFill="1">
      <alignment vertical="center"/>
    </xf>
    <xf numFmtId="0" fontId="41" fillId="51" borderId="0" xfId="0" applyFont="1" applyFill="1">
      <alignment vertical="center"/>
    </xf>
    <xf numFmtId="0" fontId="38" fillId="51" borderId="65" xfId="0" applyFont="1" applyFill="1" applyBorder="1" applyAlignment="1">
      <alignment horizontal="left" vertical="center"/>
    </xf>
    <xf numFmtId="0" fontId="27" fillId="51" borderId="66" xfId="0" applyFont="1" applyFill="1" applyBorder="1">
      <alignment vertical="center"/>
    </xf>
    <xf numFmtId="0" fontId="38" fillId="51" borderId="66" xfId="0" applyFont="1" applyFill="1" applyBorder="1">
      <alignment vertical="center"/>
    </xf>
    <xf numFmtId="183" fontId="29" fillId="51" borderId="136" xfId="0" applyNumberFormat="1" applyFont="1" applyFill="1" applyBorder="1" applyAlignment="1">
      <alignment horizontal="center" vertical="center"/>
    </xf>
    <xf numFmtId="183" fontId="29" fillId="71" borderId="136" xfId="0" applyNumberFormat="1" applyFont="1" applyFill="1" applyBorder="1" applyAlignment="1">
      <alignment horizontal="center" vertical="center"/>
    </xf>
    <xf numFmtId="183" fontId="29" fillId="71" borderId="153" xfId="0" applyNumberFormat="1" applyFont="1" applyFill="1" applyBorder="1" applyAlignment="1">
      <alignment horizontal="center" vertical="center"/>
    </xf>
    <xf numFmtId="183" fontId="29" fillId="0" borderId="55" xfId="0" applyNumberFormat="1" applyFont="1" applyBorder="1" applyAlignment="1">
      <alignment horizontal="center" vertical="center"/>
    </xf>
    <xf numFmtId="0" fontId="0" fillId="51" borderId="61" xfId="0" applyFill="1" applyBorder="1">
      <alignment vertical="center"/>
    </xf>
    <xf numFmtId="0" fontId="125" fillId="51" borderId="62" xfId="0" applyFont="1" applyFill="1" applyBorder="1" applyAlignment="1">
      <alignment horizontal="left" vertical="center"/>
    </xf>
    <xf numFmtId="0" fontId="125" fillId="51" borderId="0" xfId="0" applyFont="1" applyFill="1">
      <alignment vertical="center"/>
    </xf>
    <xf numFmtId="0" fontId="41" fillId="51" borderId="57" xfId="0" applyFont="1" applyFill="1" applyBorder="1">
      <alignment vertical="center"/>
    </xf>
    <xf numFmtId="183" fontId="41" fillId="51" borderId="57" xfId="0" applyNumberFormat="1" applyFont="1" applyFill="1" applyBorder="1">
      <alignment vertical="center"/>
    </xf>
    <xf numFmtId="183" fontId="41" fillId="51" borderId="57" xfId="0" applyNumberFormat="1" applyFont="1" applyFill="1" applyBorder="1" applyAlignment="1">
      <alignment horizontal="left" vertical="center"/>
    </xf>
    <xf numFmtId="0" fontId="41" fillId="51" borderId="57" xfId="0" applyFont="1" applyFill="1" applyBorder="1" applyAlignment="1">
      <alignment horizontal="left" vertical="center"/>
    </xf>
    <xf numFmtId="0" fontId="41" fillId="51" borderId="57" xfId="0" applyFont="1" applyFill="1" applyBorder="1" applyAlignment="1">
      <alignment horizontal="right" vertical="center"/>
    </xf>
    <xf numFmtId="0" fontId="41" fillId="51" borderId="57" xfId="0" applyFont="1" applyFill="1" applyBorder="1" applyAlignment="1">
      <alignment vertical="center" shrinkToFit="1"/>
    </xf>
    <xf numFmtId="206" fontId="41" fillId="51" borderId="57" xfId="0" applyNumberFormat="1" applyFont="1" applyFill="1" applyBorder="1" applyAlignment="1">
      <alignment vertical="center" shrinkToFit="1"/>
    </xf>
    <xf numFmtId="206" fontId="41" fillId="51" borderId="57" xfId="28" applyNumberFormat="1" applyFont="1" applyFill="1" applyBorder="1" applyProtection="1">
      <alignment vertical="center"/>
    </xf>
    <xf numFmtId="209" fontId="41" fillId="51" borderId="57" xfId="0" applyNumberFormat="1" applyFont="1" applyFill="1" applyBorder="1" applyAlignment="1">
      <alignment vertical="center" shrinkToFit="1"/>
    </xf>
    <xf numFmtId="182" fontId="41" fillId="51" borderId="57" xfId="0" applyNumberFormat="1" applyFont="1" applyFill="1" applyBorder="1">
      <alignment vertical="center"/>
    </xf>
    <xf numFmtId="0" fontId="41" fillId="51" borderId="0" xfId="0" applyFont="1" applyFill="1" applyAlignment="1">
      <alignment vertical="center" shrinkToFit="1"/>
    </xf>
    <xf numFmtId="180" fontId="41" fillId="51" borderId="57" xfId="35" applyNumberFormat="1" applyFont="1" applyFill="1" applyBorder="1" applyProtection="1">
      <alignment vertical="center"/>
    </xf>
    <xf numFmtId="9" fontId="41" fillId="51" borderId="57" xfId="28" applyFont="1" applyFill="1" applyBorder="1" applyProtection="1">
      <alignment vertical="center"/>
    </xf>
    <xf numFmtId="9" fontId="41" fillId="51" borderId="57" xfId="0" applyNumberFormat="1" applyFont="1" applyFill="1" applyBorder="1">
      <alignment vertical="center"/>
    </xf>
    <xf numFmtId="191" fontId="41" fillId="51" borderId="57" xfId="0" applyNumberFormat="1" applyFont="1" applyFill="1" applyBorder="1">
      <alignment vertical="center"/>
    </xf>
    <xf numFmtId="38" fontId="41" fillId="51" borderId="57" xfId="0" applyNumberFormat="1" applyFont="1" applyFill="1" applyBorder="1" applyAlignment="1">
      <alignment horizontal="right" vertical="center"/>
    </xf>
    <xf numFmtId="0" fontId="196" fillId="51" borderId="0" xfId="0" applyFont="1" applyFill="1">
      <alignment vertical="center"/>
    </xf>
    <xf numFmtId="0" fontId="41" fillId="51" borderId="0" xfId="0" applyFont="1" applyFill="1" applyAlignment="1">
      <alignment horizontal="right" vertical="center"/>
    </xf>
    <xf numFmtId="0" fontId="41" fillId="51" borderId="50" xfId="0" applyFont="1" applyFill="1" applyBorder="1">
      <alignment vertical="center"/>
    </xf>
    <xf numFmtId="0" fontId="41" fillId="51" borderId="50" xfId="0" applyFont="1" applyFill="1" applyBorder="1" applyAlignment="1">
      <alignment horizontal="right" vertical="center"/>
    </xf>
    <xf numFmtId="9" fontId="41" fillId="51" borderId="57" xfId="28" applyFont="1" applyFill="1" applyBorder="1" applyAlignment="1" applyProtection="1">
      <alignment vertical="center" shrinkToFit="1"/>
    </xf>
    <xf numFmtId="191" fontId="41" fillId="51" borderId="57" xfId="0" applyNumberFormat="1" applyFont="1" applyFill="1" applyBorder="1" applyAlignment="1">
      <alignment horizontal="left" vertical="center" shrinkToFit="1"/>
    </xf>
    <xf numFmtId="206" fontId="41" fillId="51" borderId="57" xfId="28" applyNumberFormat="1" applyFont="1" applyFill="1" applyBorder="1" applyAlignment="1" applyProtection="1">
      <alignment vertical="center" shrinkToFit="1"/>
    </xf>
    <xf numFmtId="0" fontId="41" fillId="51" borderId="50" xfId="0" applyFont="1" applyFill="1" applyBorder="1" applyAlignment="1">
      <alignment horizontal="left" vertical="center"/>
    </xf>
    <xf numFmtId="190" fontId="41" fillId="51" borderId="50" xfId="0" applyNumberFormat="1" applyFont="1" applyFill="1" applyBorder="1" applyAlignment="1">
      <alignment horizontal="right" vertical="center"/>
    </xf>
    <xf numFmtId="190" fontId="41" fillId="51" borderId="50" xfId="0" applyNumberFormat="1" applyFont="1" applyFill="1" applyBorder="1" applyAlignment="1">
      <alignment horizontal="right" vertical="center" shrinkToFit="1"/>
    </xf>
    <xf numFmtId="0" fontId="41" fillId="51" borderId="50" xfId="0" applyFont="1" applyFill="1" applyBorder="1" applyAlignment="1">
      <alignment horizontal="right" vertical="center" shrinkToFit="1"/>
    </xf>
    <xf numFmtId="0" fontId="0" fillId="51" borderId="66" xfId="0" applyFill="1" applyBorder="1">
      <alignment vertical="center"/>
    </xf>
    <xf numFmtId="0" fontId="0" fillId="51" borderId="67" xfId="0" applyFill="1" applyBorder="1">
      <alignment vertical="center"/>
    </xf>
    <xf numFmtId="0" fontId="33" fillId="58" borderId="10" xfId="0" applyFont="1" applyFill="1" applyBorder="1" applyAlignment="1" applyProtection="1">
      <alignment vertical="center" shrinkToFit="1"/>
      <protection locked="0"/>
    </xf>
    <xf numFmtId="40" fontId="33" fillId="51" borderId="10" xfId="35" applyNumberFormat="1" applyFont="1" applyFill="1" applyBorder="1" applyProtection="1">
      <alignment vertical="center"/>
      <protection locked="0"/>
    </xf>
    <xf numFmtId="40" fontId="33" fillId="0" borderId="0" xfId="35" applyNumberFormat="1" applyFont="1" applyProtection="1">
      <alignment vertical="center"/>
      <protection locked="0"/>
    </xf>
    <xf numFmtId="0" fontId="208" fillId="0" borderId="0" xfId="0" applyFont="1">
      <alignment vertical="center"/>
    </xf>
    <xf numFmtId="0" fontId="211" fillId="73" borderId="10" xfId="0" applyFont="1" applyFill="1" applyBorder="1" applyAlignment="1">
      <alignment vertical="top" wrapText="1"/>
    </xf>
    <xf numFmtId="0" fontId="211" fillId="74" borderId="10" xfId="0" applyFont="1" applyFill="1" applyBorder="1" applyAlignment="1">
      <alignment vertical="top" wrapText="1"/>
    </xf>
    <xf numFmtId="0" fontId="208" fillId="53" borderId="26" xfId="0" applyFont="1" applyFill="1" applyBorder="1">
      <alignment vertical="center"/>
    </xf>
    <xf numFmtId="0" fontId="208" fillId="53" borderId="50" xfId="0" applyFont="1" applyFill="1" applyBorder="1">
      <alignment vertical="center"/>
    </xf>
    <xf numFmtId="0" fontId="208" fillId="53" borderId="27" xfId="0" applyFont="1" applyFill="1" applyBorder="1">
      <alignment vertical="center"/>
    </xf>
    <xf numFmtId="0" fontId="215" fillId="53" borderId="26" xfId="0" applyFont="1" applyFill="1" applyBorder="1">
      <alignment vertical="center"/>
    </xf>
    <xf numFmtId="49" fontId="208" fillId="0" borderId="10" xfId="0" applyNumberFormat="1" applyFont="1" applyBorder="1" applyAlignment="1">
      <alignment horizontal="center" vertical="center" wrapText="1"/>
    </xf>
    <xf numFmtId="0" fontId="208" fillId="0" borderId="10" xfId="0" applyFont="1" applyBorder="1" applyAlignment="1">
      <alignment horizontal="left" vertical="center" wrapText="1"/>
    </xf>
    <xf numFmtId="0" fontId="208" fillId="0" borderId="51" xfId="0" applyFont="1" applyBorder="1" applyAlignment="1">
      <alignment vertical="center" wrapText="1"/>
    </xf>
    <xf numFmtId="0" fontId="208" fillId="0" borderId="10" xfId="0" applyFont="1" applyBorder="1" applyAlignment="1">
      <alignment vertical="center" wrapText="1"/>
    </xf>
    <xf numFmtId="49" fontId="208" fillId="0" borderId="10" xfId="0" applyNumberFormat="1" applyFont="1" applyBorder="1" applyAlignment="1">
      <alignment horizontal="center" vertical="center" wrapText="1" readingOrder="1"/>
    </xf>
    <xf numFmtId="0" fontId="208" fillId="0" borderId="10" xfId="0" applyFont="1" applyBorder="1" applyAlignment="1">
      <alignment horizontal="left" vertical="center" wrapText="1" readingOrder="1"/>
    </xf>
    <xf numFmtId="0" fontId="208" fillId="0" borderId="10" xfId="0" applyFont="1" applyBorder="1" applyAlignment="1">
      <alignment vertical="center" wrapText="1" readingOrder="1"/>
    </xf>
    <xf numFmtId="0" fontId="216" fillId="0" borderId="10" xfId="0" applyFont="1" applyBorder="1" applyAlignment="1">
      <alignment vertical="center" wrapText="1"/>
    </xf>
    <xf numFmtId="0" fontId="217" fillId="76" borderId="10" xfId="0" applyFont="1" applyFill="1" applyBorder="1" applyAlignment="1">
      <alignment vertical="center" wrapText="1"/>
    </xf>
    <xf numFmtId="0" fontId="218" fillId="53" borderId="10" xfId="0" applyFont="1" applyFill="1" applyBorder="1" applyAlignment="1">
      <alignment horizontal="center" vertical="center" wrapText="1"/>
    </xf>
    <xf numFmtId="0" fontId="215" fillId="0" borderId="26" xfId="49" applyFont="1" applyBorder="1" applyAlignment="1" applyProtection="1">
      <alignment horizontal="left" vertical="center" wrapText="1"/>
      <protection locked="0"/>
    </xf>
    <xf numFmtId="182" fontId="219" fillId="0" borderId="10" xfId="0" applyNumberFormat="1" applyFont="1" applyBorder="1" applyAlignment="1">
      <alignment horizontal="center" vertical="center" shrinkToFit="1"/>
    </xf>
    <xf numFmtId="0" fontId="217" fillId="0" borderId="10" xfId="0" applyFont="1" applyBorder="1" applyAlignment="1">
      <alignment vertical="center" wrapText="1"/>
    </xf>
    <xf numFmtId="0" fontId="217" fillId="77" borderId="10" xfId="0" applyFont="1" applyFill="1" applyBorder="1" applyAlignment="1">
      <alignment vertical="center" wrapText="1"/>
    </xf>
    <xf numFmtId="0" fontId="208" fillId="0" borderId="26" xfId="0" applyFont="1" applyBorder="1" applyAlignment="1" applyProtection="1">
      <alignment horizontal="left" vertical="center" wrapText="1"/>
      <protection locked="0"/>
    </xf>
    <xf numFmtId="0" fontId="208" fillId="59" borderId="10" xfId="0" applyFont="1" applyFill="1" applyBorder="1" applyAlignment="1">
      <alignment vertical="center" wrapText="1"/>
    </xf>
    <xf numFmtId="0" fontId="215" fillId="0" borderId="26" xfId="49" applyFont="1" applyBorder="1" applyAlignment="1">
      <alignment horizontal="left" vertical="center" wrapText="1"/>
    </xf>
    <xf numFmtId="0" fontId="216" fillId="0" borderId="10" xfId="0" applyFont="1" applyBorder="1" applyAlignment="1">
      <alignment vertical="center" wrapText="1" readingOrder="1"/>
    </xf>
    <xf numFmtId="0" fontId="216" fillId="0" borderId="10" xfId="0" applyFont="1" applyBorder="1" applyAlignment="1">
      <alignment horizontal="left" vertical="center" wrapText="1" readingOrder="1"/>
    </xf>
    <xf numFmtId="0" fontId="208" fillId="0" borderId="10" xfId="0" applyFont="1" applyBorder="1" applyAlignment="1">
      <alignment horizontal="center" vertical="center" wrapText="1"/>
    </xf>
    <xf numFmtId="0" fontId="208" fillId="78" borderId="10" xfId="0" applyFont="1" applyFill="1" applyBorder="1" applyAlignment="1">
      <alignment vertical="center" wrapText="1"/>
    </xf>
    <xf numFmtId="0" fontId="216" fillId="0" borderId="10" xfId="0" applyFont="1" applyBorder="1" applyAlignment="1">
      <alignment horizontal="left" vertical="center" wrapText="1"/>
    </xf>
    <xf numFmtId="0" fontId="211" fillId="85" borderId="10" xfId="0" applyFont="1" applyFill="1" applyBorder="1" applyAlignment="1">
      <alignment vertical="top" wrapText="1"/>
    </xf>
    <xf numFmtId="0" fontId="211" fillId="89" borderId="10" xfId="0" applyFont="1" applyFill="1" applyBorder="1" applyAlignment="1">
      <alignment vertical="top" wrapText="1"/>
    </xf>
    <xf numFmtId="0" fontId="211" fillId="91" borderId="10" xfId="0" applyFont="1" applyFill="1" applyBorder="1" applyAlignment="1">
      <alignment vertical="top" wrapText="1"/>
    </xf>
    <xf numFmtId="0" fontId="208" fillId="0" borderId="26" xfId="0" applyFont="1" applyBorder="1" applyAlignment="1">
      <alignment horizontal="left" vertical="center" wrapText="1"/>
    </xf>
    <xf numFmtId="49" fontId="208" fillId="0" borderId="10" xfId="0" applyNumberFormat="1" applyFont="1" applyBorder="1" applyAlignment="1">
      <alignment horizontal="center" vertical="center"/>
    </xf>
    <xf numFmtId="0" fontId="225" fillId="0" borderId="10" xfId="0" applyFont="1" applyBorder="1" applyAlignment="1">
      <alignment horizontal="left" vertical="center" wrapText="1" readingOrder="1"/>
    </xf>
    <xf numFmtId="0" fontId="215" fillId="0" borderId="0" xfId="49" applyFont="1" applyAlignment="1">
      <alignment horizontal="left" vertical="center" wrapText="1"/>
    </xf>
    <xf numFmtId="0" fontId="207" fillId="59" borderId="57" xfId="0" applyFont="1" applyFill="1" applyBorder="1" applyAlignment="1">
      <alignment horizontal="right"/>
    </xf>
    <xf numFmtId="0" fontId="207" fillId="59" borderId="57" xfId="0" applyFont="1" applyFill="1" applyBorder="1" applyAlignment="1">
      <alignment horizontal="left" wrapText="1"/>
    </xf>
    <xf numFmtId="0" fontId="208" fillId="59" borderId="57" xfId="0" applyFont="1" applyFill="1" applyBorder="1" applyAlignment="1">
      <alignment horizontal="left" wrapText="1"/>
    </xf>
    <xf numFmtId="0" fontId="208" fillId="59" borderId="57" xfId="0" applyFont="1" applyFill="1" applyBorder="1" applyAlignment="1">
      <alignment horizontal="left" vertical="center" wrapText="1"/>
    </xf>
    <xf numFmtId="0" fontId="226" fillId="59" borderId="57" xfId="0" applyFont="1" applyFill="1" applyBorder="1" applyAlignment="1">
      <alignment horizontal="center" vertical="center" wrapText="1"/>
    </xf>
    <xf numFmtId="0" fontId="209" fillId="59" borderId="0" xfId="0" applyFont="1" applyFill="1">
      <alignment vertical="center"/>
    </xf>
    <xf numFmtId="0" fontId="208" fillId="59" borderId="0" xfId="0" applyFont="1" applyFill="1">
      <alignment vertical="center"/>
    </xf>
    <xf numFmtId="0" fontId="208" fillId="59" borderId="0" xfId="0" applyFont="1" applyFill="1" applyAlignment="1">
      <alignment horizontal="right" vertical="center"/>
    </xf>
    <xf numFmtId="0" fontId="208" fillId="0" borderId="0" xfId="0" applyFont="1" applyAlignment="1">
      <alignment horizontal="center" vertical="center"/>
    </xf>
    <xf numFmtId="199" fontId="227" fillId="0" borderId="0" xfId="0" applyNumberFormat="1" applyFont="1" applyAlignment="1">
      <alignment horizontal="center" vertical="center" wrapText="1"/>
    </xf>
    <xf numFmtId="182" fontId="208" fillId="0" borderId="0" xfId="0" applyNumberFormat="1" applyFont="1" applyAlignment="1">
      <alignment horizontal="center" vertical="center" wrapText="1"/>
    </xf>
    <xf numFmtId="0" fontId="208" fillId="0" borderId="0" xfId="0" applyFont="1" applyAlignment="1">
      <alignment horizontal="center" vertical="center" wrapText="1"/>
    </xf>
    <xf numFmtId="0" fontId="208" fillId="0" borderId="17" xfId="0" applyFont="1" applyBorder="1">
      <alignment vertical="center"/>
    </xf>
    <xf numFmtId="179" fontId="210" fillId="0" borderId="0" xfId="0" applyNumberFormat="1" applyFont="1" applyAlignment="1">
      <alignment horizontal="center" vertical="center" wrapText="1"/>
    </xf>
    <xf numFmtId="0" fontId="228" fillId="72" borderId="10" xfId="0" applyFont="1" applyFill="1" applyBorder="1" applyAlignment="1">
      <alignment horizontal="center" vertical="center" wrapText="1"/>
    </xf>
    <xf numFmtId="179" fontId="210" fillId="72" borderId="51" xfId="0" applyNumberFormat="1" applyFont="1" applyFill="1" applyBorder="1" applyAlignment="1">
      <alignment horizontal="center" vertical="center" wrapText="1"/>
    </xf>
    <xf numFmtId="212" fontId="208" fillId="0" borderId="10" xfId="0" applyNumberFormat="1" applyFont="1" applyBorder="1">
      <alignment vertical="center"/>
    </xf>
    <xf numFmtId="179" fontId="210" fillId="0" borderId="64" xfId="0" applyNumberFormat="1" applyFont="1" applyBorder="1" applyAlignment="1">
      <alignment horizontal="center" vertical="center" wrapText="1"/>
    </xf>
    <xf numFmtId="0" fontId="210" fillId="53" borderId="51" xfId="0" applyFont="1" applyFill="1" applyBorder="1">
      <alignment vertical="center"/>
    </xf>
    <xf numFmtId="0" fontId="210" fillId="53" borderId="52" xfId="0" applyFont="1" applyFill="1" applyBorder="1">
      <alignment vertical="center"/>
    </xf>
    <xf numFmtId="0" fontId="210" fillId="53" borderId="53" xfId="0" applyFont="1" applyFill="1" applyBorder="1">
      <alignment vertical="center"/>
    </xf>
    <xf numFmtId="0" fontId="210" fillId="53" borderId="54" xfId="0" applyFont="1" applyFill="1" applyBorder="1">
      <alignment vertical="center"/>
    </xf>
    <xf numFmtId="0" fontId="210" fillId="0" borderId="0" xfId="0" applyFont="1" applyAlignment="1">
      <alignment horizontal="center" vertical="center" wrapText="1"/>
    </xf>
    <xf numFmtId="182" fontId="210" fillId="53" borderId="52" xfId="0" applyNumberFormat="1" applyFont="1" applyFill="1" applyBorder="1">
      <alignment vertical="center"/>
    </xf>
    <xf numFmtId="0" fontId="210" fillId="53" borderId="53" xfId="0" applyFont="1" applyFill="1" applyBorder="1" applyAlignment="1">
      <alignment horizontal="center" vertical="center"/>
    </xf>
    <xf numFmtId="0" fontId="208" fillId="76" borderId="10" xfId="0" applyFont="1" applyFill="1" applyBorder="1">
      <alignment vertical="center"/>
    </xf>
    <xf numFmtId="179" fontId="208" fillId="0" borderId="207" xfId="0" applyNumberFormat="1" applyFont="1" applyBorder="1" applyAlignment="1">
      <alignment horizontal="center" vertical="center" wrapText="1"/>
    </xf>
    <xf numFmtId="199" fontId="208" fillId="0" borderId="10" xfId="0" applyNumberFormat="1" applyFont="1" applyBorder="1">
      <alignment vertical="center"/>
    </xf>
    <xf numFmtId="179" fontId="208" fillId="0" borderId="10" xfId="0" applyNumberFormat="1" applyFont="1" applyBorder="1" applyAlignment="1">
      <alignment horizontal="center" vertical="center" wrapText="1"/>
    </xf>
    <xf numFmtId="182" fontId="208" fillId="0" borderId="10" xfId="0" applyNumberFormat="1" applyFont="1" applyBorder="1" applyAlignment="1">
      <alignment horizontal="center" vertical="center" wrapText="1"/>
    </xf>
    <xf numFmtId="179" fontId="208" fillId="0" borderId="0" xfId="0" applyNumberFormat="1" applyFont="1" applyAlignment="1">
      <alignment horizontal="center" vertical="center" wrapText="1"/>
    </xf>
    <xf numFmtId="0" fontId="208" fillId="0" borderId="50" xfId="0" applyFont="1" applyBorder="1" applyAlignment="1" applyProtection="1">
      <alignment horizontal="center" vertical="center" wrapText="1"/>
      <protection locked="0"/>
    </xf>
    <xf numFmtId="0" fontId="208" fillId="59" borderId="51" xfId="0" applyFont="1" applyFill="1" applyBorder="1" applyAlignment="1">
      <alignment horizontal="center" vertical="center" wrapText="1"/>
    </xf>
    <xf numFmtId="179" fontId="215" fillId="59" borderId="51" xfId="0" applyNumberFormat="1" applyFont="1" applyFill="1" applyBorder="1" applyAlignment="1">
      <alignment horizontal="center" vertical="center" wrapText="1"/>
    </xf>
    <xf numFmtId="179" fontId="215" fillId="59" borderId="15" xfId="0" applyNumberFormat="1" applyFont="1" applyFill="1" applyBorder="1" applyAlignment="1">
      <alignment horizontal="center" vertical="center"/>
    </xf>
    <xf numFmtId="182" fontId="208" fillId="0" borderId="51" xfId="0" applyNumberFormat="1" applyFont="1" applyBorder="1" applyAlignment="1">
      <alignment horizontal="center" vertical="center" wrapText="1"/>
    </xf>
    <xf numFmtId="0" fontId="208" fillId="59" borderId="54" xfId="0" applyFont="1" applyFill="1" applyBorder="1" applyAlignment="1" applyProtection="1">
      <alignment horizontal="center" vertical="center" wrapText="1"/>
      <protection locked="0"/>
    </xf>
    <xf numFmtId="0" fontId="208" fillId="59" borderId="55" xfId="0" applyFont="1" applyFill="1" applyBorder="1" applyAlignment="1">
      <alignment horizontal="center" vertical="center" wrapText="1"/>
    </xf>
    <xf numFmtId="0" fontId="208" fillId="59" borderId="58" xfId="0" applyFont="1" applyFill="1" applyBorder="1" applyAlignment="1" applyProtection="1">
      <alignment vertical="center" wrapText="1"/>
      <protection locked="0"/>
    </xf>
    <xf numFmtId="179" fontId="215" fillId="59" borderId="55" xfId="0" applyNumberFormat="1" applyFont="1" applyFill="1" applyBorder="1" applyAlignment="1">
      <alignment horizontal="center" vertical="center"/>
    </xf>
    <xf numFmtId="0" fontId="208" fillId="59" borderId="50" xfId="0" applyFont="1" applyFill="1" applyBorder="1" applyAlignment="1" applyProtection="1">
      <alignment horizontal="center" vertical="center" wrapText="1"/>
      <protection locked="0"/>
    </xf>
    <xf numFmtId="179" fontId="215" fillId="59" borderId="15" xfId="0" applyNumberFormat="1" applyFont="1" applyFill="1" applyBorder="1" applyAlignment="1">
      <alignment horizontal="center" vertical="center" wrapText="1"/>
    </xf>
    <xf numFmtId="199" fontId="208" fillId="0" borderId="207" xfId="0" applyNumberFormat="1" applyFont="1" applyBorder="1">
      <alignment vertical="center"/>
    </xf>
    <xf numFmtId="199" fontId="208" fillId="0" borderId="0" xfId="0" applyNumberFormat="1" applyFont="1">
      <alignment vertical="center"/>
    </xf>
    <xf numFmtId="179" fontId="215" fillId="0" borderId="55" xfId="0" applyNumberFormat="1" applyFont="1" applyBorder="1" applyAlignment="1">
      <alignment horizontal="center" vertical="center" wrapText="1"/>
    </xf>
    <xf numFmtId="0" fontId="208" fillId="59" borderId="27" xfId="0" applyFont="1" applyFill="1" applyBorder="1" applyAlignment="1" applyProtection="1">
      <alignment horizontal="center" vertical="center" wrapText="1"/>
      <protection locked="0"/>
    </xf>
    <xf numFmtId="199" fontId="208" fillId="0" borderId="10" xfId="0" applyNumberFormat="1" applyFont="1" applyBorder="1" applyProtection="1">
      <alignment vertical="center"/>
      <protection locked="0"/>
    </xf>
    <xf numFmtId="199" fontId="208" fillId="0" borderId="208" xfId="0" applyNumberFormat="1" applyFont="1" applyBorder="1">
      <alignment vertical="center"/>
    </xf>
    <xf numFmtId="179" fontId="215" fillId="0" borderId="10" xfId="0" applyNumberFormat="1" applyFont="1" applyBorder="1" applyAlignment="1">
      <alignment horizontal="center" vertical="center" wrapText="1"/>
    </xf>
    <xf numFmtId="0" fontId="208" fillId="0" borderId="51" xfId="0" applyFont="1" applyBorder="1" applyAlignment="1">
      <alignment horizontal="center" vertical="center" wrapText="1"/>
    </xf>
    <xf numFmtId="179" fontId="215" fillId="0" borderId="51" xfId="0" applyNumberFormat="1" applyFont="1" applyBorder="1" applyAlignment="1">
      <alignment horizontal="center" vertical="center" wrapText="1"/>
    </xf>
    <xf numFmtId="199" fontId="208" fillId="0" borderId="52" xfId="0" applyNumberFormat="1" applyFont="1" applyBorder="1">
      <alignment vertical="center"/>
    </xf>
    <xf numFmtId="199" fontId="208" fillId="0" borderId="51" xfId="0" applyNumberFormat="1" applyFont="1" applyBorder="1">
      <alignment vertical="center"/>
    </xf>
    <xf numFmtId="179" fontId="208" fillId="0" borderId="51" xfId="0" applyNumberFormat="1" applyFont="1" applyBorder="1" applyAlignment="1">
      <alignment horizontal="center" vertical="center" wrapText="1"/>
    </xf>
    <xf numFmtId="182" fontId="208" fillId="0" borderId="26" xfId="0" applyNumberFormat="1" applyFont="1" applyBorder="1" applyAlignment="1">
      <alignment horizontal="center" vertical="center" wrapText="1"/>
    </xf>
    <xf numFmtId="2" fontId="208" fillId="59" borderId="51" xfId="0" applyNumberFormat="1" applyFont="1" applyFill="1" applyBorder="1" applyAlignment="1">
      <alignment horizontal="center" vertical="center" wrapText="1"/>
    </xf>
    <xf numFmtId="0" fontId="208" fillId="59" borderId="51" xfId="0" applyFont="1" applyFill="1" applyBorder="1" applyAlignment="1" applyProtection="1">
      <alignment vertical="center" wrapText="1"/>
      <protection locked="0"/>
    </xf>
    <xf numFmtId="179" fontId="215" fillId="59" borderId="54" xfId="0" applyNumberFormat="1" applyFont="1" applyFill="1" applyBorder="1" applyAlignment="1">
      <alignment horizontal="center" vertical="center" wrapText="1"/>
    </xf>
    <xf numFmtId="0" fontId="208" fillId="59" borderId="15" xfId="0" applyFont="1" applyFill="1" applyBorder="1" applyAlignment="1">
      <alignment horizontal="center" vertical="center" wrapText="1"/>
    </xf>
    <xf numFmtId="0" fontId="208" fillId="59" borderId="15" xfId="0" applyFont="1" applyFill="1" applyBorder="1" applyAlignment="1" applyProtection="1">
      <alignment vertical="center" wrapText="1"/>
      <protection locked="0"/>
    </xf>
    <xf numFmtId="179" fontId="215" fillId="59" borderId="17" xfId="0" applyNumberFormat="1" applyFont="1" applyFill="1" applyBorder="1" applyAlignment="1">
      <alignment horizontal="center" vertical="center" wrapText="1"/>
    </xf>
    <xf numFmtId="0" fontId="208" fillId="59" borderId="55" xfId="0" applyFont="1" applyFill="1" applyBorder="1" applyAlignment="1" applyProtection="1">
      <alignment vertical="center" wrapText="1"/>
      <protection locked="0"/>
    </xf>
    <xf numFmtId="199" fontId="208" fillId="0" borderId="55" xfId="0" applyNumberFormat="1" applyFont="1" applyBorder="1">
      <alignment vertical="center"/>
    </xf>
    <xf numFmtId="0" fontId="208" fillId="0" borderId="55" xfId="0" applyFont="1" applyBorder="1" applyAlignment="1">
      <alignment horizontal="center" vertical="center" wrapText="1"/>
    </xf>
    <xf numFmtId="0" fontId="208" fillId="59" borderId="57" xfId="0" applyFont="1" applyFill="1" applyBorder="1" applyAlignment="1" applyProtection="1">
      <alignment horizontal="center" vertical="center" wrapText="1"/>
      <protection locked="0"/>
    </xf>
    <xf numFmtId="179" fontId="215" fillId="59" borderId="55" xfId="0" applyNumberFormat="1" applyFont="1" applyFill="1" applyBorder="1" applyAlignment="1">
      <alignment horizontal="center" vertical="center" wrapText="1"/>
    </xf>
    <xf numFmtId="179" fontId="208" fillId="59" borderId="15" xfId="0" applyNumberFormat="1" applyFont="1" applyFill="1" applyBorder="1" applyAlignment="1">
      <alignment horizontal="center" vertical="center" wrapText="1"/>
    </xf>
    <xf numFmtId="179" fontId="208" fillId="59" borderId="51" xfId="0" applyNumberFormat="1" applyFont="1" applyFill="1" applyBorder="1" applyAlignment="1">
      <alignment horizontal="center" vertical="center" wrapText="1"/>
    </xf>
    <xf numFmtId="179" fontId="208" fillId="59" borderId="55" xfId="0" applyNumberFormat="1" applyFont="1" applyFill="1" applyBorder="1" applyAlignment="1">
      <alignment horizontal="center" vertical="center" wrapText="1"/>
    </xf>
    <xf numFmtId="179" fontId="208" fillId="0" borderId="55" xfId="0" applyNumberFormat="1" applyFont="1" applyBorder="1" applyAlignment="1">
      <alignment horizontal="center" vertical="center" wrapText="1"/>
    </xf>
    <xf numFmtId="179" fontId="208" fillId="59" borderId="10" xfId="0" applyNumberFormat="1" applyFont="1" applyFill="1" applyBorder="1" applyAlignment="1">
      <alignment horizontal="center" vertical="center" wrapText="1"/>
    </xf>
    <xf numFmtId="199" fontId="208" fillId="0" borderId="10" xfId="0" applyNumberFormat="1" applyFont="1" applyBorder="1" applyAlignment="1">
      <alignment vertical="center" wrapText="1"/>
    </xf>
    <xf numFmtId="199" fontId="208" fillId="59" borderId="15" xfId="0" applyNumberFormat="1" applyFont="1" applyFill="1" applyBorder="1">
      <alignment vertical="center"/>
    </xf>
    <xf numFmtId="199" fontId="208" fillId="59" borderId="55" xfId="0" applyNumberFormat="1" applyFont="1" applyFill="1" applyBorder="1">
      <alignment vertical="center"/>
    </xf>
    <xf numFmtId="182" fontId="208" fillId="93" borderId="54" xfId="0" applyNumberFormat="1" applyFont="1" applyFill="1" applyBorder="1">
      <alignment vertical="center"/>
    </xf>
    <xf numFmtId="49" fontId="208" fillId="93" borderId="51" xfId="0" applyNumberFormat="1" applyFont="1" applyFill="1" applyBorder="1">
      <alignment vertical="center"/>
    </xf>
    <xf numFmtId="49" fontId="208" fillId="93" borderId="52" xfId="0" applyNumberFormat="1" applyFont="1" applyFill="1" applyBorder="1">
      <alignment vertical="center"/>
    </xf>
    <xf numFmtId="49" fontId="208" fillId="93" borderId="53" xfId="0" applyNumberFormat="1" applyFont="1" applyFill="1" applyBorder="1">
      <alignment vertical="center"/>
    </xf>
    <xf numFmtId="49" fontId="208" fillId="0" borderId="0" xfId="0" applyNumberFormat="1" applyFont="1" applyAlignment="1">
      <alignment horizontal="center" vertical="center" wrapText="1"/>
    </xf>
    <xf numFmtId="182" fontId="208" fillId="93" borderId="52" xfId="0" applyNumberFormat="1" applyFont="1" applyFill="1" applyBorder="1">
      <alignment vertical="center"/>
    </xf>
    <xf numFmtId="49" fontId="208" fillId="93" borderId="54" xfId="0" applyNumberFormat="1" applyFont="1" applyFill="1" applyBorder="1">
      <alignment vertical="center"/>
    </xf>
    <xf numFmtId="2" fontId="208" fillId="0" borderId="51" xfId="0" applyNumberFormat="1" applyFont="1" applyBorder="1" applyAlignment="1">
      <alignment horizontal="center" vertical="center" wrapText="1"/>
    </xf>
    <xf numFmtId="179" fontId="208" fillId="59" borderId="54" xfId="0" applyNumberFormat="1" applyFont="1" applyFill="1" applyBorder="1" applyAlignment="1">
      <alignment horizontal="center" vertical="center" wrapText="1"/>
    </xf>
    <xf numFmtId="0" fontId="208" fillId="0" borderId="15" xfId="0" applyFont="1" applyBorder="1" applyAlignment="1">
      <alignment horizontal="center" vertical="center" wrapText="1"/>
    </xf>
    <xf numFmtId="179" fontId="208" fillId="59" borderId="17" xfId="0" applyNumberFormat="1" applyFont="1" applyFill="1" applyBorder="1" applyAlignment="1">
      <alignment horizontal="center" vertical="center" wrapText="1"/>
    </xf>
    <xf numFmtId="0" fontId="208" fillId="59" borderId="58" xfId="0" applyFont="1" applyFill="1" applyBorder="1" applyAlignment="1" applyProtection="1">
      <alignment horizontal="center" vertical="center" wrapText="1"/>
      <protection locked="0"/>
    </xf>
    <xf numFmtId="0" fontId="208" fillId="59" borderId="51" xfId="0" applyFont="1" applyFill="1" applyBorder="1" applyAlignment="1" applyProtection="1">
      <alignment horizontal="center" vertical="center" wrapText="1"/>
      <protection locked="0"/>
    </xf>
    <xf numFmtId="0" fontId="208" fillId="59" borderId="15" xfId="0" applyFont="1" applyFill="1" applyBorder="1" applyAlignment="1" applyProtection="1">
      <alignment horizontal="center" vertical="center" wrapText="1"/>
      <protection locked="0"/>
    </xf>
    <xf numFmtId="0" fontId="208" fillId="59" borderId="55" xfId="0" applyFont="1" applyFill="1" applyBorder="1" applyAlignment="1" applyProtection="1">
      <alignment horizontal="center" vertical="center" wrapText="1"/>
      <protection locked="0"/>
    </xf>
    <xf numFmtId="0" fontId="208" fillId="0" borderId="57" xfId="0" applyFont="1" applyBorder="1" applyAlignment="1" applyProtection="1">
      <alignment horizontal="center" vertical="center" wrapText="1"/>
      <protection locked="0"/>
    </xf>
    <xf numFmtId="0" fontId="208" fillId="0" borderId="27" xfId="0" applyFont="1" applyBorder="1" applyAlignment="1" applyProtection="1">
      <alignment horizontal="center" vertical="center" wrapText="1"/>
      <protection locked="0"/>
    </xf>
    <xf numFmtId="0" fontId="208" fillId="0" borderId="53" xfId="0" applyFont="1" applyBorder="1" applyAlignment="1" applyProtection="1">
      <alignment horizontal="center" vertical="center" wrapText="1"/>
      <protection locked="0"/>
    </xf>
    <xf numFmtId="0" fontId="208" fillId="0" borderId="10" xfId="0" applyFont="1" applyBorder="1" applyAlignment="1" applyProtection="1">
      <alignment horizontal="center" vertical="center" wrapText="1"/>
      <protection locked="0"/>
    </xf>
    <xf numFmtId="0" fontId="208" fillId="0" borderId="10" xfId="0" applyFont="1" applyBorder="1" applyProtection="1">
      <alignment vertical="center"/>
      <protection locked="0"/>
    </xf>
    <xf numFmtId="182" fontId="208" fillId="0" borderId="55" xfId="0" applyNumberFormat="1" applyFont="1" applyBorder="1" applyAlignment="1">
      <alignment horizontal="center" vertical="center" wrapText="1"/>
    </xf>
    <xf numFmtId="0" fontId="208" fillId="59" borderId="10" xfId="0" applyFont="1" applyFill="1" applyBorder="1" applyAlignment="1">
      <alignment horizontal="center" vertical="center" wrapText="1"/>
    </xf>
    <xf numFmtId="0" fontId="208" fillId="0" borderId="54" xfId="0" applyFont="1" applyBorder="1" applyAlignment="1" applyProtection="1">
      <alignment horizontal="center" vertical="center" wrapText="1"/>
      <protection locked="0"/>
    </xf>
    <xf numFmtId="0" fontId="208" fillId="0" borderId="0" xfId="0" applyFont="1" applyAlignment="1">
      <alignment horizontal="left" vertical="center" wrapText="1"/>
    </xf>
    <xf numFmtId="0" fontId="208" fillId="0" borderId="53" xfId="0" applyFont="1" applyBorder="1">
      <alignment vertical="center"/>
    </xf>
    <xf numFmtId="182" fontId="208" fillId="0" borderId="53" xfId="0" applyNumberFormat="1" applyFont="1" applyBorder="1" applyAlignment="1">
      <alignment horizontal="center" vertical="center" wrapText="1"/>
    </xf>
    <xf numFmtId="0" fontId="208" fillId="0" borderId="53" xfId="0" applyFont="1" applyBorder="1" applyAlignment="1">
      <alignment horizontal="center" vertical="center" wrapText="1"/>
    </xf>
    <xf numFmtId="0" fontId="208" fillId="0" borderId="10" xfId="0" applyFont="1" applyBorder="1" applyAlignment="1">
      <alignment horizontal="right" vertical="center"/>
    </xf>
    <xf numFmtId="182" fontId="210" fillId="94" borderId="10" xfId="0" applyNumberFormat="1" applyFont="1" applyFill="1" applyBorder="1" applyAlignment="1">
      <alignment horizontal="center" vertical="center" wrapText="1"/>
    </xf>
    <xf numFmtId="179" fontId="210" fillId="94" borderId="10" xfId="0" applyNumberFormat="1" applyFont="1" applyFill="1" applyBorder="1" applyAlignment="1">
      <alignment horizontal="center" vertical="center" wrapText="1"/>
    </xf>
    <xf numFmtId="2" fontId="208" fillId="0" borderId="10" xfId="0" applyNumberFormat="1" applyFont="1" applyBorder="1" applyAlignment="1">
      <alignment horizontal="center" vertical="center"/>
    </xf>
    <xf numFmtId="2" fontId="208" fillId="0" borderId="10" xfId="0" applyNumberFormat="1" applyFont="1" applyBorder="1">
      <alignment vertical="center"/>
    </xf>
    <xf numFmtId="182" fontId="208" fillId="0" borderId="0" xfId="0" applyNumberFormat="1" applyFont="1">
      <alignment vertical="center"/>
    </xf>
    <xf numFmtId="179" fontId="210" fillId="0" borderId="0" xfId="0" applyNumberFormat="1" applyFont="1" applyAlignment="1">
      <alignment horizontal="center" vertical="center"/>
    </xf>
    <xf numFmtId="182" fontId="210" fillId="94" borderId="10" xfId="0" applyNumberFormat="1" applyFont="1" applyFill="1" applyBorder="1" applyAlignment="1">
      <alignment horizontal="center" vertical="center"/>
    </xf>
    <xf numFmtId="179" fontId="210" fillId="94" borderId="10" xfId="0" applyNumberFormat="1" applyFont="1" applyFill="1" applyBorder="1" applyAlignment="1">
      <alignment horizontal="center" vertical="center"/>
    </xf>
    <xf numFmtId="199" fontId="229" fillId="72" borderId="10" xfId="0" applyNumberFormat="1" applyFont="1" applyFill="1" applyBorder="1" applyAlignment="1">
      <alignment horizontal="center" vertical="center"/>
    </xf>
    <xf numFmtId="179" fontId="229" fillId="72" borderId="10" xfId="0" applyNumberFormat="1" applyFont="1" applyFill="1" applyBorder="1" applyAlignment="1">
      <alignment horizontal="center" vertical="center" wrapText="1"/>
    </xf>
    <xf numFmtId="0" fontId="208" fillId="53" borderId="50" xfId="0" applyFont="1" applyFill="1" applyBorder="1" applyAlignment="1">
      <alignment vertical="center" wrapText="1"/>
    </xf>
    <xf numFmtId="49" fontId="208" fillId="53" borderId="50" xfId="0" applyNumberFormat="1" applyFont="1" applyFill="1" applyBorder="1">
      <alignment vertical="center"/>
    </xf>
    <xf numFmtId="49" fontId="216" fillId="53" borderId="50" xfId="0" applyNumberFormat="1" applyFont="1" applyFill="1" applyBorder="1">
      <alignment vertical="center"/>
    </xf>
    <xf numFmtId="49" fontId="217" fillId="53" borderId="50" xfId="0" applyNumberFormat="1" applyFont="1" applyFill="1" applyBorder="1">
      <alignment vertical="center"/>
    </xf>
    <xf numFmtId="49" fontId="208" fillId="53" borderId="50" xfId="0" applyNumberFormat="1" applyFont="1" applyFill="1" applyBorder="1" applyAlignment="1">
      <alignment horizontal="left" vertical="center" wrapText="1"/>
    </xf>
    <xf numFmtId="182" fontId="219" fillId="53" borderId="27" xfId="0" applyNumberFormat="1" applyFont="1" applyFill="1" applyBorder="1" applyAlignment="1">
      <alignment horizontal="center" vertical="center" shrinkToFit="1"/>
    </xf>
    <xf numFmtId="0" fontId="208" fillId="53" borderId="50" xfId="0" applyFont="1" applyFill="1" applyBorder="1" applyAlignment="1">
      <alignment vertical="center" readingOrder="1"/>
    </xf>
    <xf numFmtId="0" fontId="216" fillId="53" borderId="50" xfId="0" applyFont="1" applyFill="1" applyBorder="1" applyAlignment="1">
      <alignment vertical="center" readingOrder="1"/>
    </xf>
    <xf numFmtId="0" fontId="217" fillId="53" borderId="50" xfId="0" applyFont="1" applyFill="1" applyBorder="1">
      <alignment vertical="center"/>
    </xf>
    <xf numFmtId="0" fontId="208" fillId="53" borderId="50" xfId="0" applyFont="1" applyFill="1" applyBorder="1" applyAlignment="1">
      <alignment horizontal="left" vertical="center" wrapText="1"/>
    </xf>
    <xf numFmtId="0" fontId="208" fillId="53" borderId="50" xfId="0" applyFont="1" applyFill="1" applyBorder="1" applyAlignment="1">
      <alignment horizontal="left" vertical="center"/>
    </xf>
    <xf numFmtId="49" fontId="208" fillId="53" borderId="53" xfId="0" applyNumberFormat="1" applyFont="1" applyFill="1" applyBorder="1">
      <alignment vertical="center"/>
    </xf>
    <xf numFmtId="49" fontId="208" fillId="53" borderId="54" xfId="0" applyNumberFormat="1" applyFont="1" applyFill="1" applyBorder="1">
      <alignment vertical="center"/>
    </xf>
    <xf numFmtId="182" fontId="208" fillId="53" borderId="52" xfId="0" applyNumberFormat="1" applyFont="1" applyFill="1" applyBorder="1">
      <alignment vertical="center"/>
    </xf>
    <xf numFmtId="49" fontId="208" fillId="53" borderId="26" xfId="0" applyNumberFormat="1" applyFont="1" applyFill="1" applyBorder="1">
      <alignment vertical="center"/>
    </xf>
    <xf numFmtId="49" fontId="208" fillId="53" borderId="27" xfId="0" applyNumberFormat="1" applyFont="1" applyFill="1" applyBorder="1">
      <alignment vertical="center"/>
    </xf>
    <xf numFmtId="49" fontId="208" fillId="53" borderId="10" xfId="0" applyNumberFormat="1" applyFont="1" applyFill="1" applyBorder="1">
      <alignment vertical="center"/>
    </xf>
    <xf numFmtId="0" fontId="208" fillId="53" borderId="51" xfId="0" applyFont="1" applyFill="1" applyBorder="1">
      <alignment vertical="center"/>
    </xf>
    <xf numFmtId="0" fontId="208" fillId="53" borderId="52" xfId="0" applyFont="1" applyFill="1" applyBorder="1">
      <alignment vertical="center"/>
    </xf>
    <xf numFmtId="0" fontId="208" fillId="53" borderId="53" xfId="0" applyFont="1" applyFill="1" applyBorder="1">
      <alignment vertical="center"/>
    </xf>
    <xf numFmtId="0" fontId="208" fillId="53" borderId="54" xfId="0" applyFont="1" applyFill="1" applyBorder="1">
      <alignment vertical="center"/>
    </xf>
    <xf numFmtId="0" fontId="208" fillId="53" borderId="53" xfId="0" applyFont="1" applyFill="1" applyBorder="1" applyAlignment="1">
      <alignment horizontal="center" vertical="center"/>
    </xf>
    <xf numFmtId="0" fontId="50" fillId="50" borderId="10" xfId="0" applyFont="1" applyFill="1" applyBorder="1" applyAlignment="1" applyProtection="1">
      <alignment horizontal="center" vertical="center"/>
      <protection hidden="1"/>
    </xf>
    <xf numFmtId="0" fontId="234" fillId="50" borderId="10" xfId="0" applyFont="1" applyFill="1" applyBorder="1" applyAlignment="1" applyProtection="1">
      <alignment horizontal="center" vertical="center"/>
      <protection hidden="1"/>
    </xf>
    <xf numFmtId="199" fontId="50" fillId="50" borderId="10" xfId="0" applyNumberFormat="1" applyFont="1" applyFill="1" applyBorder="1" applyAlignment="1" applyProtection="1">
      <alignment horizontal="center" vertical="center"/>
      <protection hidden="1"/>
    </xf>
    <xf numFmtId="0" fontId="57" fillId="0" borderId="187" xfId="0" applyFont="1" applyBorder="1" applyProtection="1">
      <alignment vertical="center"/>
      <protection hidden="1"/>
    </xf>
    <xf numFmtId="0" fontId="57" fillId="0" borderId="173" xfId="0" applyFont="1" applyBorder="1" applyProtection="1">
      <alignment vertical="center"/>
      <protection hidden="1"/>
    </xf>
    <xf numFmtId="0" fontId="68" fillId="0" borderId="173" xfId="0" applyFont="1" applyBorder="1" applyProtection="1">
      <alignment vertical="center"/>
      <protection hidden="1"/>
    </xf>
    <xf numFmtId="0" fontId="57" fillId="0" borderId="212" xfId="0" applyFont="1" applyBorder="1" applyProtection="1">
      <alignment vertical="center"/>
      <protection hidden="1"/>
    </xf>
    <xf numFmtId="0" fontId="68" fillId="0" borderId="65" xfId="0" applyFont="1" applyBorder="1" applyProtection="1">
      <alignment vertical="center"/>
      <protection hidden="1"/>
    </xf>
    <xf numFmtId="178" fontId="57" fillId="50" borderId="10" xfId="0" applyNumberFormat="1" applyFont="1" applyFill="1" applyBorder="1" applyAlignment="1" applyProtection="1">
      <alignment horizontal="right" vertical="center"/>
      <protection hidden="1"/>
    </xf>
    <xf numFmtId="178" fontId="57" fillId="50" borderId="10" xfId="0" applyNumberFormat="1" applyFont="1" applyFill="1" applyBorder="1" applyProtection="1">
      <alignment vertical="center"/>
      <protection hidden="1"/>
    </xf>
    <xf numFmtId="0" fontId="208" fillId="59" borderId="10" xfId="0" applyFont="1" applyFill="1" applyBorder="1" applyAlignment="1">
      <alignment horizontal="left" vertical="center" wrapText="1"/>
    </xf>
    <xf numFmtId="0" fontId="208" fillId="59" borderId="51" xfId="0" applyFont="1" applyFill="1" applyBorder="1" applyAlignment="1">
      <alignment horizontal="left" vertical="center" wrapText="1"/>
    </xf>
    <xf numFmtId="0" fontId="208" fillId="59" borderId="15" xfId="0" applyFont="1" applyFill="1" applyBorder="1" applyAlignment="1">
      <alignment horizontal="left" vertical="center" wrapText="1"/>
    </xf>
    <xf numFmtId="0" fontId="208" fillId="59" borderId="55" xfId="0" applyFont="1" applyFill="1" applyBorder="1" applyAlignment="1">
      <alignment horizontal="left" vertical="center" wrapText="1"/>
    </xf>
    <xf numFmtId="0" fontId="237" fillId="0" borderId="10" xfId="0" applyFont="1" applyBorder="1" applyAlignment="1">
      <alignment vertical="center" wrapText="1"/>
    </xf>
    <xf numFmtId="0" fontId="231" fillId="58" borderId="144" xfId="50" applyFont="1" applyFill="1" applyBorder="1" applyProtection="1">
      <alignment vertical="center"/>
      <protection locked="0"/>
    </xf>
    <xf numFmtId="0" fontId="64" fillId="37" borderId="59" xfId="0" applyFont="1" applyFill="1" applyBorder="1" applyAlignment="1">
      <alignment horizontal="left" vertical="center"/>
    </xf>
    <xf numFmtId="0" fontId="34" fillId="0" borderId="0" xfId="0" applyFont="1" applyAlignment="1">
      <alignment horizontal="left" vertical="center"/>
    </xf>
    <xf numFmtId="38" fontId="33" fillId="58" borderId="10" xfId="35" applyFont="1" applyFill="1" applyBorder="1" applyProtection="1">
      <alignment vertical="center"/>
      <protection locked="0"/>
    </xf>
    <xf numFmtId="10" fontId="33" fillId="51" borderId="10" xfId="28" applyNumberFormat="1" applyFont="1" applyFill="1" applyBorder="1">
      <alignment vertical="center"/>
    </xf>
    <xf numFmtId="0" fontId="238" fillId="69" borderId="51" xfId="0" applyFont="1" applyFill="1" applyBorder="1" applyAlignment="1">
      <alignment vertical="center" shrinkToFit="1"/>
    </xf>
    <xf numFmtId="0" fontId="238" fillId="69" borderId="10" xfId="0" applyFont="1" applyFill="1" applyBorder="1" applyAlignment="1">
      <alignment vertical="center" shrinkToFit="1"/>
    </xf>
    <xf numFmtId="0" fontId="189" fillId="0" borderId="0" xfId="0" applyFont="1" applyAlignment="1">
      <alignment horizontal="right" vertical="center"/>
    </xf>
    <xf numFmtId="40" fontId="189" fillId="51" borderId="10" xfId="35" applyNumberFormat="1" applyFont="1" applyFill="1" applyBorder="1" applyProtection="1">
      <alignment vertical="center"/>
      <protection locked="0"/>
    </xf>
    <xf numFmtId="183" fontId="192" fillId="51" borderId="10" xfId="0" applyNumberFormat="1" applyFont="1" applyFill="1" applyBorder="1" applyAlignment="1">
      <alignment horizontal="center" vertical="center"/>
    </xf>
    <xf numFmtId="40" fontId="38" fillId="27" borderId="12" xfId="0" applyNumberFormat="1" applyFont="1" applyFill="1" applyBorder="1" applyAlignment="1">
      <alignment horizontal="center" vertical="center" wrapText="1"/>
    </xf>
    <xf numFmtId="0" fontId="38" fillId="27" borderId="174" xfId="0" applyFont="1" applyFill="1" applyBorder="1" applyAlignment="1" applyProtection="1">
      <alignment vertical="center" wrapText="1"/>
      <protection locked="0"/>
    </xf>
    <xf numFmtId="38" fontId="38" fillId="27" borderId="15" xfId="35" applyFont="1" applyFill="1" applyBorder="1" applyAlignment="1">
      <alignment horizontal="center" vertical="center" wrapText="1" shrinkToFit="1"/>
    </xf>
    <xf numFmtId="187" fontId="38" fillId="27" borderId="169" xfId="0" applyNumberFormat="1" applyFont="1" applyFill="1" applyBorder="1" applyAlignment="1">
      <alignment horizontal="center" vertical="center" wrapText="1" shrinkToFit="1"/>
    </xf>
    <xf numFmtId="187" fontId="239" fillId="58" borderId="10" xfId="0" applyNumberFormat="1" applyFont="1" applyFill="1" applyBorder="1" applyAlignment="1" applyProtection="1">
      <alignment horizontal="center" vertical="center" wrapText="1" shrinkToFit="1"/>
      <protection locked="0"/>
    </xf>
    <xf numFmtId="0" fontId="0" fillId="27" borderId="26" xfId="45" applyFont="1" applyFill="1" applyBorder="1" applyAlignment="1" applyProtection="1">
      <alignment vertical="center"/>
      <protection locked="0"/>
    </xf>
    <xf numFmtId="0" fontId="0" fillId="27" borderId="10" xfId="45" applyFont="1" applyFill="1" applyBorder="1" applyAlignment="1" applyProtection="1">
      <alignment vertical="center"/>
      <protection locked="0"/>
    </xf>
    <xf numFmtId="0" fontId="0" fillId="58" borderId="10" xfId="45" applyFont="1" applyFill="1" applyBorder="1" applyAlignment="1" applyProtection="1">
      <alignment vertical="center"/>
      <protection locked="0"/>
    </xf>
    <xf numFmtId="200" fontId="12" fillId="58" borderId="10" xfId="45" applyNumberFormat="1" applyFill="1" applyBorder="1" applyAlignment="1" applyProtection="1">
      <alignment vertical="center"/>
      <protection locked="0"/>
    </xf>
    <xf numFmtId="0" fontId="0" fillId="27" borderId="64" xfId="0" applyFill="1" applyBorder="1">
      <alignment vertical="center"/>
    </xf>
    <xf numFmtId="0" fontId="190" fillId="27" borderId="64" xfId="0" applyFont="1" applyFill="1" applyBorder="1">
      <alignment vertical="center"/>
    </xf>
    <xf numFmtId="200" fontId="38" fillId="0" borderId="0" xfId="44" applyNumberFormat="1" applyFont="1"/>
    <xf numFmtId="38" fontId="239" fillId="0" borderId="10" xfId="35" applyFont="1" applyBorder="1" applyAlignment="1">
      <alignment vertical="top"/>
    </xf>
    <xf numFmtId="206" fontId="239" fillId="0" borderId="10" xfId="0" applyNumberFormat="1" applyFont="1" applyBorder="1" applyAlignment="1">
      <alignment vertical="top"/>
    </xf>
    <xf numFmtId="0" fontId="239" fillId="0" borderId="26" xfId="0" applyFont="1" applyBorder="1" applyAlignment="1">
      <alignment vertical="top"/>
    </xf>
    <xf numFmtId="40" fontId="50" fillId="27" borderId="0" xfId="35" applyNumberFormat="1" applyFont="1" applyFill="1" applyBorder="1" applyAlignment="1" applyProtection="1">
      <alignment horizontal="right" vertical="center"/>
    </xf>
    <xf numFmtId="0" fontId="190" fillId="27" borderId="52" xfId="0" applyFont="1" applyFill="1" applyBorder="1">
      <alignment vertical="center"/>
    </xf>
    <xf numFmtId="0" fontId="33" fillId="27" borderId="77" xfId="0" applyFont="1" applyFill="1" applyBorder="1" applyProtection="1">
      <alignment vertical="center"/>
      <protection hidden="1"/>
    </xf>
    <xf numFmtId="0" fontId="33" fillId="27" borderId="195" xfId="0" applyFont="1" applyFill="1" applyBorder="1" applyProtection="1">
      <alignment vertical="center"/>
      <protection hidden="1"/>
    </xf>
    <xf numFmtId="183" fontId="192" fillId="51" borderId="148" xfId="0" applyNumberFormat="1" applyFont="1" applyFill="1" applyBorder="1" applyAlignment="1">
      <alignment horizontal="center" vertical="center"/>
    </xf>
    <xf numFmtId="0" fontId="0" fillId="27" borderId="174" xfId="0" quotePrefix="1" applyFill="1" applyBorder="1" applyAlignment="1" applyProtection="1">
      <alignment horizontal="center" vertical="center" wrapText="1"/>
      <protection hidden="1"/>
    </xf>
    <xf numFmtId="193" fontId="31" fillId="27" borderId="100" xfId="0" applyNumberFormat="1" applyFont="1" applyFill="1" applyBorder="1" applyAlignment="1" applyProtection="1">
      <alignment horizontal="center" vertical="center" wrapText="1"/>
      <protection hidden="1"/>
    </xf>
    <xf numFmtId="193" fontId="31" fillId="27" borderId="194" xfId="0" applyNumberFormat="1" applyFont="1" applyFill="1" applyBorder="1" applyAlignment="1" applyProtection="1">
      <alignment horizontal="center" vertical="center" wrapText="1"/>
      <protection hidden="1"/>
    </xf>
    <xf numFmtId="0" fontId="0" fillId="27" borderId="14" xfId="0" quotePrefix="1" applyFill="1" applyBorder="1" applyAlignment="1" applyProtection="1">
      <alignment horizontal="center" vertical="center" wrapText="1"/>
      <protection hidden="1"/>
    </xf>
    <xf numFmtId="0" fontId="0" fillId="27" borderId="11" xfId="0" applyFill="1" applyBorder="1" applyAlignment="1">
      <alignment horizontal="center" vertical="center" wrapText="1"/>
    </xf>
    <xf numFmtId="49" fontId="208" fillId="0" borderId="51" xfId="0" applyNumberFormat="1" applyFont="1" applyBorder="1" applyAlignment="1">
      <alignment horizontal="center" vertical="center" wrapText="1" readingOrder="1"/>
    </xf>
    <xf numFmtId="0" fontId="223" fillId="0" borderId="10" xfId="0" applyFont="1" applyBorder="1" applyAlignment="1">
      <alignment vertical="center" wrapText="1" readingOrder="1"/>
    </xf>
    <xf numFmtId="0" fontId="208" fillId="0" borderId="51" xfId="0" applyFont="1" applyBorder="1" applyAlignment="1">
      <alignment vertical="center" wrapText="1" readingOrder="1"/>
    </xf>
    <xf numFmtId="0" fontId="208" fillId="59" borderId="52" xfId="0" applyFont="1" applyFill="1" applyBorder="1" applyAlignment="1">
      <alignment horizontal="center" vertical="center" wrapText="1"/>
    </xf>
    <xf numFmtId="49" fontId="208" fillId="0" borderId="26" xfId="0" applyNumberFormat="1" applyFont="1" applyBorder="1" applyAlignment="1">
      <alignment horizontal="center" vertical="center" wrapText="1"/>
    </xf>
    <xf numFmtId="0" fontId="216" fillId="0" borderId="51" xfId="0" applyFont="1" applyBorder="1" applyAlignment="1">
      <alignment vertical="center" wrapText="1"/>
    </xf>
    <xf numFmtId="0" fontId="208" fillId="0" borderId="10" xfId="0" applyFont="1" applyBorder="1">
      <alignment vertical="center"/>
    </xf>
    <xf numFmtId="0" fontId="208" fillId="0" borderId="51" xfId="0" applyFont="1" applyBorder="1" applyAlignment="1">
      <alignment horizontal="left" vertical="center" wrapText="1"/>
    </xf>
    <xf numFmtId="0" fontId="215" fillId="0" borderId="10" xfId="49" applyFont="1" applyBorder="1" applyAlignment="1">
      <alignment horizontal="left" vertical="center" wrapText="1"/>
    </xf>
    <xf numFmtId="0" fontId="208" fillId="0" borderId="51" xfId="0" applyFont="1" applyBorder="1" applyAlignment="1">
      <alignment horizontal="left" vertical="center" wrapText="1" readingOrder="1"/>
    </xf>
    <xf numFmtId="0" fontId="216" fillId="0" borderId="10" xfId="0" applyFont="1" applyBorder="1" applyAlignment="1">
      <alignment horizontal="center" vertical="center" wrapText="1"/>
    </xf>
    <xf numFmtId="0" fontId="217" fillId="96" borderId="51" xfId="0" applyFont="1" applyFill="1" applyBorder="1" applyAlignment="1">
      <alignment vertical="center" wrapText="1"/>
    </xf>
    <xf numFmtId="0" fontId="217" fillId="96" borderId="10" xfId="0" applyFont="1" applyFill="1" applyBorder="1" applyAlignment="1">
      <alignment vertical="center" wrapText="1"/>
    </xf>
    <xf numFmtId="199" fontId="208" fillId="0" borderId="207" xfId="0" applyNumberFormat="1" applyFont="1" applyBorder="1" applyProtection="1">
      <alignment vertical="center"/>
      <protection locked="0"/>
    </xf>
    <xf numFmtId="0" fontId="208" fillId="0" borderId="0" xfId="0" applyFont="1" applyAlignment="1">
      <alignment vertical="center" wrapText="1"/>
    </xf>
    <xf numFmtId="0" fontId="229" fillId="69" borderId="52" xfId="0" applyFont="1" applyFill="1" applyBorder="1">
      <alignment vertical="center"/>
    </xf>
    <xf numFmtId="0" fontId="229" fillId="69" borderId="53" xfId="0" applyFont="1" applyFill="1" applyBorder="1">
      <alignment vertical="center"/>
    </xf>
    <xf numFmtId="0" fontId="217" fillId="69" borderId="52" xfId="0" applyFont="1" applyFill="1" applyBorder="1">
      <alignment vertical="center"/>
    </xf>
    <xf numFmtId="0" fontId="217" fillId="69" borderId="53" xfId="0" applyFont="1" applyFill="1" applyBorder="1">
      <alignment vertical="center"/>
    </xf>
    <xf numFmtId="49" fontId="217" fillId="69" borderId="53" xfId="0" applyNumberFormat="1" applyFont="1" applyFill="1" applyBorder="1">
      <alignment vertical="center"/>
    </xf>
    <xf numFmtId="49" fontId="217" fillId="69" borderId="52" xfId="0" applyNumberFormat="1" applyFont="1" applyFill="1" applyBorder="1">
      <alignment vertical="center"/>
    </xf>
    <xf numFmtId="190" fontId="27" fillId="51" borderId="50" xfId="0" applyNumberFormat="1" applyFont="1" applyFill="1" applyBorder="1">
      <alignment vertical="center"/>
    </xf>
    <xf numFmtId="0" fontId="33" fillId="27" borderId="0" xfId="0" applyFont="1" applyFill="1" applyAlignment="1" applyProtection="1">
      <alignment horizontal="right" vertical="center"/>
      <protection hidden="1"/>
    </xf>
    <xf numFmtId="0" fontId="33" fillId="27" borderId="168" xfId="0" applyFont="1" applyFill="1" applyBorder="1" applyProtection="1">
      <alignment vertical="center"/>
      <protection hidden="1"/>
    </xf>
    <xf numFmtId="0" fontId="115" fillId="37" borderId="59" xfId="0" applyFont="1" applyFill="1" applyBorder="1" applyProtection="1">
      <alignment vertical="center"/>
      <protection hidden="1"/>
    </xf>
    <xf numFmtId="0" fontId="116" fillId="37" borderId="60" xfId="0" applyFont="1" applyFill="1" applyBorder="1" applyAlignment="1" applyProtection="1">
      <alignment horizontal="left" vertical="center"/>
      <protection hidden="1"/>
    </xf>
    <xf numFmtId="0" fontId="116" fillId="37" borderId="60" xfId="0" applyFont="1" applyFill="1" applyBorder="1" applyProtection="1">
      <alignment vertical="center"/>
      <protection hidden="1"/>
    </xf>
    <xf numFmtId="0" fontId="115" fillId="37" borderId="60" xfId="0" applyFont="1" applyFill="1" applyBorder="1" applyProtection="1">
      <alignment vertical="center"/>
      <protection hidden="1"/>
    </xf>
    <xf numFmtId="0" fontId="117" fillId="37" borderId="61" xfId="0" applyFont="1" applyFill="1" applyBorder="1" applyProtection="1">
      <alignment vertical="center"/>
      <protection hidden="1"/>
    </xf>
    <xf numFmtId="0" fontId="97" fillId="29" borderId="65" xfId="0" applyFont="1" applyFill="1" applyBorder="1" applyProtection="1">
      <alignment vertical="center"/>
      <protection hidden="1"/>
    </xf>
    <xf numFmtId="0" fontId="86" fillId="29" borderId="66" xfId="0" applyFont="1" applyFill="1" applyBorder="1" applyAlignment="1" applyProtection="1">
      <alignment horizontal="left" vertical="center"/>
      <protection hidden="1"/>
    </xf>
    <xf numFmtId="0" fontId="118" fillId="29" borderId="66" xfId="0" applyFont="1" applyFill="1" applyBorder="1" applyProtection="1">
      <alignment vertical="center"/>
      <protection hidden="1"/>
    </xf>
    <xf numFmtId="0" fontId="119" fillId="29" borderId="66" xfId="0" applyFont="1" applyFill="1" applyBorder="1" applyProtection="1">
      <alignment vertical="center"/>
      <protection hidden="1"/>
    </xf>
    <xf numFmtId="0" fontId="119" fillId="29" borderId="67" xfId="0" applyFont="1" applyFill="1" applyBorder="1" applyProtection="1">
      <alignment vertical="center"/>
      <protection hidden="1"/>
    </xf>
    <xf numFmtId="0" fontId="243" fillId="30" borderId="59" xfId="0" applyFont="1" applyFill="1" applyBorder="1" applyProtection="1">
      <alignment vertical="center"/>
      <protection hidden="1"/>
    </xf>
    <xf numFmtId="0" fontId="242" fillId="30" borderId="60" xfId="0" applyFont="1" applyFill="1" applyBorder="1" applyProtection="1">
      <alignment vertical="center"/>
      <protection hidden="1"/>
    </xf>
    <xf numFmtId="0" fontId="246" fillId="0" borderId="65" xfId="0" applyFont="1" applyBorder="1" applyAlignment="1" applyProtection="1">
      <alignment horizontal="left" vertical="center"/>
      <protection hidden="1"/>
    </xf>
    <xf numFmtId="0" fontId="246" fillId="0" borderId="66" xfId="0" applyFont="1" applyBorder="1">
      <alignment vertical="center"/>
    </xf>
    <xf numFmtId="0" fontId="246" fillId="0" borderId="84" xfId="0" applyFont="1" applyBorder="1">
      <alignment vertical="center"/>
    </xf>
    <xf numFmtId="0" fontId="246" fillId="0" borderId="64" xfId="0" applyFont="1" applyBorder="1" applyAlignment="1" applyProtection="1">
      <alignment horizontal="center" vertical="center"/>
      <protection hidden="1"/>
    </xf>
    <xf numFmtId="0" fontId="247" fillId="97" borderId="72" xfId="0" applyFont="1" applyFill="1" applyBorder="1" applyProtection="1">
      <alignment vertical="center"/>
      <protection hidden="1"/>
    </xf>
    <xf numFmtId="0" fontId="242" fillId="97" borderId="73" xfId="0" applyFont="1" applyFill="1" applyBorder="1" applyAlignment="1" applyProtection="1">
      <alignment horizontal="center" vertical="center"/>
      <protection hidden="1"/>
    </xf>
    <xf numFmtId="0" fontId="242" fillId="97" borderId="73" xfId="0" applyFont="1" applyFill="1" applyBorder="1" applyAlignment="1" applyProtection="1">
      <alignment horizontal="left" vertical="center"/>
      <protection hidden="1"/>
    </xf>
    <xf numFmtId="0" fontId="242" fillId="97" borderId="73" xfId="0" applyFont="1" applyFill="1" applyBorder="1" applyProtection="1">
      <alignment vertical="center"/>
      <protection hidden="1"/>
    </xf>
    <xf numFmtId="0" fontId="247" fillId="97" borderId="73" xfId="0" applyFont="1" applyFill="1" applyBorder="1" applyAlignment="1" applyProtection="1">
      <alignment horizontal="center" vertical="center"/>
      <protection hidden="1"/>
    </xf>
    <xf numFmtId="199" fontId="247" fillId="97" borderId="75" xfId="0" applyNumberFormat="1" applyFont="1" applyFill="1" applyBorder="1" applyAlignment="1" applyProtection="1">
      <alignment horizontal="center" vertical="center"/>
      <protection hidden="1"/>
    </xf>
    <xf numFmtId="0" fontId="242" fillId="0" borderId="89" xfId="0" applyFont="1" applyBorder="1" applyAlignment="1" applyProtection="1">
      <alignment horizontal="left" vertical="top"/>
      <protection hidden="1"/>
    </xf>
    <xf numFmtId="0" fontId="248" fillId="0" borderId="53" xfId="0" applyFont="1" applyBorder="1" applyAlignment="1" applyProtection="1">
      <alignment horizontal="left" vertical="top"/>
      <protection hidden="1"/>
    </xf>
    <xf numFmtId="0" fontId="242" fillId="0" borderId="53" xfId="0" applyFont="1" applyBorder="1" applyAlignment="1" applyProtection="1">
      <alignment horizontal="center" vertical="center"/>
      <protection hidden="1"/>
    </xf>
    <xf numFmtId="0" fontId="242" fillId="0" borderId="53" xfId="0" applyFont="1" applyBorder="1" applyAlignment="1" applyProtection="1">
      <alignment horizontal="left" vertical="center"/>
      <protection hidden="1"/>
    </xf>
    <xf numFmtId="0" fontId="242" fillId="0" borderId="64" xfId="0" applyFont="1" applyBorder="1" applyAlignment="1" applyProtection="1">
      <alignment horizontal="left" vertical="center" shrinkToFit="1"/>
      <protection locked="0"/>
    </xf>
    <xf numFmtId="0" fontId="148" fillId="0" borderId="0" xfId="0" quotePrefix="1" applyFont="1">
      <alignment vertical="center"/>
    </xf>
    <xf numFmtId="0" fontId="242" fillId="0" borderId="62" xfId="0" applyFont="1" applyBorder="1" applyAlignment="1" applyProtection="1">
      <alignment horizontal="left" vertical="top"/>
      <protection hidden="1"/>
    </xf>
    <xf numFmtId="0" fontId="242" fillId="0" borderId="0" xfId="0" applyFont="1" applyAlignment="1" applyProtection="1">
      <alignment horizontal="center" vertical="top"/>
      <protection hidden="1"/>
    </xf>
    <xf numFmtId="0" fontId="242" fillId="0" borderId="0" xfId="0" applyFont="1" applyAlignment="1" applyProtection="1">
      <alignment horizontal="left" vertical="top"/>
      <protection hidden="1"/>
    </xf>
    <xf numFmtId="0" fontId="242" fillId="0" borderId="77" xfId="0" applyFont="1" applyBorder="1" applyAlignment="1" applyProtection="1">
      <alignment horizontal="left" vertical="top"/>
      <protection hidden="1"/>
    </xf>
    <xf numFmtId="0" fontId="242" fillId="0" borderId="57" xfId="0" applyFont="1" applyBorder="1" applyAlignment="1" applyProtection="1">
      <alignment horizontal="center" vertical="top"/>
      <protection hidden="1"/>
    </xf>
    <xf numFmtId="0" fontId="242" fillId="0" borderId="57" xfId="0" applyFont="1" applyBorder="1" applyAlignment="1" applyProtection="1">
      <alignment horizontal="left" vertical="top"/>
      <protection hidden="1"/>
    </xf>
    <xf numFmtId="0" fontId="242" fillId="0" borderId="56" xfId="0" applyFont="1" applyBorder="1" applyAlignment="1" applyProtection="1">
      <alignment horizontal="left" vertical="center" shrinkToFit="1"/>
      <protection locked="0"/>
    </xf>
    <xf numFmtId="0" fontId="248" fillId="0" borderId="53" xfId="0" applyFont="1" applyBorder="1" applyAlignment="1" applyProtection="1">
      <alignment vertical="top"/>
      <protection hidden="1"/>
    </xf>
    <xf numFmtId="0" fontId="242" fillId="0" borderId="53" xfId="0" applyFont="1" applyBorder="1" applyAlignment="1" applyProtection="1">
      <alignment vertical="top"/>
      <protection hidden="1"/>
    </xf>
    <xf numFmtId="0" fontId="242" fillId="0" borderId="0" xfId="0" applyFont="1" applyAlignment="1" applyProtection="1">
      <alignment horizontal="left" vertical="center"/>
      <protection hidden="1"/>
    </xf>
    <xf numFmtId="0" fontId="242" fillId="0" borderId="0" xfId="0" applyFont="1" applyAlignment="1" applyProtection="1">
      <alignment horizontal="center" vertical="center"/>
      <protection hidden="1"/>
    </xf>
    <xf numFmtId="0" fontId="247" fillId="32" borderId="72" xfId="0" applyFont="1" applyFill="1" applyBorder="1" applyProtection="1">
      <alignment vertical="center"/>
      <protection hidden="1"/>
    </xf>
    <xf numFmtId="0" fontId="242" fillId="32" borderId="73" xfId="0" applyFont="1" applyFill="1" applyBorder="1" applyAlignment="1" applyProtection="1">
      <alignment horizontal="center" vertical="top"/>
      <protection hidden="1"/>
    </xf>
    <xf numFmtId="0" fontId="242" fillId="32" borderId="73" xfId="0" applyFont="1" applyFill="1" applyBorder="1" applyAlignment="1" applyProtection="1">
      <alignment horizontal="left" vertical="top"/>
      <protection hidden="1"/>
    </xf>
    <xf numFmtId="0" fontId="242" fillId="32" borderId="73" xfId="0" applyFont="1" applyFill="1" applyBorder="1" applyProtection="1">
      <alignment vertical="center"/>
      <protection hidden="1"/>
    </xf>
    <xf numFmtId="199" fontId="247" fillId="32" borderId="73" xfId="0" applyNumberFormat="1" applyFont="1" applyFill="1" applyBorder="1" applyAlignment="1" applyProtection="1">
      <alignment horizontal="center" vertical="center"/>
      <protection hidden="1"/>
    </xf>
    <xf numFmtId="199" fontId="247" fillId="32" borderId="75" xfId="0" applyNumberFormat="1" applyFont="1" applyFill="1" applyBorder="1" applyAlignment="1" applyProtection="1">
      <alignment horizontal="center" vertical="center"/>
      <protection hidden="1"/>
    </xf>
    <xf numFmtId="0" fontId="250" fillId="0" borderId="53" xfId="0" applyFont="1" applyBorder="1" applyAlignment="1" applyProtection="1">
      <alignment vertical="top"/>
      <protection hidden="1"/>
    </xf>
    <xf numFmtId="0" fontId="242" fillId="0" borderId="54" xfId="0" applyFont="1" applyBorder="1" applyAlignment="1" applyProtection="1">
      <alignment horizontal="center" vertical="center"/>
      <protection hidden="1"/>
    </xf>
    <xf numFmtId="56" fontId="242" fillId="0" borderId="62" xfId="0" quotePrefix="1" applyNumberFormat="1" applyFont="1" applyBorder="1" applyAlignment="1" applyProtection="1">
      <alignment horizontal="left" vertical="top"/>
      <protection hidden="1"/>
    </xf>
    <xf numFmtId="0" fontId="242" fillId="0" borderId="17" xfId="0" applyFont="1" applyBorder="1" applyAlignment="1" applyProtection="1">
      <alignment horizontal="left" vertical="top"/>
      <protection hidden="1"/>
    </xf>
    <xf numFmtId="0" fontId="250" fillId="0" borderId="53" xfId="0" applyFont="1" applyBorder="1" applyAlignment="1" applyProtection="1">
      <alignment horizontal="left" vertical="top"/>
      <protection hidden="1"/>
    </xf>
    <xf numFmtId="0" fontId="242" fillId="0" borderId="53" xfId="0" applyFont="1" applyBorder="1" applyProtection="1">
      <alignment vertical="center"/>
      <protection hidden="1"/>
    </xf>
    <xf numFmtId="0" fontId="242" fillId="0" borderId="54" xfId="0" applyFont="1" applyBorder="1" applyProtection="1">
      <alignment vertical="center"/>
      <protection hidden="1"/>
    </xf>
    <xf numFmtId="0" fontId="242" fillId="0" borderId="58" xfId="0" applyFont="1" applyBorder="1" applyAlignment="1" applyProtection="1">
      <alignment horizontal="left" vertical="top"/>
      <protection hidden="1"/>
    </xf>
    <xf numFmtId="0" fontId="242" fillId="0" borderId="53" xfId="0" applyFont="1" applyBorder="1" applyAlignment="1" applyProtection="1">
      <alignment horizontal="left" vertical="top"/>
      <protection hidden="1"/>
    </xf>
    <xf numFmtId="0" fontId="247" fillId="98" borderId="72" xfId="0" applyFont="1" applyFill="1" applyBorder="1" applyProtection="1">
      <alignment vertical="center"/>
      <protection hidden="1"/>
    </xf>
    <xf numFmtId="0" fontId="242" fillId="98" borderId="73" xfId="0" applyFont="1" applyFill="1" applyBorder="1" applyAlignment="1" applyProtection="1">
      <alignment horizontal="center" vertical="top"/>
      <protection hidden="1"/>
    </xf>
    <xf numFmtId="0" fontId="242" fillId="98" borderId="73" xfId="0" applyFont="1" applyFill="1" applyBorder="1" applyAlignment="1" applyProtection="1">
      <alignment horizontal="left" vertical="top"/>
      <protection hidden="1"/>
    </xf>
    <xf numFmtId="0" fontId="242" fillId="98" borderId="216" xfId="0" applyFont="1" applyFill="1" applyBorder="1" applyAlignment="1" applyProtection="1">
      <alignment horizontal="center" vertical="top"/>
      <protection hidden="1"/>
    </xf>
    <xf numFmtId="0" fontId="242" fillId="98" borderId="73" xfId="0" applyFont="1" applyFill="1" applyBorder="1" applyAlignment="1" applyProtection="1">
      <alignment vertical="top"/>
      <protection hidden="1"/>
    </xf>
    <xf numFmtId="199" fontId="247" fillId="98" borderId="73" xfId="0" applyNumberFormat="1" applyFont="1" applyFill="1" applyBorder="1" applyAlignment="1" applyProtection="1">
      <alignment horizontal="center" vertical="center"/>
      <protection hidden="1"/>
    </xf>
    <xf numFmtId="199" fontId="247" fillId="98" borderId="75" xfId="0" applyNumberFormat="1" applyFont="1" applyFill="1" applyBorder="1" applyAlignment="1" applyProtection="1">
      <alignment horizontal="center" vertical="center"/>
      <protection hidden="1"/>
    </xf>
    <xf numFmtId="0" fontId="251" fillId="0" borderId="53" xfId="0" applyFont="1" applyBorder="1" applyAlignment="1" applyProtection="1">
      <alignment horizontal="left" vertical="top"/>
      <protection hidden="1"/>
    </xf>
    <xf numFmtId="0" fontId="242" fillId="0" borderId="0" xfId="0" applyFont="1" applyAlignment="1" applyProtection="1">
      <alignment vertical="top"/>
      <protection hidden="1"/>
    </xf>
    <xf numFmtId="198" fontId="148" fillId="0" borderId="0" xfId="0" quotePrefix="1" applyNumberFormat="1" applyFont="1">
      <alignment vertical="center"/>
    </xf>
    <xf numFmtId="198" fontId="12" fillId="0" borderId="0" xfId="0" applyNumberFormat="1" applyFont="1">
      <alignment vertical="center"/>
    </xf>
    <xf numFmtId="0" fontId="247" fillId="47" borderId="72" xfId="0" applyFont="1" applyFill="1" applyBorder="1" applyProtection="1">
      <alignment vertical="center"/>
      <protection hidden="1"/>
    </xf>
    <xf numFmtId="0" fontId="242" fillId="47" borderId="73" xfId="0" applyFont="1" applyFill="1" applyBorder="1" applyAlignment="1" applyProtection="1">
      <alignment horizontal="center" vertical="top"/>
      <protection hidden="1"/>
    </xf>
    <xf numFmtId="0" fontId="242" fillId="47" borderId="73" xfId="0" applyFont="1" applyFill="1" applyBorder="1" applyAlignment="1" applyProtection="1">
      <alignment horizontal="left" vertical="top"/>
      <protection hidden="1"/>
    </xf>
    <xf numFmtId="0" fontId="242" fillId="47" borderId="73" xfId="0" applyFont="1" applyFill="1" applyBorder="1" applyProtection="1">
      <alignment vertical="center"/>
      <protection hidden="1"/>
    </xf>
    <xf numFmtId="199" fontId="247" fillId="47" borderId="73" xfId="0" applyNumberFormat="1" applyFont="1" applyFill="1" applyBorder="1" applyAlignment="1" applyProtection="1">
      <alignment horizontal="center" vertical="center"/>
      <protection hidden="1"/>
    </xf>
    <xf numFmtId="199" fontId="247" fillId="47" borderId="75" xfId="0" applyNumberFormat="1" applyFont="1" applyFill="1" applyBorder="1" applyAlignment="1" applyProtection="1">
      <alignment horizontal="center" vertical="center"/>
      <protection hidden="1"/>
    </xf>
    <xf numFmtId="0" fontId="252" fillId="0" borderId="53" xfId="0" applyFont="1" applyBorder="1" applyAlignment="1" applyProtection="1">
      <alignment vertical="top"/>
      <protection hidden="1"/>
    </xf>
    <xf numFmtId="0" fontId="242" fillId="0" borderId="65" xfId="0" applyFont="1" applyBorder="1" applyAlignment="1" applyProtection="1">
      <alignment horizontal="left" vertical="center"/>
      <protection hidden="1"/>
    </xf>
    <xf numFmtId="0" fontId="242" fillId="0" borderId="66" xfId="0" applyFont="1" applyBorder="1" applyAlignment="1" applyProtection="1">
      <alignment horizontal="center" vertical="center"/>
      <protection hidden="1"/>
    </xf>
    <xf numFmtId="0" fontId="242" fillId="0" borderId="66" xfId="0" applyFont="1" applyBorder="1" applyAlignment="1" applyProtection="1">
      <alignment horizontal="left" vertical="center"/>
      <protection hidden="1"/>
    </xf>
    <xf numFmtId="0" fontId="242" fillId="0" borderId="83" xfId="0" applyFont="1" applyBorder="1" applyAlignment="1" applyProtection="1">
      <alignment horizontal="left" vertical="center" shrinkToFit="1"/>
      <protection locked="0"/>
    </xf>
    <xf numFmtId="0" fontId="245" fillId="0" borderId="0" xfId="0" applyFont="1" applyAlignment="1" applyProtection="1">
      <alignment horizontal="left" vertical="center"/>
      <protection hidden="1"/>
    </xf>
    <xf numFmtId="0" fontId="242" fillId="0" borderId="0" xfId="0" applyFont="1" applyProtection="1">
      <alignment vertical="center"/>
      <protection hidden="1"/>
    </xf>
    <xf numFmtId="0" fontId="242" fillId="0" borderId="0" xfId="0" applyFont="1" applyAlignment="1" applyProtection="1">
      <alignment horizontal="left"/>
      <protection hidden="1"/>
    </xf>
    <xf numFmtId="0" fontId="246" fillId="0" borderId="0" xfId="0" applyFont="1" applyAlignment="1" applyProtection="1">
      <alignment horizontal="right" vertical="center"/>
      <protection hidden="1"/>
    </xf>
    <xf numFmtId="199" fontId="254" fillId="0" borderId="10" xfId="0" applyNumberFormat="1" applyFont="1" applyBorder="1" applyAlignment="1" applyProtection="1">
      <alignment horizontal="center" vertical="center"/>
      <protection hidden="1"/>
    </xf>
    <xf numFmtId="0" fontId="244" fillId="30" borderId="68" xfId="0" applyFont="1" applyFill="1" applyBorder="1" applyAlignment="1" applyProtection="1">
      <alignment horizontal="left" vertical="center"/>
      <protection hidden="1"/>
    </xf>
    <xf numFmtId="0" fontId="8" fillId="30" borderId="69" xfId="0" applyFont="1" applyFill="1" applyBorder="1">
      <alignment vertical="center"/>
    </xf>
    <xf numFmtId="0" fontId="255" fillId="30" borderId="218" xfId="0" applyFont="1" applyFill="1" applyBorder="1" applyAlignment="1" applyProtection="1">
      <alignment horizontal="center" vertical="center"/>
      <protection hidden="1"/>
    </xf>
    <xf numFmtId="0" fontId="12" fillId="0" borderId="66" xfId="0" applyFont="1" applyBorder="1">
      <alignment vertical="center"/>
    </xf>
    <xf numFmtId="0" fontId="12" fillId="0" borderId="84" xfId="0" applyFont="1" applyBorder="1">
      <alignment vertical="center"/>
    </xf>
    <xf numFmtId="0" fontId="242" fillId="99" borderId="72" xfId="0" applyFont="1" applyFill="1" applyBorder="1" applyProtection="1">
      <alignment vertical="center"/>
      <protection hidden="1"/>
    </xf>
    <xf numFmtId="0" fontId="242" fillId="99" borderId="73" xfId="0" applyFont="1" applyFill="1" applyBorder="1" applyAlignment="1" applyProtection="1">
      <alignment horizontal="center" vertical="center"/>
      <protection hidden="1"/>
    </xf>
    <xf numFmtId="0" fontId="242" fillId="99" borderId="73" xfId="0" applyFont="1" applyFill="1" applyBorder="1" applyAlignment="1" applyProtection="1">
      <alignment horizontal="left" vertical="center"/>
      <protection hidden="1"/>
    </xf>
    <xf numFmtId="0" fontId="242" fillId="99" borderId="73" xfId="0" applyFont="1" applyFill="1" applyBorder="1" applyProtection="1">
      <alignment vertical="center"/>
      <protection hidden="1"/>
    </xf>
    <xf numFmtId="0" fontId="242" fillId="99" borderId="75" xfId="0" applyFont="1" applyFill="1" applyBorder="1" applyProtection="1">
      <alignment vertical="center"/>
      <protection hidden="1"/>
    </xf>
    <xf numFmtId="0" fontId="242" fillId="0" borderId="62" xfId="0" applyFont="1" applyBorder="1" applyAlignment="1" applyProtection="1">
      <alignment horizontal="left" vertical="center"/>
      <protection hidden="1"/>
    </xf>
    <xf numFmtId="0" fontId="256" fillId="0" borderId="53" xfId="0" applyFont="1" applyBorder="1" applyAlignment="1" applyProtection="1">
      <alignment horizontal="left" vertical="top"/>
      <protection hidden="1"/>
    </xf>
    <xf numFmtId="0" fontId="242" fillId="0" borderId="17" xfId="0" applyFont="1" applyBorder="1" applyProtection="1">
      <alignment vertical="center"/>
      <protection hidden="1"/>
    </xf>
    <xf numFmtId="0" fontId="242" fillId="43" borderId="72" xfId="0" applyFont="1" applyFill="1" applyBorder="1" applyAlignment="1" applyProtection="1">
      <alignment horizontal="left" vertical="center"/>
      <protection hidden="1"/>
    </xf>
    <xf numFmtId="0" fontId="242" fillId="43" borderId="73" xfId="0" applyFont="1" applyFill="1" applyBorder="1" applyAlignment="1" applyProtection="1">
      <alignment horizontal="center" vertical="center"/>
      <protection hidden="1"/>
    </xf>
    <xf numFmtId="0" fontId="242" fillId="43" borderId="73" xfId="0" applyFont="1" applyFill="1" applyBorder="1" applyAlignment="1" applyProtection="1">
      <alignment horizontal="left" vertical="center"/>
      <protection hidden="1"/>
    </xf>
    <xf numFmtId="0" fontId="242" fillId="43" borderId="73" xfId="0" applyFont="1" applyFill="1" applyBorder="1" applyProtection="1">
      <alignment vertical="center"/>
      <protection hidden="1"/>
    </xf>
    <xf numFmtId="0" fontId="242" fillId="43" borderId="75" xfId="0" applyFont="1" applyFill="1" applyBorder="1" applyProtection="1">
      <alignment vertical="center"/>
      <protection hidden="1"/>
    </xf>
    <xf numFmtId="0" fontId="257" fillId="0" borderId="53" xfId="0" applyFont="1" applyBorder="1" applyAlignment="1" applyProtection="1">
      <alignment horizontal="left" vertical="top"/>
      <protection hidden="1"/>
    </xf>
    <xf numFmtId="0" fontId="242" fillId="0" borderId="17" xfId="0" applyFont="1" applyBorder="1" applyAlignment="1" applyProtection="1">
      <alignment vertical="center" shrinkToFit="1"/>
      <protection hidden="1"/>
    </xf>
    <xf numFmtId="0" fontId="242" fillId="27" borderId="72" xfId="0" applyFont="1" applyFill="1" applyBorder="1" applyAlignment="1" applyProtection="1">
      <alignment horizontal="left" vertical="center"/>
      <protection hidden="1"/>
    </xf>
    <xf numFmtId="0" fontId="242" fillId="27" borderId="73" xfId="0" applyFont="1" applyFill="1" applyBorder="1" applyAlignment="1" applyProtection="1">
      <alignment horizontal="center" vertical="center"/>
      <protection hidden="1"/>
    </xf>
    <xf numFmtId="0" fontId="242" fillId="27" borderId="73" xfId="0" applyFont="1" applyFill="1" applyBorder="1" applyAlignment="1" applyProtection="1">
      <alignment horizontal="left" vertical="center"/>
      <protection hidden="1"/>
    </xf>
    <xf numFmtId="0" fontId="242" fillId="27" borderId="73" xfId="0" applyFont="1" applyFill="1" applyBorder="1" applyProtection="1">
      <alignment vertical="center"/>
      <protection hidden="1"/>
    </xf>
    <xf numFmtId="0" fontId="242" fillId="27" borderId="75" xfId="0" applyFont="1" applyFill="1" applyBorder="1" applyProtection="1">
      <alignment vertical="center"/>
      <protection hidden="1"/>
    </xf>
    <xf numFmtId="0" fontId="258" fillId="0" borderId="53" xfId="0" applyFont="1" applyBorder="1" applyAlignment="1" applyProtection="1">
      <alignment vertical="top"/>
      <protection hidden="1"/>
    </xf>
    <xf numFmtId="0" fontId="242" fillId="0" borderId="84" xfId="0" applyFont="1" applyBorder="1" applyProtection="1">
      <alignment vertical="center"/>
      <protection hidden="1"/>
    </xf>
    <xf numFmtId="0" fontId="245" fillId="0" borderId="0" xfId="0" applyFont="1">
      <alignment vertical="center"/>
    </xf>
    <xf numFmtId="180" fontId="33" fillId="0" borderId="89" xfId="0" applyNumberFormat="1" applyFont="1" applyBorder="1" applyAlignment="1">
      <alignment vertical="top" wrapText="1"/>
    </xf>
    <xf numFmtId="180" fontId="33" fillId="0" borderId="53" xfId="0" applyNumberFormat="1" applyFont="1" applyBorder="1" applyAlignment="1">
      <alignment vertical="top" wrapText="1"/>
    </xf>
    <xf numFmtId="180" fontId="33" fillId="0" borderId="90" xfId="0" applyNumberFormat="1" applyFont="1" applyBorder="1" applyAlignment="1">
      <alignment vertical="top" wrapText="1"/>
    </xf>
    <xf numFmtId="180" fontId="33" fillId="0" borderId="62" xfId="0" applyNumberFormat="1" applyFont="1" applyBorder="1" applyAlignment="1">
      <alignment vertical="top" wrapText="1"/>
    </xf>
    <xf numFmtId="180" fontId="33" fillId="0" borderId="0" xfId="0" applyNumberFormat="1" applyFont="1" applyAlignment="1">
      <alignment vertical="top" wrapText="1"/>
    </xf>
    <xf numFmtId="180" fontId="33" fillId="0" borderId="63" xfId="0" applyNumberFormat="1" applyFont="1" applyBorder="1" applyAlignment="1">
      <alignment vertical="top" wrapText="1"/>
    </xf>
    <xf numFmtId="180" fontId="33" fillId="0" borderId="77" xfId="0" applyNumberFormat="1" applyFont="1" applyBorder="1" applyAlignment="1">
      <alignment vertical="top" wrapText="1"/>
    </xf>
    <xf numFmtId="180" fontId="33" fillId="0" borderId="57" xfId="0" applyNumberFormat="1" applyFont="1" applyBorder="1" applyAlignment="1">
      <alignment vertical="top" wrapText="1"/>
    </xf>
    <xf numFmtId="180" fontId="33" fillId="0" borderId="79" xfId="0" applyNumberFormat="1" applyFont="1" applyBorder="1" applyAlignment="1">
      <alignment vertical="top" wrapText="1"/>
    </xf>
    <xf numFmtId="180" fontId="33" fillId="0" borderId="80" xfId="0" applyNumberFormat="1" applyFont="1" applyBorder="1" applyAlignment="1">
      <alignment vertical="top" wrapText="1"/>
    </xf>
    <xf numFmtId="180" fontId="33" fillId="0" borderId="50" xfId="0" applyNumberFormat="1" applyFont="1" applyBorder="1" applyAlignment="1">
      <alignment vertical="top" wrapText="1"/>
    </xf>
    <xf numFmtId="180" fontId="33" fillId="0" borderId="82" xfId="0" applyNumberFormat="1" applyFont="1" applyBorder="1" applyAlignment="1">
      <alignment vertical="top" wrapText="1"/>
    </xf>
    <xf numFmtId="180" fontId="259" fillId="97" borderId="10" xfId="0" applyNumberFormat="1" applyFont="1" applyFill="1" applyBorder="1" applyAlignment="1" applyProtection="1">
      <alignment horizontal="center" vertical="center"/>
      <protection hidden="1"/>
    </xf>
    <xf numFmtId="180" fontId="259" fillId="34" borderId="10" xfId="0" applyNumberFormat="1" applyFont="1" applyFill="1" applyBorder="1" applyAlignment="1" applyProtection="1">
      <alignment horizontal="center" vertical="center"/>
      <protection hidden="1"/>
    </xf>
    <xf numFmtId="180" fontId="259" fillId="98" borderId="10" xfId="0" applyNumberFormat="1" applyFont="1" applyFill="1" applyBorder="1" applyAlignment="1" applyProtection="1">
      <alignment horizontal="center" vertical="center"/>
      <protection hidden="1"/>
    </xf>
    <xf numFmtId="180" fontId="259" fillId="47" borderId="26" xfId="0" applyNumberFormat="1" applyFont="1" applyFill="1" applyBorder="1" applyAlignment="1" applyProtection="1">
      <alignment horizontal="center" vertical="center"/>
      <protection hidden="1"/>
    </xf>
    <xf numFmtId="0" fontId="260" fillId="33" borderId="219" xfId="0" applyFont="1" applyFill="1" applyBorder="1" applyProtection="1">
      <alignment vertical="center"/>
      <protection hidden="1"/>
    </xf>
    <xf numFmtId="0" fontId="260" fillId="33" borderId="220" xfId="0" applyFont="1" applyFill="1" applyBorder="1" applyProtection="1">
      <alignment vertical="center"/>
      <protection hidden="1"/>
    </xf>
    <xf numFmtId="0" fontId="260" fillId="33" borderId="221" xfId="0" applyFont="1" applyFill="1" applyBorder="1" applyProtection="1">
      <alignment vertical="center"/>
      <protection hidden="1"/>
    </xf>
    <xf numFmtId="0" fontId="125" fillId="31" borderId="222" xfId="0" applyFont="1" applyFill="1" applyBorder="1" applyAlignment="1" applyProtection="1">
      <alignment horizontal="center" vertical="center"/>
      <protection hidden="1"/>
    </xf>
    <xf numFmtId="0" fontId="125" fillId="31" borderId="223" xfId="0" applyFont="1" applyFill="1" applyBorder="1" applyAlignment="1" applyProtection="1">
      <alignment horizontal="center" vertical="center"/>
      <protection hidden="1"/>
    </xf>
    <xf numFmtId="0" fontId="125" fillId="31" borderId="224" xfId="0" applyFont="1" applyFill="1" applyBorder="1" applyAlignment="1" applyProtection="1">
      <alignment horizontal="center" vertical="center"/>
      <protection hidden="1"/>
    </xf>
    <xf numFmtId="0" fontId="0" fillId="0" borderId="225" xfId="0" applyBorder="1">
      <alignment vertical="center"/>
    </xf>
    <xf numFmtId="0" fontId="0" fillId="0" borderId="226" xfId="0" applyBorder="1">
      <alignment vertical="center"/>
    </xf>
    <xf numFmtId="0" fontId="0" fillId="0" borderId="227" xfId="0" applyBorder="1">
      <alignment vertical="center"/>
    </xf>
    <xf numFmtId="0" fontId="0" fillId="0" borderId="228" xfId="0" applyBorder="1">
      <alignment vertical="center"/>
    </xf>
    <xf numFmtId="0" fontId="0" fillId="0" borderId="229" xfId="0" applyBorder="1">
      <alignment vertical="center"/>
    </xf>
    <xf numFmtId="0" fontId="0" fillId="0" borderId="230" xfId="0" applyBorder="1">
      <alignment vertical="center"/>
    </xf>
    <xf numFmtId="0" fontId="0" fillId="0" borderId="231" xfId="0" applyBorder="1">
      <alignment vertical="center"/>
    </xf>
    <xf numFmtId="0" fontId="0" fillId="0" borderId="232" xfId="0" applyBorder="1">
      <alignment vertical="center"/>
    </xf>
    <xf numFmtId="0" fontId="0" fillId="0" borderId="233" xfId="0" applyBorder="1">
      <alignment vertical="center"/>
    </xf>
    <xf numFmtId="0" fontId="0" fillId="32" borderId="234" xfId="0" applyFill="1" applyBorder="1" applyAlignment="1">
      <alignment horizontal="center" vertical="center" wrapText="1"/>
    </xf>
    <xf numFmtId="0" fontId="0" fillId="0" borderId="235" xfId="0" applyBorder="1">
      <alignment vertical="center"/>
    </xf>
    <xf numFmtId="0" fontId="0" fillId="0" borderId="236" xfId="0" applyBorder="1">
      <alignment vertical="center"/>
    </xf>
    <xf numFmtId="0" fontId="0" fillId="0" borderId="237" xfId="0" applyBorder="1">
      <alignment vertical="center"/>
    </xf>
    <xf numFmtId="0" fontId="0" fillId="0" borderId="238" xfId="0" applyBorder="1">
      <alignment vertical="center"/>
    </xf>
    <xf numFmtId="0" fontId="0" fillId="0" borderId="239" xfId="0" applyBorder="1">
      <alignment vertical="center"/>
    </xf>
    <xf numFmtId="0" fontId="0" fillId="0" borderId="240" xfId="0" applyBorder="1">
      <alignment vertical="center"/>
    </xf>
    <xf numFmtId="0" fontId="0" fillId="0" borderId="241" xfId="0" applyBorder="1">
      <alignment vertical="center"/>
    </xf>
    <xf numFmtId="180" fontId="41" fillId="31" borderId="242" xfId="0" applyNumberFormat="1" applyFont="1" applyFill="1" applyBorder="1" applyAlignment="1" applyProtection="1">
      <alignment horizontal="left" vertical="center"/>
      <protection hidden="1"/>
    </xf>
    <xf numFmtId="180" fontId="41" fillId="31" borderId="243" xfId="0" applyNumberFormat="1" applyFont="1" applyFill="1" applyBorder="1" applyAlignment="1" applyProtection="1">
      <alignment horizontal="left" vertical="center"/>
      <protection hidden="1"/>
    </xf>
    <xf numFmtId="0" fontId="0" fillId="0" borderId="244" xfId="0" applyBorder="1">
      <alignment vertical="center"/>
    </xf>
    <xf numFmtId="0" fontId="0" fillId="0" borderId="245" xfId="0" applyBorder="1">
      <alignment vertical="center"/>
    </xf>
    <xf numFmtId="0" fontId="0" fillId="0" borderId="246" xfId="0" applyBorder="1">
      <alignment vertical="center"/>
    </xf>
    <xf numFmtId="0" fontId="0" fillId="98" borderId="234" xfId="0" applyFill="1" applyBorder="1" applyAlignment="1">
      <alignment horizontal="center" vertical="center" wrapText="1"/>
    </xf>
    <xf numFmtId="0" fontId="0" fillId="98" borderId="247" xfId="0" applyFill="1" applyBorder="1" applyAlignment="1">
      <alignment horizontal="center" vertical="center" wrapText="1"/>
    </xf>
    <xf numFmtId="0" fontId="0" fillId="0" borderId="219" xfId="0" applyBorder="1">
      <alignment vertical="center"/>
    </xf>
    <xf numFmtId="0" fontId="0" fillId="0" borderId="220" xfId="0" applyBorder="1">
      <alignment vertical="center"/>
    </xf>
    <xf numFmtId="0" fontId="0" fillId="0" borderId="221" xfId="0" applyBorder="1">
      <alignment vertical="center"/>
    </xf>
    <xf numFmtId="180" fontId="41" fillId="31" borderId="101" xfId="0" applyNumberFormat="1" applyFont="1" applyFill="1" applyBorder="1" applyAlignment="1" applyProtection="1">
      <alignment horizontal="left" vertical="center"/>
      <protection hidden="1"/>
    </xf>
    <xf numFmtId="180" fontId="41" fillId="31" borderId="248" xfId="0" applyNumberFormat="1" applyFont="1" applyFill="1" applyBorder="1" applyAlignment="1" applyProtection="1">
      <alignment horizontal="left" vertical="center"/>
      <protection hidden="1"/>
    </xf>
    <xf numFmtId="180" fontId="12" fillId="97" borderId="226" xfId="0" applyNumberFormat="1" applyFont="1" applyFill="1" applyBorder="1" applyAlignment="1" applyProtection="1">
      <alignment horizontal="center" vertical="center"/>
      <protection hidden="1"/>
    </xf>
    <xf numFmtId="0" fontId="0" fillId="32" borderId="249" xfId="0" applyFill="1" applyBorder="1" applyAlignment="1">
      <alignment horizontal="center" vertical="center" wrapText="1"/>
    </xf>
    <xf numFmtId="0" fontId="107" fillId="29" borderId="250" xfId="0" quotePrefix="1" applyFont="1" applyFill="1" applyBorder="1" applyAlignment="1" applyProtection="1">
      <alignment horizontal="center" vertical="center"/>
      <protection hidden="1"/>
    </xf>
    <xf numFmtId="0" fontId="0" fillId="47" borderId="251" xfId="0" applyFill="1" applyBorder="1" applyAlignment="1">
      <alignment horizontal="center" vertical="center" wrapText="1"/>
    </xf>
    <xf numFmtId="180" fontId="12" fillId="0" borderId="232" xfId="0" applyNumberFormat="1" applyFont="1" applyBorder="1" applyAlignment="1" applyProtection="1">
      <alignment horizontal="center" vertical="center"/>
      <protection hidden="1"/>
    </xf>
    <xf numFmtId="0" fontId="0" fillId="0" borderId="252" xfId="0" applyBorder="1">
      <alignment vertical="center"/>
    </xf>
    <xf numFmtId="180" fontId="12" fillId="97" borderId="238" xfId="0" applyNumberFormat="1" applyFont="1" applyFill="1" applyBorder="1" applyAlignment="1" applyProtection="1">
      <alignment horizontal="center" vertical="center"/>
      <protection hidden="1"/>
    </xf>
    <xf numFmtId="180" fontId="12" fillId="97" borderId="240" xfId="0" applyNumberFormat="1" applyFont="1" applyFill="1" applyBorder="1" applyAlignment="1" applyProtection="1">
      <alignment horizontal="center" vertical="center"/>
      <protection hidden="1"/>
    </xf>
    <xf numFmtId="0" fontId="0" fillId="32" borderId="253" xfId="0" applyFill="1" applyBorder="1" applyAlignment="1">
      <alignment horizontal="center" vertical="center" wrapText="1"/>
    </xf>
    <xf numFmtId="0" fontId="107" fillId="29" borderId="254" xfId="0" quotePrefix="1" applyFont="1" applyFill="1" applyBorder="1" applyAlignment="1" applyProtection="1">
      <alignment horizontal="center" vertical="center"/>
      <protection hidden="1"/>
    </xf>
    <xf numFmtId="0" fontId="0" fillId="47" borderId="255" xfId="0" applyFill="1" applyBorder="1" applyAlignment="1">
      <alignment horizontal="center" vertical="center" wrapText="1"/>
    </xf>
    <xf numFmtId="180" fontId="41" fillId="33" borderId="59" xfId="0" applyNumberFormat="1" applyFont="1" applyFill="1" applyBorder="1" applyAlignment="1" applyProtection="1">
      <alignment horizontal="left" vertical="center"/>
      <protection hidden="1"/>
    </xf>
    <xf numFmtId="180" fontId="41" fillId="33" borderId="60" xfId="0" applyNumberFormat="1" applyFont="1" applyFill="1" applyBorder="1" applyAlignment="1" applyProtection="1">
      <alignment horizontal="left" vertical="center"/>
      <protection hidden="1"/>
    </xf>
    <xf numFmtId="180" fontId="41" fillId="31" borderId="104" xfId="0" applyNumberFormat="1" applyFont="1" applyFill="1" applyBorder="1" applyAlignment="1" applyProtection="1">
      <alignment horizontal="left" vertical="center"/>
      <protection hidden="1"/>
    </xf>
    <xf numFmtId="180" fontId="41" fillId="31" borderId="102" xfId="0" applyNumberFormat="1" applyFont="1" applyFill="1" applyBorder="1" applyAlignment="1" applyProtection="1">
      <alignment horizontal="left" vertical="center"/>
      <protection hidden="1"/>
    </xf>
    <xf numFmtId="0" fontId="0" fillId="32" borderId="256" xfId="0" applyFill="1" applyBorder="1" applyAlignment="1">
      <alignment horizontal="center" vertical="center" wrapText="1"/>
    </xf>
    <xf numFmtId="0" fontId="125" fillId="29" borderId="234" xfId="0" applyFont="1" applyFill="1" applyBorder="1" applyAlignment="1" applyProtection="1">
      <alignment horizontal="center" vertical="center"/>
      <protection hidden="1"/>
    </xf>
    <xf numFmtId="0" fontId="0" fillId="47" borderId="257" xfId="0" applyFill="1" applyBorder="1" applyAlignment="1">
      <alignment horizontal="center" vertical="center" wrapText="1"/>
    </xf>
    <xf numFmtId="0" fontId="0" fillId="0" borderId="258" xfId="0" applyBorder="1">
      <alignment vertical="center"/>
    </xf>
    <xf numFmtId="0" fontId="0" fillId="32" borderId="259" xfId="0" applyFill="1" applyBorder="1" applyAlignment="1">
      <alignment horizontal="center" vertical="center" wrapText="1"/>
    </xf>
    <xf numFmtId="0" fontId="0" fillId="0" borderId="260" xfId="0" applyBorder="1">
      <alignment vertical="center"/>
    </xf>
    <xf numFmtId="0" fontId="0" fillId="47" borderId="261" xfId="0" applyFill="1" applyBorder="1" applyAlignment="1">
      <alignment horizontal="center" vertical="center" wrapText="1"/>
    </xf>
    <xf numFmtId="0" fontId="107" fillId="29" borderId="259" xfId="0" quotePrefix="1" applyFont="1" applyFill="1" applyBorder="1" applyAlignment="1" applyProtection="1">
      <alignment horizontal="center" vertical="center"/>
      <protection hidden="1"/>
    </xf>
    <xf numFmtId="0" fontId="0" fillId="0" borderId="234" xfId="0" applyBorder="1" applyAlignment="1">
      <alignment horizontal="center" vertical="center" wrapText="1"/>
    </xf>
    <xf numFmtId="0" fontId="12" fillId="0" borderId="262" xfId="0" applyFont="1" applyBorder="1" applyAlignment="1" applyProtection="1">
      <alignment horizontal="center" vertical="center"/>
      <protection hidden="1"/>
    </xf>
    <xf numFmtId="0" fontId="0" fillId="0" borderId="263" xfId="0" applyBorder="1" applyAlignment="1">
      <alignment horizontal="center" vertical="center" wrapText="1"/>
    </xf>
    <xf numFmtId="0" fontId="0" fillId="0" borderId="247" xfId="0" applyBorder="1" applyAlignment="1">
      <alignment horizontal="center" vertical="center" wrapText="1"/>
    </xf>
    <xf numFmtId="0" fontId="12" fillId="0" borderId="264" xfId="0" applyFont="1" applyBorder="1" applyAlignment="1" applyProtection="1">
      <alignment horizontal="center" vertical="center"/>
      <protection hidden="1"/>
    </xf>
    <xf numFmtId="0" fontId="0" fillId="0" borderId="265" xfId="0" applyBorder="1" applyAlignment="1">
      <alignment horizontal="center" vertical="center" wrapText="1"/>
    </xf>
    <xf numFmtId="0" fontId="0" fillId="47" borderId="263" xfId="0" applyFill="1" applyBorder="1" applyAlignment="1">
      <alignment horizontal="center" vertical="center" wrapText="1"/>
    </xf>
    <xf numFmtId="180" fontId="33" fillId="0" borderId="266" xfId="0" applyNumberFormat="1" applyFont="1" applyBorder="1" applyAlignment="1" applyProtection="1">
      <alignment horizontal="left" vertical="center" wrapText="1"/>
      <protection locked="0"/>
    </xf>
    <xf numFmtId="0" fontId="0" fillId="32" borderId="267" xfId="0" applyFill="1" applyBorder="1" applyAlignment="1">
      <alignment horizontal="center" vertical="center" wrapText="1"/>
    </xf>
    <xf numFmtId="0" fontId="12" fillId="98" borderId="268" xfId="0" applyFont="1" applyFill="1" applyBorder="1" applyAlignment="1" applyProtection="1">
      <alignment horizontal="center" vertical="center"/>
      <protection hidden="1"/>
    </xf>
    <xf numFmtId="180" fontId="33" fillId="0" borderId="227" xfId="0" applyNumberFormat="1" applyFont="1" applyBorder="1" applyAlignment="1" applyProtection="1">
      <alignment horizontal="left" vertical="center" wrapText="1"/>
      <protection locked="0"/>
    </xf>
    <xf numFmtId="0" fontId="12" fillId="98" borderId="262" xfId="0" applyFont="1" applyFill="1" applyBorder="1" applyAlignment="1" applyProtection="1">
      <alignment horizontal="center" vertical="center"/>
      <protection hidden="1"/>
    </xf>
    <xf numFmtId="0" fontId="0" fillId="32" borderId="247" xfId="0" applyFill="1" applyBorder="1" applyAlignment="1">
      <alignment horizontal="center" vertical="center" wrapText="1"/>
    </xf>
    <xf numFmtId="0" fontId="12" fillId="98" borderId="264" xfId="0" applyFont="1" applyFill="1" applyBorder="1" applyAlignment="1" applyProtection="1">
      <alignment horizontal="center" vertical="center"/>
      <protection hidden="1"/>
    </xf>
    <xf numFmtId="0" fontId="0" fillId="0" borderId="269" xfId="0" applyBorder="1">
      <alignment vertical="center"/>
    </xf>
    <xf numFmtId="0" fontId="0" fillId="0" borderId="270" xfId="0" applyBorder="1">
      <alignment vertical="center"/>
    </xf>
    <xf numFmtId="0" fontId="0" fillId="0" borderId="271" xfId="0" applyBorder="1">
      <alignment vertical="center"/>
    </xf>
    <xf numFmtId="0" fontId="0" fillId="0" borderId="272" xfId="0" applyBorder="1">
      <alignment vertical="center"/>
    </xf>
    <xf numFmtId="0" fontId="0" fillId="0" borderId="273" xfId="0" applyBorder="1">
      <alignment vertical="center"/>
    </xf>
    <xf numFmtId="180" fontId="12" fillId="97" borderId="229" xfId="0" applyNumberFormat="1" applyFont="1" applyFill="1" applyBorder="1" applyAlignment="1" applyProtection="1">
      <alignment horizontal="center" vertical="center"/>
      <protection hidden="1"/>
    </xf>
    <xf numFmtId="0" fontId="107" fillId="29" borderId="262" xfId="0" quotePrefix="1" applyFont="1" applyFill="1" applyBorder="1" applyAlignment="1" applyProtection="1">
      <alignment horizontal="center" vertical="center"/>
      <protection hidden="1"/>
    </xf>
    <xf numFmtId="0" fontId="0" fillId="47" borderId="262" xfId="0" applyFill="1" applyBorder="1" applyAlignment="1">
      <alignment horizontal="center" vertical="center" wrapText="1"/>
    </xf>
    <xf numFmtId="0" fontId="0" fillId="0" borderId="274" xfId="0" applyBorder="1">
      <alignment vertical="center"/>
    </xf>
    <xf numFmtId="0" fontId="0" fillId="0" borderId="275" xfId="0" applyBorder="1">
      <alignment vertical="center"/>
    </xf>
    <xf numFmtId="0" fontId="12" fillId="98" borderId="236" xfId="0" applyFont="1" applyFill="1" applyBorder="1" applyAlignment="1" applyProtection="1">
      <alignment horizontal="center" vertical="center"/>
      <protection hidden="1"/>
    </xf>
    <xf numFmtId="0" fontId="0" fillId="0" borderId="276" xfId="0" applyBorder="1">
      <alignment vertical="center"/>
    </xf>
    <xf numFmtId="9" fontId="33" fillId="65" borderId="10" xfId="28" applyFont="1" applyFill="1" applyBorder="1" applyProtection="1">
      <alignment vertical="center"/>
      <protection locked="0"/>
    </xf>
    <xf numFmtId="0" fontId="33" fillId="51" borderId="10" xfId="28" applyNumberFormat="1" applyFont="1" applyFill="1" applyBorder="1">
      <alignment vertical="center"/>
    </xf>
    <xf numFmtId="0" fontId="33" fillId="27" borderId="10" xfId="0" applyFont="1" applyFill="1" applyBorder="1" applyAlignment="1">
      <alignment horizontal="center" vertical="center" wrapText="1"/>
    </xf>
    <xf numFmtId="0" fontId="33" fillId="27" borderId="26" xfId="0" applyFont="1" applyFill="1" applyBorder="1" applyAlignment="1">
      <alignment horizontal="center" vertical="center"/>
    </xf>
    <xf numFmtId="0" fontId="33" fillId="27" borderId="50" xfId="0" applyFont="1" applyFill="1" applyBorder="1" applyAlignment="1">
      <alignment horizontal="center" vertical="center"/>
    </xf>
    <xf numFmtId="0" fontId="33" fillId="27" borderId="27" xfId="0" applyFont="1" applyFill="1" applyBorder="1" applyAlignment="1">
      <alignment horizontal="center" vertical="center"/>
    </xf>
    <xf numFmtId="0" fontId="149" fillId="0" borderId="0" xfId="0" applyFont="1" applyAlignment="1">
      <alignment horizontal="left" vertical="center"/>
    </xf>
    <xf numFmtId="0" fontId="33" fillId="31" borderId="0" xfId="0" applyFont="1" applyFill="1">
      <alignment vertical="center"/>
    </xf>
    <xf numFmtId="0" fontId="33" fillId="31" borderId="53" xfId="0" applyFont="1" applyFill="1" applyBorder="1">
      <alignment vertical="center"/>
    </xf>
    <xf numFmtId="0" fontId="47" fillId="0" borderId="0" xfId="0" applyFont="1" applyAlignment="1">
      <alignment horizontal="left" vertical="center"/>
    </xf>
    <xf numFmtId="190" fontId="33" fillId="31" borderId="54" xfId="0" applyNumberFormat="1" applyFont="1" applyFill="1" applyBorder="1" applyAlignment="1">
      <alignment horizontal="center" vertical="center"/>
    </xf>
    <xf numFmtId="0" fontId="33" fillId="53" borderId="52" xfId="0" applyFont="1" applyFill="1" applyBorder="1" applyAlignment="1">
      <alignment horizontal="centerContinuous" vertical="center"/>
    </xf>
    <xf numFmtId="0" fontId="33" fillId="53" borderId="53" xfId="0" applyFont="1" applyFill="1" applyBorder="1" applyAlignment="1">
      <alignment horizontal="centerContinuous" vertical="center"/>
    </xf>
    <xf numFmtId="190" fontId="33" fillId="53" borderId="54" xfId="0" applyNumberFormat="1" applyFont="1" applyFill="1" applyBorder="1" applyAlignment="1">
      <alignment horizontal="center" vertical="center"/>
    </xf>
    <xf numFmtId="0" fontId="33" fillId="31" borderId="53" xfId="0" applyFont="1" applyFill="1" applyBorder="1" applyAlignment="1">
      <alignment horizontal="centerContinuous" vertical="center"/>
    </xf>
    <xf numFmtId="0" fontId="33" fillId="31" borderId="26" xfId="0" applyFont="1" applyFill="1" applyBorder="1" applyAlignment="1">
      <alignment horizontal="centerContinuous" vertical="center"/>
    </xf>
    <xf numFmtId="0" fontId="33" fillId="31" borderId="27" xfId="0" applyFont="1" applyFill="1" applyBorder="1" applyAlignment="1">
      <alignment horizontal="centerContinuous" vertical="center"/>
    </xf>
    <xf numFmtId="0" fontId="33" fillId="53" borderId="56" xfId="0" applyFont="1" applyFill="1" applyBorder="1" applyAlignment="1">
      <alignment horizontal="centerContinuous" vertical="center"/>
    </xf>
    <xf numFmtId="0" fontId="0" fillId="53" borderId="57" xfId="0" applyFill="1" applyBorder="1" applyAlignment="1">
      <alignment horizontal="centerContinuous" vertical="center"/>
    </xf>
    <xf numFmtId="0" fontId="0" fillId="53" borderId="58" xfId="0" applyFill="1" applyBorder="1" applyAlignment="1">
      <alignment horizontal="centerContinuous" vertical="center"/>
    </xf>
    <xf numFmtId="0" fontId="31" fillId="27" borderId="167" xfId="0" applyFont="1" applyFill="1" applyBorder="1" applyAlignment="1">
      <alignment horizontal="centerContinuous" vertical="center"/>
    </xf>
    <xf numFmtId="0" fontId="31" fillId="27" borderId="12" xfId="0" applyFont="1" applyFill="1" applyBorder="1" applyAlignment="1">
      <alignment horizontal="centerContinuous" vertical="center"/>
    </xf>
    <xf numFmtId="0" fontId="31" fillId="27" borderId="56" xfId="0" applyFont="1" applyFill="1" applyBorder="1" applyAlignment="1">
      <alignment horizontal="centerContinuous" vertical="center"/>
    </xf>
    <xf numFmtId="0" fontId="180" fillId="0" borderId="0" xfId="0" applyFont="1" applyAlignment="1" applyProtection="1">
      <alignment horizontal="left" vertical="center"/>
      <protection hidden="1"/>
    </xf>
    <xf numFmtId="0" fontId="33" fillId="27" borderId="15" xfId="0" applyFont="1" applyFill="1" applyBorder="1" applyAlignment="1" applyProtection="1">
      <alignment horizontal="left" vertical="center" wrapText="1"/>
      <protection hidden="1"/>
    </xf>
    <xf numFmtId="0" fontId="33" fillId="27" borderId="55" xfId="0" applyFont="1" applyFill="1" applyBorder="1" applyAlignment="1" applyProtection="1">
      <alignment horizontal="left" vertical="center" wrapText="1"/>
      <protection hidden="1"/>
    </xf>
    <xf numFmtId="0" fontId="33" fillId="51" borderId="87" xfId="0" applyFont="1" applyFill="1" applyBorder="1">
      <alignment vertical="center"/>
    </xf>
    <xf numFmtId="0" fontId="33" fillId="51" borderId="181" xfId="0" applyFont="1" applyFill="1" applyBorder="1">
      <alignment vertical="center"/>
    </xf>
    <xf numFmtId="0" fontId="33" fillId="51" borderId="173" xfId="0" applyFont="1" applyFill="1" applyBorder="1">
      <alignment vertical="center"/>
    </xf>
    <xf numFmtId="0" fontId="33" fillId="51" borderId="163" xfId="0" applyFont="1" applyFill="1" applyBorder="1">
      <alignment vertical="center"/>
    </xf>
    <xf numFmtId="0" fontId="33" fillId="51" borderId="162" xfId="0" applyFont="1" applyFill="1" applyBorder="1">
      <alignment vertical="center"/>
    </xf>
    <xf numFmtId="0" fontId="166" fillId="27" borderId="156" xfId="0" applyFont="1" applyFill="1" applyBorder="1" applyAlignment="1" applyProtection="1">
      <alignment horizontal="left" vertical="center"/>
      <protection hidden="1"/>
    </xf>
    <xf numFmtId="0" fontId="166" fillId="27" borderId="157" xfId="0" applyFont="1" applyFill="1" applyBorder="1" applyAlignment="1" applyProtection="1">
      <alignment horizontal="right" vertical="center"/>
      <protection hidden="1"/>
    </xf>
    <xf numFmtId="2" fontId="166" fillId="27" borderId="157" xfId="0" applyNumberFormat="1" applyFont="1" applyFill="1" applyBorder="1" applyAlignment="1" applyProtection="1">
      <alignment horizontal="left" vertical="center"/>
      <protection hidden="1"/>
    </xf>
    <xf numFmtId="0" fontId="166" fillId="27" borderId="158" xfId="0" applyFont="1" applyFill="1" applyBorder="1" applyAlignment="1" applyProtection="1">
      <alignment horizontal="center" vertical="center"/>
      <protection hidden="1"/>
    </xf>
    <xf numFmtId="0" fontId="166" fillId="27" borderId="157" xfId="0" applyFont="1" applyFill="1" applyBorder="1" applyAlignment="1" applyProtection="1">
      <alignment horizontal="center" vertical="center"/>
      <protection hidden="1"/>
    </xf>
    <xf numFmtId="0" fontId="166" fillId="27" borderId="12" xfId="0" applyFont="1" applyFill="1" applyBorder="1" applyAlignment="1" applyProtection="1">
      <alignment horizontal="center" vertical="center"/>
      <protection hidden="1"/>
    </xf>
    <xf numFmtId="0" fontId="166" fillId="27" borderId="13" xfId="0" applyFont="1" applyFill="1" applyBorder="1" applyAlignment="1" applyProtection="1">
      <alignment horizontal="right" vertical="center"/>
      <protection hidden="1"/>
    </xf>
    <xf numFmtId="2" fontId="166" fillId="27" borderId="13" xfId="0" applyNumberFormat="1" applyFont="1" applyFill="1" applyBorder="1" applyAlignment="1" applyProtection="1">
      <alignment horizontal="left" vertical="center"/>
      <protection hidden="1"/>
    </xf>
    <xf numFmtId="0" fontId="166" fillId="27" borderId="14" xfId="0" applyFont="1" applyFill="1" applyBorder="1" applyAlignment="1" applyProtection="1">
      <alignment horizontal="left" vertical="center"/>
      <protection hidden="1"/>
    </xf>
    <xf numFmtId="0" fontId="166" fillId="27" borderId="12" xfId="0" applyFont="1" applyFill="1" applyBorder="1" applyAlignment="1" applyProtection="1">
      <alignment horizontal="left" vertical="center"/>
      <protection hidden="1"/>
    </xf>
    <xf numFmtId="0" fontId="166" fillId="27" borderId="13" xfId="0" applyFont="1" applyFill="1" applyBorder="1" applyAlignment="1" applyProtection="1">
      <alignment horizontal="left" vertical="center"/>
      <protection hidden="1"/>
    </xf>
    <xf numFmtId="2" fontId="166" fillId="27" borderId="13" xfId="0" applyNumberFormat="1" applyFont="1" applyFill="1" applyBorder="1" applyAlignment="1" applyProtection="1">
      <alignment horizontal="left" vertical="center" wrapText="1"/>
      <protection hidden="1"/>
    </xf>
    <xf numFmtId="0" fontId="31" fillId="27" borderId="169" xfId="0" applyFont="1" applyFill="1" applyBorder="1" applyAlignment="1" applyProtection="1">
      <alignment horizontal="center" vertical="center"/>
      <protection hidden="1"/>
    </xf>
    <xf numFmtId="0" fontId="166" fillId="27" borderId="161" xfId="0" applyFont="1" applyFill="1" applyBorder="1" applyAlignment="1" applyProtection="1">
      <alignment horizontal="left" vertical="center"/>
      <protection hidden="1"/>
    </xf>
    <xf numFmtId="2" fontId="166" fillId="27" borderId="163" xfId="0" applyNumberFormat="1" applyFont="1" applyFill="1" applyBorder="1" applyAlignment="1" applyProtection="1">
      <alignment horizontal="left" vertical="center"/>
      <protection hidden="1"/>
    </xf>
    <xf numFmtId="0" fontId="166" fillId="27" borderId="163" xfId="0" applyFont="1" applyFill="1" applyBorder="1" applyAlignment="1" applyProtection="1">
      <alignment horizontal="left" vertical="center"/>
      <protection hidden="1"/>
    </xf>
    <xf numFmtId="0" fontId="166" fillId="27" borderId="162" xfId="0" applyFont="1" applyFill="1" applyBorder="1" applyAlignment="1" applyProtection="1">
      <alignment horizontal="left" vertical="center"/>
      <protection hidden="1"/>
    </xf>
    <xf numFmtId="193" fontId="31" fillId="31" borderId="56" xfId="0" applyNumberFormat="1" applyFont="1" applyFill="1" applyBorder="1" applyAlignment="1">
      <alignment horizontal="center" vertical="center"/>
    </xf>
    <xf numFmtId="0" fontId="166" fillId="27" borderId="157" xfId="0" applyFont="1" applyFill="1" applyBorder="1" applyAlignment="1" applyProtection="1">
      <alignment horizontal="left" vertical="center"/>
      <protection hidden="1"/>
    </xf>
    <xf numFmtId="0" fontId="166" fillId="27" borderId="13" xfId="0" applyFont="1" applyFill="1" applyBorder="1" applyAlignment="1" applyProtection="1">
      <alignment horizontal="center" vertical="center"/>
      <protection hidden="1"/>
    </xf>
    <xf numFmtId="0" fontId="166" fillId="27" borderId="163" xfId="0" applyFont="1" applyFill="1" applyBorder="1" applyAlignment="1" applyProtection="1">
      <alignment horizontal="center" vertical="center"/>
      <protection hidden="1"/>
    </xf>
    <xf numFmtId="0" fontId="33" fillId="53" borderId="52" xfId="0" applyFont="1" applyFill="1" applyBorder="1" applyAlignment="1" applyProtection="1">
      <alignment horizontal="centerContinuous" vertical="center"/>
      <protection hidden="1"/>
    </xf>
    <xf numFmtId="0" fontId="12" fillId="53" borderId="53" xfId="0" applyFont="1" applyFill="1" applyBorder="1">
      <alignment vertical="center"/>
    </xf>
    <xf numFmtId="0" fontId="166" fillId="27" borderId="158" xfId="0" applyFont="1" applyFill="1" applyBorder="1" applyAlignment="1" applyProtection="1">
      <alignment horizontal="left" vertical="center"/>
      <protection hidden="1"/>
    </xf>
    <xf numFmtId="0" fontId="166" fillId="27" borderId="14" xfId="0" applyFont="1" applyFill="1" applyBorder="1" applyAlignment="1" applyProtection="1">
      <alignment horizontal="center" vertical="center"/>
      <protection hidden="1"/>
    </xf>
    <xf numFmtId="0" fontId="31" fillId="27" borderId="168" xfId="0" applyFont="1" applyFill="1" applyBorder="1" applyAlignment="1" applyProtection="1">
      <alignment horizontal="center" vertical="center"/>
      <protection hidden="1"/>
    </xf>
    <xf numFmtId="0" fontId="33" fillId="0" borderId="58" xfId="0" applyFont="1" applyBorder="1">
      <alignment vertical="center"/>
    </xf>
    <xf numFmtId="0" fontId="33" fillId="0" borderId="0" xfId="0" applyFont="1" applyAlignment="1">
      <alignment horizontal="center" vertical="center"/>
    </xf>
    <xf numFmtId="0" fontId="12" fillId="0" borderId="0" xfId="0" applyFont="1" applyAlignment="1">
      <alignment horizontal="left" vertical="center" wrapText="1"/>
    </xf>
    <xf numFmtId="0" fontId="46" fillId="29" borderId="0" xfId="0" applyFont="1" applyFill="1" applyProtection="1">
      <alignment vertical="center"/>
      <protection hidden="1"/>
    </xf>
    <xf numFmtId="0" fontId="149" fillId="29" borderId="0" xfId="0" applyFont="1" applyFill="1">
      <alignment vertical="center"/>
    </xf>
    <xf numFmtId="0" fontId="41" fillId="29" borderId="0" xfId="0" applyFont="1" applyFill="1" applyAlignment="1" applyProtection="1">
      <alignment horizontal="justify"/>
      <protection hidden="1"/>
    </xf>
    <xf numFmtId="0" fontId="31" fillId="29" borderId="0" xfId="0" applyFont="1" applyFill="1">
      <alignment vertical="center"/>
    </xf>
    <xf numFmtId="0" fontId="33" fillId="29" borderId="0" xfId="0" applyFont="1" applyFill="1">
      <alignment vertical="center"/>
    </xf>
    <xf numFmtId="177" fontId="197" fillId="0" borderId="92" xfId="0" applyNumberFormat="1" applyFont="1" applyBorder="1" applyAlignment="1" applyProtection="1">
      <alignment horizontal="center" vertical="center"/>
      <protection hidden="1"/>
    </xf>
    <xf numFmtId="0" fontId="261" fillId="0" borderId="0" xfId="0" applyFont="1" applyAlignment="1">
      <alignment horizontal="center" vertical="center"/>
    </xf>
    <xf numFmtId="177" fontId="197" fillId="0" borderId="115" xfId="0" applyNumberFormat="1" applyFont="1" applyBorder="1" applyAlignment="1" applyProtection="1">
      <alignment horizontal="center" vertical="center"/>
      <protection hidden="1"/>
    </xf>
    <xf numFmtId="0" fontId="262" fillId="0" borderId="62" xfId="0" applyFont="1" applyBorder="1" applyAlignment="1" applyProtection="1">
      <alignment horizontal="center" vertical="justify"/>
      <protection hidden="1"/>
    </xf>
    <xf numFmtId="0" fontId="197" fillId="0" borderId="60" xfId="0" applyFont="1" applyBorder="1" applyAlignment="1" applyProtection="1">
      <alignment horizontal="center" vertical="justify"/>
      <protection hidden="1"/>
    </xf>
    <xf numFmtId="0" fontId="197" fillId="0" borderId="66" xfId="0" applyFont="1" applyBorder="1" applyAlignment="1" applyProtection="1">
      <alignment horizontal="center" vertical="justify"/>
      <protection hidden="1"/>
    </xf>
    <xf numFmtId="177" fontId="197" fillId="0" borderId="68" xfId="0" applyNumberFormat="1" applyFont="1" applyBorder="1" applyAlignment="1" applyProtection="1">
      <alignment horizontal="center" vertical="center"/>
      <protection hidden="1"/>
    </xf>
    <xf numFmtId="177" fontId="197" fillId="0" borderId="0" xfId="0" applyNumberFormat="1" applyFont="1" applyAlignment="1" applyProtection="1">
      <alignment horizontal="center" vertical="center"/>
      <protection hidden="1"/>
    </xf>
    <xf numFmtId="0" fontId="12" fillId="27" borderId="59" xfId="0" applyFont="1" applyFill="1" applyBorder="1" applyAlignment="1"/>
    <xf numFmtId="0" fontId="46" fillId="27" borderId="73" xfId="0" applyFont="1" applyFill="1" applyBorder="1" applyAlignment="1"/>
    <xf numFmtId="0" fontId="38" fillId="27" borderId="73" xfId="0" applyFont="1" applyFill="1" applyBorder="1">
      <alignment vertical="center"/>
    </xf>
    <xf numFmtId="0" fontId="0" fillId="27" borderId="73" xfId="0" applyFill="1" applyBorder="1">
      <alignment vertical="center"/>
    </xf>
    <xf numFmtId="0" fontId="38" fillId="27" borderId="73" xfId="0" applyFont="1" applyFill="1" applyBorder="1" applyAlignment="1">
      <alignment horizontal="right" vertical="center"/>
    </xf>
    <xf numFmtId="0" fontId="12" fillId="27" borderId="73" xfId="0" applyFont="1" applyFill="1" applyBorder="1" applyAlignment="1">
      <alignment horizontal="right"/>
    </xf>
    <xf numFmtId="0" fontId="12" fillId="27" borderId="73" xfId="0" applyFont="1" applyFill="1" applyBorder="1" applyAlignment="1"/>
    <xf numFmtId="0" fontId="0" fillId="27" borderId="61" xfId="0" applyFill="1" applyBorder="1">
      <alignment vertical="center"/>
    </xf>
    <xf numFmtId="0" fontId="125" fillId="27" borderId="0" xfId="44" quotePrefix="1" applyFont="1" applyFill="1" applyAlignment="1">
      <alignment vertical="center"/>
    </xf>
    <xf numFmtId="0" fontId="125" fillId="27" borderId="0" xfId="0" applyFont="1" applyFill="1" applyAlignment="1">
      <alignment horizontal="right" vertical="center"/>
    </xf>
    <xf numFmtId="0" fontId="33" fillId="27" borderId="0" xfId="0" applyFont="1" applyFill="1" applyAlignment="1">
      <alignment horizontal="right" vertical="top"/>
    </xf>
    <xf numFmtId="213" fontId="38" fillId="27" borderId="10" xfId="0" applyNumberFormat="1" applyFont="1" applyFill="1" applyBorder="1" applyAlignment="1">
      <alignment horizontal="center" vertical="center"/>
    </xf>
    <xf numFmtId="0" fontId="33" fillId="27" borderId="0" xfId="0" applyFont="1" applyFill="1" applyAlignment="1">
      <alignment vertical="center" wrapText="1"/>
    </xf>
    <xf numFmtId="0" fontId="33" fillId="27" borderId="63" xfId="0" applyFont="1" applyFill="1" applyBorder="1" applyAlignment="1">
      <alignment vertical="center" wrapText="1"/>
    </xf>
    <xf numFmtId="178" fontId="38" fillId="27" borderId="0" xfId="0" applyNumberFormat="1" applyFont="1" applyFill="1">
      <alignment vertical="center"/>
    </xf>
    <xf numFmtId="0" fontId="41" fillId="27" borderId="0" xfId="0" applyFont="1" applyFill="1" applyAlignment="1">
      <alignment horizontal="right" vertical="top"/>
    </xf>
    <xf numFmtId="0" fontId="33" fillId="27" borderId="10" xfId="0" applyFont="1" applyFill="1" applyBorder="1" applyAlignment="1">
      <alignment horizontal="center" vertical="center"/>
    </xf>
    <xf numFmtId="178" fontId="38" fillId="27" borderId="10" xfId="0" applyNumberFormat="1" applyFont="1" applyFill="1" applyBorder="1">
      <alignment vertical="center"/>
    </xf>
    <xf numFmtId="193" fontId="38" fillId="27" borderId="144" xfId="0" applyNumberFormat="1" applyFont="1" applyFill="1" applyBorder="1" applyAlignment="1">
      <alignment horizontal="center" vertical="center"/>
    </xf>
    <xf numFmtId="0" fontId="33" fillId="27" borderId="0" xfId="0" applyFont="1" applyFill="1" applyAlignment="1">
      <alignment vertical="top" wrapText="1"/>
    </xf>
    <xf numFmtId="0" fontId="38" fillId="27" borderId="63" xfId="0" applyFont="1" applyFill="1" applyBorder="1" applyAlignment="1">
      <alignment horizontal="right" vertical="center"/>
    </xf>
    <xf numFmtId="0" fontId="263" fillId="27" borderId="0" xfId="0" applyFont="1" applyFill="1" applyAlignment="1">
      <alignment horizontal="right" vertical="center"/>
    </xf>
    <xf numFmtId="0" fontId="263" fillId="27" borderId="0" xfId="0" applyFont="1" applyFill="1" applyAlignment="1">
      <alignment horizontal="left" vertical="center"/>
    </xf>
    <xf numFmtId="0" fontId="33" fillId="27" borderId="0" xfId="0" applyFont="1" applyFill="1" applyAlignment="1">
      <alignment horizontal="right" vertical="center"/>
    </xf>
    <xf numFmtId="178" fontId="38" fillId="58" borderId="144" xfId="0" applyNumberFormat="1" applyFont="1" applyFill="1" applyBorder="1" applyAlignment="1" applyProtection="1">
      <alignment horizontal="center" vertical="center"/>
      <protection locked="0"/>
    </xf>
    <xf numFmtId="2" fontId="0" fillId="0" borderId="0" xfId="0" applyNumberFormat="1">
      <alignment vertical="center"/>
    </xf>
    <xf numFmtId="0" fontId="166" fillId="27" borderId="0" xfId="0" applyFont="1" applyFill="1">
      <alignment vertical="center"/>
    </xf>
    <xf numFmtId="205" fontId="38" fillId="58" borderId="26" xfId="0" applyNumberFormat="1" applyFont="1" applyFill="1" applyBorder="1" applyProtection="1">
      <alignment vertical="center"/>
      <protection locked="0"/>
    </xf>
    <xf numFmtId="205" fontId="38" fillId="51" borderId="50" xfId="0" applyNumberFormat="1" applyFont="1" applyFill="1" applyBorder="1" applyProtection="1">
      <alignment vertical="center"/>
      <protection locked="0"/>
    </xf>
    <xf numFmtId="205" fontId="38" fillId="51" borderId="27" xfId="0" applyNumberFormat="1" applyFont="1" applyFill="1" applyBorder="1" applyProtection="1">
      <alignment vertical="center"/>
      <protection locked="0"/>
    </xf>
    <xf numFmtId="205" fontId="38" fillId="58" borderId="151" xfId="0" applyNumberFormat="1" applyFont="1" applyFill="1" applyBorder="1" applyProtection="1">
      <alignment vertical="center"/>
      <protection locked="0"/>
    </xf>
    <xf numFmtId="205" fontId="38" fillId="51" borderId="126" xfId="0" applyNumberFormat="1" applyFont="1" applyFill="1" applyBorder="1" applyProtection="1">
      <alignment vertical="center"/>
      <protection locked="0"/>
    </xf>
    <xf numFmtId="205" fontId="38" fillId="51" borderId="152" xfId="0" applyNumberFormat="1" applyFont="1" applyFill="1" applyBorder="1" applyProtection="1">
      <alignment vertical="center"/>
      <protection locked="0"/>
    </xf>
    <xf numFmtId="213" fontId="125" fillId="51" borderId="10" xfId="0" applyNumberFormat="1" applyFont="1" applyFill="1" applyBorder="1" applyAlignment="1">
      <alignment horizontal="center" vertical="center"/>
    </xf>
    <xf numFmtId="213" fontId="125" fillId="51" borderId="68" xfId="0" applyNumberFormat="1" applyFont="1" applyFill="1" applyBorder="1" applyAlignment="1">
      <alignment horizontal="center" vertical="center"/>
    </xf>
    <xf numFmtId="213" fontId="125" fillId="51" borderId="144" xfId="0" applyNumberFormat="1" applyFont="1" applyFill="1" applyBorder="1" applyAlignment="1">
      <alignment horizontal="center" vertical="center"/>
    </xf>
    <xf numFmtId="0" fontId="166" fillId="27" borderId="0" xfId="0" applyFont="1" applyFill="1" applyAlignment="1">
      <alignment horizontal="left" vertical="center"/>
    </xf>
    <xf numFmtId="0" fontId="38" fillId="31" borderId="27" xfId="44" applyFont="1" applyFill="1" applyBorder="1" applyAlignment="1">
      <alignment horizontal="center" vertical="center"/>
    </xf>
    <xf numFmtId="0" fontId="38" fillId="53" borderId="10" xfId="44" applyFont="1" applyFill="1" applyBorder="1" applyAlignment="1">
      <alignment horizontal="center" vertical="center"/>
    </xf>
    <xf numFmtId="2" fontId="38" fillId="27" borderId="10" xfId="0" applyNumberFormat="1" applyFont="1" applyFill="1" applyBorder="1">
      <alignment vertical="center"/>
    </xf>
    <xf numFmtId="2" fontId="38" fillId="27" borderId="27" xfId="0" applyNumberFormat="1" applyFont="1" applyFill="1" applyBorder="1">
      <alignment vertical="center"/>
    </xf>
    <xf numFmtId="205" fontId="38" fillId="58" borderId="280" xfId="0" applyNumberFormat="1" applyFont="1" applyFill="1" applyBorder="1" applyProtection="1">
      <alignment vertical="center"/>
      <protection locked="0"/>
    </xf>
    <xf numFmtId="2" fontId="38" fillId="27" borderId="280" xfId="28" applyNumberFormat="1" applyFont="1" applyFill="1" applyBorder="1" applyProtection="1">
      <alignment vertical="center"/>
    </xf>
    <xf numFmtId="2" fontId="38" fillId="27" borderId="280" xfId="0" applyNumberFormat="1" applyFont="1" applyFill="1" applyBorder="1">
      <alignment vertical="center"/>
    </xf>
    <xf numFmtId="2" fontId="38" fillId="27" borderId="281" xfId="0" applyNumberFormat="1" applyFont="1" applyFill="1" applyBorder="1">
      <alignment vertical="center"/>
    </xf>
    <xf numFmtId="205" fontId="38" fillId="27" borderId="55" xfId="0" applyNumberFormat="1" applyFont="1" applyFill="1" applyBorder="1">
      <alignment vertical="center"/>
    </xf>
    <xf numFmtId="2" fontId="38" fillId="27" borderId="55" xfId="28" applyNumberFormat="1" applyFont="1" applyFill="1" applyBorder="1" applyProtection="1">
      <alignment vertical="center"/>
    </xf>
    <xf numFmtId="2" fontId="38" fillId="27" borderId="55" xfId="0" applyNumberFormat="1" applyFont="1" applyFill="1" applyBorder="1">
      <alignment vertical="center"/>
    </xf>
    <xf numFmtId="0" fontId="31" fillId="27" borderId="0" xfId="0" applyFont="1" applyFill="1">
      <alignment vertical="center"/>
    </xf>
    <xf numFmtId="0" fontId="125" fillId="27" borderId="0" xfId="0" quotePrefix="1" applyFont="1" applyFill="1">
      <alignment vertical="center"/>
    </xf>
    <xf numFmtId="0" fontId="31" fillId="27" borderId="0" xfId="0" applyFont="1" applyFill="1" applyAlignment="1">
      <alignment horizontal="right" vertical="center"/>
    </xf>
    <xf numFmtId="0" fontId="33" fillId="27" borderId="51" xfId="0" applyFont="1" applyFill="1" applyBorder="1" applyAlignment="1">
      <alignment horizontal="center"/>
    </xf>
    <xf numFmtId="0" fontId="125" fillId="27" borderId="50" xfId="0" applyFont="1" applyFill="1" applyBorder="1">
      <alignment vertical="center"/>
    </xf>
    <xf numFmtId="0" fontId="33" fillId="27" borderId="55" xfId="0" applyFont="1" applyFill="1" applyBorder="1" applyAlignment="1">
      <alignment horizontal="center"/>
    </xf>
    <xf numFmtId="0" fontId="33" fillId="27" borderId="50" xfId="0" applyFont="1" applyFill="1" applyBorder="1" applyAlignment="1">
      <alignment horizontal="center" vertical="center" wrapText="1"/>
    </xf>
    <xf numFmtId="0" fontId="33" fillId="27" borderId="10" xfId="0" applyFont="1" applyFill="1" applyBorder="1" applyAlignment="1">
      <alignment vertical="center" wrapText="1"/>
    </xf>
    <xf numFmtId="40" fontId="38" fillId="27" borderId="10" xfId="0" applyNumberFormat="1" applyFont="1" applyFill="1" applyBorder="1">
      <alignment vertical="center"/>
    </xf>
    <xf numFmtId="0" fontId="166" fillId="27" borderId="66" xfId="0" applyFont="1" applyFill="1" applyBorder="1">
      <alignment vertical="center"/>
    </xf>
    <xf numFmtId="0" fontId="125" fillId="27" borderId="66" xfId="0" applyFont="1" applyFill="1" applyBorder="1">
      <alignment vertical="center"/>
    </xf>
    <xf numFmtId="0" fontId="38" fillId="27" borderId="67" xfId="0" applyFont="1" applyFill="1" applyBorder="1">
      <alignment vertical="center"/>
    </xf>
    <xf numFmtId="0" fontId="38" fillId="27" borderId="59" xfId="0" applyFont="1" applyFill="1" applyBorder="1">
      <alignment vertical="center"/>
    </xf>
    <xf numFmtId="0" fontId="125" fillId="27" borderId="60" xfId="44" applyFont="1" applyFill="1" applyBorder="1" applyAlignment="1">
      <alignment vertical="center"/>
    </xf>
    <xf numFmtId="0" fontId="38" fillId="27" borderId="60" xfId="0" applyFont="1" applyFill="1" applyBorder="1">
      <alignment vertical="center"/>
    </xf>
    <xf numFmtId="0" fontId="38" fillId="27" borderId="60" xfId="44" applyFont="1" applyFill="1" applyBorder="1" applyAlignment="1">
      <alignment horizontal="right"/>
    </xf>
    <xf numFmtId="0" fontId="38" fillId="27" borderId="60" xfId="44" applyFont="1" applyFill="1" applyBorder="1"/>
    <xf numFmtId="0" fontId="38" fillId="27" borderId="61" xfId="44" applyFont="1" applyFill="1" applyBorder="1" applyAlignment="1">
      <alignment horizontal="right"/>
    </xf>
    <xf numFmtId="0" fontId="38" fillId="27" borderId="63" xfId="44" applyFont="1" applyFill="1" applyBorder="1" applyAlignment="1">
      <alignment horizontal="left"/>
    </xf>
    <xf numFmtId="178" fontId="33" fillId="27" borderId="0" xfId="0" applyNumberFormat="1" applyFont="1" applyFill="1" applyAlignment="1">
      <alignment horizontal="left" vertical="center"/>
    </xf>
    <xf numFmtId="178" fontId="38" fillId="27" borderId="0" xfId="0" applyNumberFormat="1" applyFont="1" applyFill="1" applyAlignment="1">
      <alignment horizontal="left" vertical="center"/>
    </xf>
    <xf numFmtId="0" fontId="33" fillId="27" borderId="0" xfId="44" applyFont="1" applyFill="1"/>
    <xf numFmtId="0" fontId="38" fillId="27" borderId="51" xfId="0" applyFont="1" applyFill="1" applyBorder="1" applyAlignment="1">
      <alignment vertical="top"/>
    </xf>
    <xf numFmtId="0" fontId="38" fillId="27" borderId="26" xfId="0" applyFont="1" applyFill="1" applyBorder="1" applyAlignment="1">
      <alignment vertical="top"/>
    </xf>
    <xf numFmtId="0" fontId="38" fillId="27" borderId="27" xfId="0" applyFont="1" applyFill="1" applyBorder="1" applyAlignment="1">
      <alignment vertical="top"/>
    </xf>
    <xf numFmtId="202" fontId="38" fillId="27" borderId="10" xfId="0" applyNumberFormat="1" applyFont="1" applyFill="1" applyBorder="1">
      <alignment vertical="center"/>
    </xf>
    <xf numFmtId="0" fontId="38" fillId="27" borderId="15" xfId="0" applyFont="1" applyFill="1" applyBorder="1" applyAlignment="1">
      <alignment vertical="top"/>
    </xf>
    <xf numFmtId="0" fontId="38" fillId="27" borderId="55" xfId="0" applyFont="1" applyFill="1" applyBorder="1" applyAlignment="1">
      <alignment vertical="top"/>
    </xf>
    <xf numFmtId="0" fontId="38" fillId="27" borderId="52" xfId="0" applyFont="1" applyFill="1" applyBorder="1" applyAlignment="1">
      <alignment vertical="top"/>
    </xf>
    <xf numFmtId="0" fontId="38" fillId="27" borderId="10" xfId="0" applyFont="1" applyFill="1" applyBorder="1" applyAlignment="1">
      <alignment vertical="top"/>
    </xf>
    <xf numFmtId="0" fontId="38" fillId="27" borderId="56" xfId="0" applyFont="1" applyFill="1" applyBorder="1" applyAlignment="1">
      <alignment vertical="top"/>
    </xf>
    <xf numFmtId="0" fontId="38" fillId="27" borderId="50" xfId="0" applyFont="1" applyFill="1" applyBorder="1" applyAlignment="1">
      <alignment vertical="top"/>
    </xf>
    <xf numFmtId="0" fontId="38" fillId="27" borderId="54" xfId="0" applyFont="1" applyFill="1" applyBorder="1" applyAlignment="1">
      <alignment vertical="top"/>
    </xf>
    <xf numFmtId="40" fontId="38" fillId="27" borderId="62" xfId="0" applyNumberFormat="1" applyFont="1" applyFill="1" applyBorder="1">
      <alignment vertical="center"/>
    </xf>
    <xf numFmtId="40" fontId="38" fillId="27" borderId="0" xfId="0" applyNumberFormat="1" applyFont="1" applyFill="1">
      <alignment vertical="center"/>
    </xf>
    <xf numFmtId="178" fontId="38" fillId="27" borderId="0" xfId="0" applyNumberFormat="1" applyFont="1" applyFill="1" applyAlignment="1">
      <alignment horizontal="right" vertical="center"/>
    </xf>
    <xf numFmtId="177" fontId="38" fillId="27" borderId="10" xfId="44" applyNumberFormat="1" applyFont="1" applyFill="1" applyBorder="1" applyAlignment="1">
      <alignment vertical="center"/>
    </xf>
    <xf numFmtId="0" fontId="43" fillId="27" borderId="0" xfId="44" applyFont="1" applyFill="1" applyAlignment="1">
      <alignment horizontal="left" vertical="center"/>
    </xf>
    <xf numFmtId="198" fontId="38" fillId="27" borderId="0" xfId="0" applyNumberFormat="1" applyFont="1" applyFill="1">
      <alignment vertical="center"/>
    </xf>
    <xf numFmtId="38" fontId="38" fillId="27" borderId="0" xfId="0" applyNumberFormat="1" applyFont="1" applyFill="1">
      <alignment vertical="center"/>
    </xf>
    <xf numFmtId="187" fontId="38" fillId="27" borderId="10" xfId="44" applyNumberFormat="1" applyFont="1" applyFill="1" applyBorder="1" applyAlignment="1">
      <alignment vertical="center"/>
    </xf>
    <xf numFmtId="0" fontId="164" fillId="27" borderId="0" xfId="0" applyFont="1" applyFill="1">
      <alignment vertical="center"/>
    </xf>
    <xf numFmtId="0" fontId="33" fillId="27" borderId="0" xfId="0" applyFont="1" applyFill="1" applyAlignment="1">
      <alignment horizontal="left" vertical="center"/>
    </xf>
    <xf numFmtId="38" fontId="38" fillId="27" borderId="10" xfId="35" applyFont="1" applyFill="1" applyBorder="1" applyAlignment="1" applyProtection="1">
      <alignment horizontal="right" vertical="center"/>
    </xf>
    <xf numFmtId="0" fontId="33" fillId="27" borderId="0" xfId="44" applyFont="1" applyFill="1" applyAlignment="1">
      <alignment horizontal="left"/>
    </xf>
    <xf numFmtId="0" fontId="38" fillId="27" borderId="0" xfId="44" applyFont="1" applyFill="1" applyAlignment="1">
      <alignment horizontal="right"/>
    </xf>
    <xf numFmtId="0" fontId="165" fillId="0" borderId="10" xfId="0" applyFont="1" applyBorder="1">
      <alignment vertical="center"/>
    </xf>
    <xf numFmtId="0" fontId="165" fillId="0" borderId="0" xfId="44" applyFont="1"/>
    <xf numFmtId="207" fontId="165" fillId="0" borderId="10" xfId="44" applyNumberFormat="1" applyFont="1" applyBorder="1"/>
    <xf numFmtId="207" fontId="165" fillId="0" borderId="0" xfId="44" applyNumberFormat="1" applyFont="1"/>
    <xf numFmtId="211" fontId="41" fillId="51" borderId="57" xfId="0" applyNumberFormat="1" applyFont="1" applyFill="1" applyBorder="1">
      <alignment vertical="center"/>
    </xf>
    <xf numFmtId="0" fontId="196" fillId="51" borderId="50" xfId="0" applyFont="1" applyFill="1" applyBorder="1">
      <alignment vertical="center"/>
    </xf>
    <xf numFmtId="191" fontId="196" fillId="51" borderId="50" xfId="0" applyNumberFormat="1" applyFont="1" applyFill="1" applyBorder="1" applyAlignment="1">
      <alignment horizontal="right" vertical="center"/>
    </xf>
    <xf numFmtId="0" fontId="196" fillId="51" borderId="50" xfId="0" applyFont="1" applyFill="1" applyBorder="1" applyAlignment="1">
      <alignment horizontal="right" vertical="center"/>
    </xf>
    <xf numFmtId="0" fontId="196" fillId="51" borderId="57" xfId="0" applyFont="1" applyFill="1" applyBorder="1">
      <alignment vertical="center"/>
    </xf>
    <xf numFmtId="9" fontId="196" fillId="51" borderId="57" xfId="28" applyFont="1" applyFill="1" applyBorder="1">
      <alignment vertical="center"/>
    </xf>
    <xf numFmtId="0" fontId="196" fillId="51" borderId="57" xfId="0" applyFont="1" applyFill="1" applyBorder="1" applyAlignment="1">
      <alignment horizontal="right" vertical="center"/>
    </xf>
    <xf numFmtId="0" fontId="196" fillId="51" borderId="57" xfId="0" applyFont="1" applyFill="1" applyBorder="1" applyAlignment="1">
      <alignment horizontal="left" vertical="center"/>
    </xf>
    <xf numFmtId="0" fontId="166" fillId="58" borderId="26" xfId="0" applyFont="1" applyFill="1" applyBorder="1" applyProtection="1">
      <alignment vertical="center"/>
      <protection locked="0"/>
    </xf>
    <xf numFmtId="40" fontId="165" fillId="41" borderId="10" xfId="35" applyNumberFormat="1" applyFont="1" applyFill="1" applyBorder="1" applyAlignment="1" applyProtection="1">
      <alignment horizontal="right" vertical="center"/>
      <protection locked="0"/>
    </xf>
    <xf numFmtId="183" fontId="197" fillId="0" borderId="115" xfId="0" applyNumberFormat="1" applyFont="1" applyBorder="1" applyAlignment="1">
      <alignment horizontal="center" vertical="center"/>
    </xf>
    <xf numFmtId="0" fontId="165" fillId="27" borderId="53" xfId="0" applyFont="1" applyFill="1" applyBorder="1" applyAlignment="1">
      <alignment horizontal="left" vertical="center"/>
    </xf>
    <xf numFmtId="0" fontId="165" fillId="27" borderId="53" xfId="0" applyFont="1" applyFill="1" applyBorder="1">
      <alignment vertical="center"/>
    </xf>
    <xf numFmtId="0" fontId="177" fillId="27" borderId="90" xfId="0" applyFont="1" applyFill="1" applyBorder="1">
      <alignment vertical="center"/>
    </xf>
    <xf numFmtId="0" fontId="178" fillId="27" borderId="64" xfId="0" applyFont="1" applyFill="1" applyBorder="1">
      <alignment vertical="center"/>
    </xf>
    <xf numFmtId="206" fontId="166" fillId="51" borderId="10" xfId="28" applyNumberFormat="1" applyFont="1" applyFill="1" applyBorder="1">
      <alignment vertical="center"/>
    </xf>
    <xf numFmtId="0" fontId="39" fillId="0" borderId="26" xfId="0" applyFont="1" applyBorder="1" applyAlignment="1" applyProtection="1">
      <alignment horizontal="left" vertical="center"/>
      <protection locked="0"/>
    </xf>
    <xf numFmtId="0" fontId="39" fillId="0" borderId="50" xfId="0" applyFont="1" applyBorder="1" applyAlignment="1" applyProtection="1">
      <alignment horizontal="left" vertical="center"/>
      <protection locked="0"/>
    </xf>
    <xf numFmtId="0" fontId="39" fillId="29" borderId="27" xfId="0" applyFont="1" applyFill="1" applyBorder="1" applyAlignment="1" applyProtection="1">
      <alignment horizontal="left" vertical="center"/>
      <protection locked="0"/>
    </xf>
    <xf numFmtId="202" fontId="38" fillId="27" borderId="144" xfId="0" applyNumberFormat="1" applyFont="1" applyFill="1" applyBorder="1">
      <alignment vertical="center"/>
    </xf>
    <xf numFmtId="0" fontId="41" fillId="31" borderId="50" xfId="0" applyFont="1" applyFill="1" applyBorder="1" applyProtection="1">
      <alignment vertical="center"/>
      <protection hidden="1"/>
    </xf>
    <xf numFmtId="0" fontId="50" fillId="100" borderId="10" xfId="0" applyFont="1" applyFill="1" applyBorder="1" applyProtection="1">
      <alignment vertical="center"/>
      <protection hidden="1"/>
    </xf>
    <xf numFmtId="0" fontId="50" fillId="100" borderId="10" xfId="35" applyNumberFormat="1" applyFont="1" applyFill="1" applyBorder="1" applyAlignment="1" applyProtection="1">
      <protection hidden="1"/>
    </xf>
    <xf numFmtId="9" fontId="188" fillId="0" borderId="0" xfId="0" applyNumberFormat="1" applyFont="1">
      <alignment vertical="center"/>
    </xf>
    <xf numFmtId="205" fontId="165" fillId="58" borderId="10" xfId="0" applyNumberFormat="1" applyFont="1" applyFill="1" applyBorder="1" applyProtection="1">
      <alignment vertical="center"/>
      <protection locked="0"/>
    </xf>
    <xf numFmtId="178" fontId="165" fillId="58" borderId="144" xfId="0" applyNumberFormat="1" applyFont="1" applyFill="1" applyBorder="1" applyProtection="1">
      <alignment vertical="center"/>
      <protection locked="0"/>
    </xf>
    <xf numFmtId="0" fontId="263" fillId="51" borderId="0" xfId="0" applyFont="1" applyFill="1">
      <alignment vertical="center"/>
    </xf>
    <xf numFmtId="40" fontId="177" fillId="27" borderId="10" xfId="35" applyNumberFormat="1" applyFont="1" applyFill="1" applyBorder="1" applyAlignment="1" applyProtection="1">
      <alignment horizontal="right" vertical="center"/>
    </xf>
    <xf numFmtId="178" fontId="177" fillId="27" borderId="10" xfId="28" applyNumberFormat="1" applyFont="1" applyFill="1" applyBorder="1" applyProtection="1">
      <alignment vertical="center"/>
    </xf>
    <xf numFmtId="38" fontId="177" fillId="27" borderId="10" xfId="35" applyFont="1" applyFill="1" applyBorder="1" applyAlignment="1" applyProtection="1">
      <alignment horizontal="right" vertical="center"/>
    </xf>
    <xf numFmtId="0" fontId="39" fillId="0" borderId="26" xfId="0" applyFont="1" applyBorder="1" applyAlignment="1" applyProtection="1">
      <alignment horizontal="left" vertical="center" shrinkToFit="1"/>
      <protection locked="0"/>
    </xf>
    <xf numFmtId="0" fontId="39" fillId="0" borderId="50" xfId="0" applyFont="1" applyBorder="1" applyAlignment="1" applyProtection="1">
      <alignment horizontal="left" vertical="center" shrinkToFit="1"/>
      <protection locked="0"/>
    </xf>
    <xf numFmtId="0" fontId="39" fillId="0" borderId="27" xfId="0" applyFont="1" applyBorder="1" applyAlignment="1" applyProtection="1">
      <alignment horizontal="left" vertical="center" shrinkToFit="1"/>
      <protection locked="0"/>
    </xf>
    <xf numFmtId="0" fontId="39" fillId="0" borderId="26" xfId="0" applyFont="1" applyBorder="1" applyAlignment="1" applyProtection="1">
      <alignment horizontal="left" vertical="center"/>
      <protection locked="0"/>
    </xf>
    <xf numFmtId="0" fontId="39" fillId="0" borderId="50" xfId="0" applyFont="1" applyBorder="1" applyAlignment="1" applyProtection="1">
      <alignment horizontal="left" vertical="center"/>
      <protection locked="0"/>
    </xf>
    <xf numFmtId="0" fontId="39" fillId="29" borderId="27" xfId="0" applyFont="1" applyFill="1" applyBorder="1" applyAlignment="1" applyProtection="1">
      <alignment horizontal="left" vertical="center"/>
      <protection locked="0"/>
    </xf>
    <xf numFmtId="0" fontId="38" fillId="0" borderId="26" xfId="0" applyFont="1" applyBorder="1" applyAlignment="1" applyProtection="1">
      <alignment horizontal="left" vertical="center"/>
      <protection locked="0"/>
    </xf>
    <xf numFmtId="0" fontId="39" fillId="27" borderId="26" xfId="0" applyFont="1" applyFill="1" applyBorder="1" applyAlignment="1">
      <alignment horizontal="left" vertical="center" shrinkToFit="1"/>
    </xf>
    <xf numFmtId="0" fontId="39" fillId="27" borderId="50" xfId="0" applyFont="1" applyFill="1" applyBorder="1" applyAlignment="1">
      <alignment horizontal="left" vertical="center" shrinkToFit="1"/>
    </xf>
    <xf numFmtId="0" fontId="39" fillId="27" borderId="27" xfId="0" applyFont="1" applyFill="1" applyBorder="1" applyAlignment="1">
      <alignment horizontal="left" vertical="center" shrinkToFit="1"/>
    </xf>
    <xf numFmtId="0" fontId="46" fillId="0" borderId="189" xfId="29" applyNumberFormat="1" applyFont="1" applyFill="1" applyBorder="1" applyAlignment="1" applyProtection="1">
      <alignment horizontal="center" vertical="center"/>
      <protection hidden="1"/>
    </xf>
    <xf numFmtId="0" fontId="46" fillId="0" borderId="190" xfId="29" applyNumberFormat="1" applyFont="1" applyFill="1" applyBorder="1" applyAlignment="1" applyProtection="1">
      <alignment horizontal="center" vertical="center"/>
      <protection hidden="1"/>
    </xf>
    <xf numFmtId="0" fontId="46" fillId="0" borderId="191" xfId="29" applyNumberFormat="1" applyFont="1" applyFill="1" applyBorder="1" applyAlignment="1" applyProtection="1">
      <alignment horizontal="center" vertical="center"/>
      <protection hidden="1"/>
    </xf>
    <xf numFmtId="0" fontId="40" fillId="0" borderId="0" xfId="0" applyFont="1" applyAlignment="1" applyProtection="1">
      <alignment horizontal="left" shrinkToFit="1"/>
      <protection hidden="1"/>
    </xf>
    <xf numFmtId="0" fontId="0" fillId="0" borderId="0" xfId="0" applyAlignment="1">
      <alignment shrinkToFit="1"/>
    </xf>
    <xf numFmtId="0" fontId="0" fillId="0" borderId="0" xfId="0" applyAlignment="1">
      <alignment horizontal="left" shrinkToFit="1"/>
    </xf>
    <xf numFmtId="55" fontId="38" fillId="0" borderId="201" xfId="0" applyNumberFormat="1" applyFont="1" applyBorder="1" applyAlignment="1" applyProtection="1">
      <alignment horizontal="left" vertical="center"/>
      <protection hidden="1"/>
    </xf>
    <xf numFmtId="0" fontId="0" fillId="0" borderId="53" xfId="0" applyBorder="1">
      <alignment vertical="center"/>
    </xf>
    <xf numFmtId="0" fontId="68" fillId="0" borderId="62" xfId="0" applyFont="1" applyBorder="1" applyAlignment="1" applyProtection="1">
      <alignment horizontal="left" vertical="center" wrapText="1"/>
      <protection hidden="1"/>
    </xf>
    <xf numFmtId="0" fontId="68" fillId="0" borderId="0" xfId="0" applyFont="1" applyAlignment="1" applyProtection="1">
      <alignment horizontal="left" vertical="center" wrapText="1"/>
      <protection hidden="1"/>
    </xf>
    <xf numFmtId="0" fontId="68" fillId="0" borderId="63" xfId="0" applyFont="1" applyBorder="1" applyAlignment="1" applyProtection="1">
      <alignment horizontal="left" vertical="center" wrapText="1"/>
      <protection hidden="1"/>
    </xf>
    <xf numFmtId="0" fontId="68" fillId="0" borderId="65" xfId="0" applyFont="1" applyBorder="1" applyAlignment="1" applyProtection="1">
      <alignment horizontal="left" vertical="center" wrapText="1"/>
      <protection hidden="1"/>
    </xf>
    <xf numFmtId="0" fontId="68" fillId="0" borderId="66" xfId="0" applyFont="1" applyBorder="1" applyAlignment="1" applyProtection="1">
      <alignment horizontal="left" vertical="center" wrapText="1"/>
      <protection hidden="1"/>
    </xf>
    <xf numFmtId="0" fontId="68" fillId="0" borderId="67" xfId="0" applyFont="1" applyBorder="1" applyAlignment="1" applyProtection="1">
      <alignment horizontal="left" vertical="center" wrapText="1"/>
      <protection hidden="1"/>
    </xf>
    <xf numFmtId="55" fontId="38" fillId="0" borderId="78" xfId="0" applyNumberFormat="1" applyFont="1" applyBorder="1" applyAlignment="1" applyProtection="1">
      <alignment horizontal="left" vertical="center"/>
      <protection hidden="1"/>
    </xf>
    <xf numFmtId="0" fontId="0" fillId="0" borderId="57" xfId="0" applyBorder="1">
      <alignment vertical="center"/>
    </xf>
    <xf numFmtId="0" fontId="57" fillId="0" borderId="0" xfId="0" applyFont="1" applyAlignment="1" applyProtection="1">
      <alignment horizontal="center" vertical="center"/>
      <protection hidden="1"/>
    </xf>
    <xf numFmtId="56" fontId="235" fillId="30" borderId="85" xfId="0" applyNumberFormat="1" applyFont="1" applyFill="1" applyBorder="1" applyAlignment="1" applyProtection="1">
      <alignment horizontal="left" vertical="center"/>
      <protection hidden="1"/>
    </xf>
    <xf numFmtId="56" fontId="235" fillId="30" borderId="211" xfId="0" applyNumberFormat="1" applyFont="1" applyFill="1" applyBorder="1" applyAlignment="1" applyProtection="1">
      <alignment horizontal="left" vertical="center"/>
      <protection hidden="1"/>
    </xf>
    <xf numFmtId="56" fontId="235" fillId="30" borderId="213" xfId="0" applyNumberFormat="1" applyFont="1" applyFill="1" applyBorder="1" applyAlignment="1" applyProtection="1">
      <alignment horizontal="left" vertical="center"/>
      <protection hidden="1"/>
    </xf>
    <xf numFmtId="0" fontId="57" fillId="50" borderId="10" xfId="0" applyFont="1" applyFill="1" applyBorder="1" applyAlignment="1" applyProtection="1">
      <alignment horizontal="left" vertical="center"/>
      <protection hidden="1"/>
    </xf>
    <xf numFmtId="0" fontId="50" fillId="50" borderId="10" xfId="0" applyFont="1" applyFill="1" applyBorder="1" applyAlignment="1" applyProtection="1">
      <alignment horizontal="left" vertical="center"/>
      <protection hidden="1"/>
    </xf>
    <xf numFmtId="0" fontId="0" fillId="27" borderId="0" xfId="0" applyFill="1" applyAlignment="1">
      <alignment horizontal="left" vertical="top" wrapText="1"/>
    </xf>
    <xf numFmtId="0" fontId="12" fillId="27" borderId="0" xfId="0" applyFont="1" applyFill="1" applyAlignment="1">
      <alignment horizontal="left" vertical="top" wrapText="1"/>
    </xf>
    <xf numFmtId="0" fontId="242" fillId="0" borderId="0" xfId="0" applyFont="1" applyAlignment="1">
      <alignment horizontal="right" vertical="center"/>
    </xf>
    <xf numFmtId="0" fontId="245" fillId="0" borderId="214" xfId="0" applyFont="1" applyBorder="1" applyAlignment="1" applyProtection="1">
      <alignment horizontal="center" vertical="center" wrapText="1"/>
      <protection hidden="1"/>
    </xf>
    <xf numFmtId="0" fontId="245" fillId="0" borderId="15" xfId="0" applyFont="1" applyBorder="1" applyAlignment="1" applyProtection="1">
      <alignment horizontal="center" vertical="center"/>
      <protection hidden="1"/>
    </xf>
    <xf numFmtId="0" fontId="245" fillId="0" borderId="114" xfId="0" applyFont="1" applyBorder="1" applyAlignment="1" applyProtection="1">
      <alignment horizontal="center" vertical="center" wrapText="1"/>
      <protection hidden="1"/>
    </xf>
    <xf numFmtId="0" fontId="245" fillId="0" borderId="119" xfId="0" applyFont="1" applyBorder="1" applyAlignment="1" applyProtection="1">
      <alignment horizontal="center" vertical="center"/>
      <protection hidden="1"/>
    </xf>
    <xf numFmtId="0" fontId="44" fillId="0" borderId="189" xfId="0" applyFont="1" applyBorder="1" applyAlignment="1" applyProtection="1">
      <alignment horizontal="center" vertical="center"/>
      <protection hidden="1"/>
    </xf>
    <xf numFmtId="0" fontId="44" fillId="0" borderId="191" xfId="0" applyFont="1" applyBorder="1" applyAlignment="1" applyProtection="1">
      <alignment horizontal="center" vertical="center"/>
      <protection hidden="1"/>
    </xf>
    <xf numFmtId="199" fontId="249" fillId="0" borderId="51" xfId="0" quotePrefix="1" applyNumberFormat="1" applyFont="1" applyBorder="1" applyAlignment="1" applyProtection="1">
      <alignment horizontal="center" vertical="center"/>
      <protection hidden="1"/>
    </xf>
    <xf numFmtId="199" fontId="249" fillId="0" borderId="15" xfId="0" quotePrefix="1" applyNumberFormat="1" applyFont="1" applyBorder="1" applyAlignment="1" applyProtection="1">
      <alignment horizontal="center" vertical="center"/>
      <protection hidden="1"/>
    </xf>
    <xf numFmtId="199" fontId="249" fillId="0" borderId="55" xfId="0" quotePrefix="1" applyNumberFormat="1" applyFont="1" applyBorder="1" applyAlignment="1" applyProtection="1">
      <alignment horizontal="center" vertical="center"/>
      <protection hidden="1"/>
    </xf>
    <xf numFmtId="199" fontId="249" fillId="0" borderId="150" xfId="0" quotePrefix="1" applyNumberFormat="1" applyFont="1" applyBorder="1" applyAlignment="1" applyProtection="1">
      <alignment horizontal="center" vertical="center"/>
      <protection hidden="1"/>
    </xf>
    <xf numFmtId="199" fontId="249" fillId="0" borderId="119" xfId="0" quotePrefix="1" applyNumberFormat="1" applyFont="1" applyBorder="1" applyAlignment="1" applyProtection="1">
      <alignment horizontal="center" vertical="center"/>
      <protection hidden="1"/>
    </xf>
    <xf numFmtId="199" fontId="249" fillId="0" borderId="215" xfId="0" quotePrefix="1" applyNumberFormat="1" applyFont="1" applyBorder="1" applyAlignment="1" applyProtection="1">
      <alignment horizontal="center" vertical="center"/>
      <protection hidden="1"/>
    </xf>
    <xf numFmtId="0" fontId="249" fillId="0" borderId="15" xfId="0" applyFont="1" applyBorder="1" applyAlignment="1" applyProtection="1">
      <alignment horizontal="center" vertical="center"/>
      <protection hidden="1"/>
    </xf>
    <xf numFmtId="0" fontId="249" fillId="0" borderId="119" xfId="0" applyFont="1" applyBorder="1" applyAlignment="1" applyProtection="1">
      <alignment horizontal="center" vertical="center"/>
      <protection hidden="1"/>
    </xf>
    <xf numFmtId="0" fontId="247" fillId="0" borderId="15" xfId="0" applyFont="1" applyBorder="1" applyAlignment="1">
      <alignment horizontal="center" vertical="center"/>
    </xf>
    <xf numFmtId="0" fontId="247" fillId="0" borderId="119" xfId="0" applyFont="1" applyBorder="1" applyAlignment="1">
      <alignment horizontal="center" vertical="center"/>
    </xf>
    <xf numFmtId="0" fontId="249" fillId="0" borderId="51" xfId="0" quotePrefix="1" applyFont="1" applyBorder="1" applyAlignment="1" applyProtection="1">
      <alignment horizontal="center" vertical="center"/>
      <protection hidden="1"/>
    </xf>
    <xf numFmtId="0" fontId="249" fillId="0" borderId="15" xfId="0" quotePrefix="1" applyFont="1" applyBorder="1" applyAlignment="1" applyProtection="1">
      <alignment horizontal="center" vertical="center"/>
      <protection hidden="1"/>
    </xf>
    <xf numFmtId="0" fontId="253" fillId="0" borderId="55" xfId="0" applyFont="1" applyBorder="1" applyAlignment="1" applyProtection="1">
      <alignment horizontal="center" vertical="center"/>
      <protection hidden="1"/>
    </xf>
    <xf numFmtId="0" fontId="253" fillId="0" borderId="215" xfId="0" applyFont="1" applyBorder="1" applyAlignment="1" applyProtection="1">
      <alignment horizontal="center" vertical="center"/>
      <protection hidden="1"/>
    </xf>
    <xf numFmtId="0" fontId="249" fillId="0" borderId="217" xfId="0" applyFont="1" applyBorder="1" applyAlignment="1" applyProtection="1">
      <alignment horizontal="center" vertical="center"/>
      <protection hidden="1"/>
    </xf>
    <xf numFmtId="0" fontId="249" fillId="0" borderId="117" xfId="0" applyFont="1" applyBorder="1" applyAlignment="1" applyProtection="1">
      <alignment horizontal="center" vertical="center"/>
      <protection hidden="1"/>
    </xf>
    <xf numFmtId="199" fontId="249" fillId="0" borderId="52" xfId="0" applyNumberFormat="1" applyFont="1" applyBorder="1" applyAlignment="1" applyProtection="1">
      <alignment horizontal="center" vertical="center"/>
      <protection hidden="1"/>
    </xf>
    <xf numFmtId="0" fontId="12" fillId="0" borderId="64" xfId="0" applyFont="1" applyBorder="1" applyAlignment="1">
      <alignment horizontal="center" vertical="center"/>
    </xf>
    <xf numFmtId="0" fontId="12" fillId="0" borderId="83" xfId="0" applyFont="1" applyBorder="1" applyAlignment="1">
      <alignment horizontal="center" vertical="center"/>
    </xf>
    <xf numFmtId="199" fontId="249" fillId="0" borderId="150" xfId="0" applyNumberFormat="1" applyFont="1" applyBorder="1" applyAlignment="1" applyProtection="1">
      <alignment horizontal="center" vertical="center"/>
      <protection hidden="1"/>
    </xf>
    <xf numFmtId="199" fontId="249" fillId="0" borderId="117" xfId="0" quotePrefix="1" applyNumberFormat="1" applyFont="1" applyBorder="1" applyAlignment="1" applyProtection="1">
      <alignment horizontal="center" vertical="center"/>
      <protection hidden="1"/>
    </xf>
    <xf numFmtId="199" fontId="249" fillId="0" borderId="64" xfId="0" applyNumberFormat="1" applyFont="1" applyBorder="1" applyAlignment="1" applyProtection="1">
      <alignment horizontal="center" vertical="center"/>
      <protection hidden="1"/>
    </xf>
    <xf numFmtId="0" fontId="12" fillId="0" borderId="119" xfId="0" applyFont="1" applyBorder="1" applyAlignment="1">
      <alignment horizontal="center" vertical="center"/>
    </xf>
    <xf numFmtId="199" fontId="249" fillId="0" borderId="51" xfId="0" applyNumberFormat="1" applyFont="1" applyBorder="1" applyAlignment="1" applyProtection="1">
      <alignment horizontal="center" vertical="center"/>
      <protection hidden="1"/>
    </xf>
    <xf numFmtId="0" fontId="12" fillId="0" borderId="15" xfId="0" applyFont="1" applyBorder="1" applyAlignment="1">
      <alignment horizontal="center" vertical="center"/>
    </xf>
    <xf numFmtId="0" fontId="38" fillId="27" borderId="50" xfId="0" applyFont="1" applyFill="1" applyBorder="1" applyAlignment="1">
      <alignment vertical="center" shrinkToFit="1"/>
    </xf>
    <xf numFmtId="0" fontId="0" fillId="0" borderId="50" xfId="0" applyBorder="1" applyAlignment="1">
      <alignment vertical="center" shrinkToFit="1"/>
    </xf>
    <xf numFmtId="0" fontId="0" fillId="0" borderId="82" xfId="0" applyBorder="1" applyAlignment="1">
      <alignment vertical="center" shrinkToFit="1"/>
    </xf>
    <xf numFmtId="0" fontId="38" fillId="27" borderId="52" xfId="0" applyFont="1" applyFill="1" applyBorder="1" applyAlignment="1">
      <alignment horizontal="left" vertical="center" shrinkToFit="1"/>
    </xf>
    <xf numFmtId="0" fontId="38" fillId="27" borderId="53" xfId="0" applyFont="1" applyFill="1" applyBorder="1" applyAlignment="1">
      <alignment horizontal="left" vertical="center" shrinkToFit="1"/>
    </xf>
    <xf numFmtId="0" fontId="0" fillId="0" borderId="90" xfId="0" applyBorder="1" applyAlignment="1">
      <alignment vertical="center" shrinkToFit="1"/>
    </xf>
    <xf numFmtId="0" fontId="38" fillId="27" borderId="26" xfId="0" applyFont="1" applyFill="1" applyBorder="1" applyAlignment="1">
      <alignment horizontal="left" vertical="center" shrinkToFit="1"/>
    </xf>
    <xf numFmtId="0" fontId="38" fillId="27" borderId="50" xfId="0" applyFont="1" applyFill="1" applyBorder="1" applyAlignment="1">
      <alignment horizontal="left" vertical="center" shrinkToFit="1"/>
    </xf>
    <xf numFmtId="0" fontId="38" fillId="27" borderId="26" xfId="0" applyFont="1" applyFill="1" applyBorder="1" applyAlignment="1">
      <alignment vertical="center" shrinkToFit="1"/>
    </xf>
    <xf numFmtId="0" fontId="34" fillId="27" borderId="52" xfId="0" applyFont="1" applyFill="1" applyBorder="1" applyAlignment="1" applyProtection="1">
      <alignment horizontal="center" vertical="center" wrapText="1"/>
      <protection hidden="1"/>
    </xf>
    <xf numFmtId="0" fontId="50" fillId="27" borderId="54" xfId="0" applyFont="1" applyFill="1" applyBorder="1" applyAlignment="1">
      <alignment horizontal="center" vertical="center" wrapText="1"/>
    </xf>
    <xf numFmtId="0" fontId="50" fillId="27" borderId="56" xfId="0" applyFont="1" applyFill="1" applyBorder="1" applyAlignment="1">
      <alignment horizontal="center" vertical="center" wrapText="1"/>
    </xf>
    <xf numFmtId="0" fontId="50" fillId="27" borderId="58" xfId="0" applyFont="1" applyFill="1" applyBorder="1" applyAlignment="1">
      <alignment horizontal="center" vertical="center" wrapText="1"/>
    </xf>
    <xf numFmtId="0" fontId="33" fillId="27" borderId="72" xfId="0" applyFont="1" applyFill="1" applyBorder="1" applyAlignment="1" applyProtection="1">
      <alignment horizontal="center" vertical="center"/>
      <protection hidden="1"/>
    </xf>
    <xf numFmtId="0" fontId="33" fillId="0" borderId="73" xfId="0" applyFont="1" applyBorder="1" applyAlignment="1">
      <alignment horizontal="center" vertical="center"/>
    </xf>
    <xf numFmtId="0" fontId="33" fillId="0" borderId="75" xfId="0" applyFont="1" applyBorder="1" applyAlignment="1">
      <alignment horizontal="center" vertical="center"/>
    </xf>
    <xf numFmtId="0" fontId="97" fillId="0" borderId="65" xfId="0" applyFont="1" applyBorder="1" applyAlignment="1">
      <alignment vertical="center" shrinkToFit="1"/>
    </xf>
    <xf numFmtId="0" fontId="0" fillId="0" borderId="66" xfId="0" applyBorder="1" applyAlignment="1">
      <alignment vertical="center" shrinkToFit="1"/>
    </xf>
    <xf numFmtId="0" fontId="0" fillId="0" borderId="67" xfId="0" applyBorder="1" applyAlignment="1">
      <alignment vertical="center" shrinkToFit="1"/>
    </xf>
    <xf numFmtId="0" fontId="64" fillId="37" borderId="69" xfId="0" applyFont="1" applyFill="1" applyBorder="1" applyAlignment="1">
      <alignment horizontal="center" vertical="center"/>
    </xf>
    <xf numFmtId="0" fontId="64" fillId="37" borderId="71" xfId="0" applyFont="1" applyFill="1" applyBorder="1" applyAlignment="1">
      <alignment horizontal="center" vertical="center"/>
    </xf>
    <xf numFmtId="180" fontId="33" fillId="0" borderId="89" xfId="0" applyNumberFormat="1" applyFont="1" applyBorder="1" applyAlignment="1">
      <alignment horizontal="left" vertical="top" wrapText="1"/>
    </xf>
    <xf numFmtId="180" fontId="33" fillId="0" borderId="53" xfId="0" applyNumberFormat="1" applyFont="1" applyBorder="1" applyAlignment="1">
      <alignment horizontal="left" vertical="top" wrapText="1"/>
    </xf>
    <xf numFmtId="180" fontId="33" fillId="0" borderId="90" xfId="0" applyNumberFormat="1" applyFont="1" applyBorder="1" applyAlignment="1">
      <alignment horizontal="left" vertical="top" wrapText="1"/>
    </xf>
    <xf numFmtId="180" fontId="33" fillId="0" borderId="62" xfId="0" applyNumberFormat="1" applyFont="1" applyBorder="1" applyAlignment="1">
      <alignment horizontal="left" vertical="top" wrapText="1"/>
    </xf>
    <xf numFmtId="180" fontId="33" fillId="0" borderId="0" xfId="0" applyNumberFormat="1" applyFont="1" applyAlignment="1">
      <alignment horizontal="left" vertical="top" wrapText="1"/>
    </xf>
    <xf numFmtId="180" fontId="33" fillId="0" borderId="63" xfId="0" applyNumberFormat="1" applyFont="1" applyBorder="1" applyAlignment="1">
      <alignment horizontal="left" vertical="top" wrapText="1"/>
    </xf>
    <xf numFmtId="180" fontId="33" fillId="0" borderId="77" xfId="0" applyNumberFormat="1" applyFont="1" applyBorder="1" applyAlignment="1">
      <alignment horizontal="left" vertical="top" wrapText="1"/>
    </xf>
    <xf numFmtId="180" fontId="33" fillId="0" borderId="57" xfId="0" applyNumberFormat="1" applyFont="1" applyBorder="1" applyAlignment="1">
      <alignment horizontal="left" vertical="top" wrapText="1"/>
    </xf>
    <xf numFmtId="180" fontId="33" fillId="0" borderId="79" xfId="0" applyNumberFormat="1" applyFont="1" applyBorder="1" applyAlignment="1">
      <alignment horizontal="left" vertical="top" wrapText="1"/>
    </xf>
    <xf numFmtId="180" fontId="33" fillId="0" borderId="65" xfId="0" applyNumberFormat="1" applyFont="1" applyBorder="1" applyAlignment="1">
      <alignment horizontal="left" vertical="top" wrapText="1"/>
    </xf>
    <xf numFmtId="180" fontId="33" fillId="0" borderId="66" xfId="0" applyNumberFormat="1" applyFont="1" applyBorder="1" applyAlignment="1">
      <alignment horizontal="left" vertical="top" wrapText="1"/>
    </xf>
    <xf numFmtId="180" fontId="33" fillId="0" borderId="67" xfId="0" applyNumberFormat="1" applyFont="1" applyBorder="1" applyAlignment="1">
      <alignment horizontal="left" vertical="top" wrapText="1"/>
    </xf>
    <xf numFmtId="180" fontId="33" fillId="0" borderId="277" xfId="0" applyNumberFormat="1" applyFont="1" applyBorder="1" applyAlignment="1">
      <alignment horizontal="left" vertical="top" wrapText="1"/>
    </xf>
    <xf numFmtId="180" fontId="33" fillId="0" borderId="109" xfId="0" applyNumberFormat="1" applyFont="1" applyBorder="1" applyAlignment="1">
      <alignment horizontal="left" vertical="top" wrapText="1"/>
    </xf>
    <xf numFmtId="180" fontId="33" fillId="0" borderId="278" xfId="0" applyNumberFormat="1" applyFont="1" applyBorder="1" applyAlignment="1">
      <alignment horizontal="left" vertical="top" wrapText="1"/>
    </xf>
    <xf numFmtId="180" fontId="33" fillId="0" borderId="80" xfId="0" applyNumberFormat="1" applyFont="1" applyBorder="1" applyAlignment="1">
      <alignment horizontal="left" vertical="top" wrapText="1"/>
    </xf>
    <xf numFmtId="180" fontId="33" fillId="0" borderId="50" xfId="0" applyNumberFormat="1" applyFont="1" applyBorder="1" applyAlignment="1">
      <alignment horizontal="left" vertical="top" wrapText="1"/>
    </xf>
    <xf numFmtId="180" fontId="33" fillId="0" borderId="82" xfId="0" applyNumberFormat="1" applyFont="1" applyBorder="1" applyAlignment="1">
      <alignment horizontal="left" vertical="top" wrapText="1"/>
    </xf>
    <xf numFmtId="0" fontId="33" fillId="27" borderId="51" xfId="0" applyFont="1" applyFill="1" applyBorder="1" applyAlignment="1">
      <alignment horizontal="left" vertical="top" wrapText="1"/>
    </xf>
    <xf numFmtId="0" fontId="33" fillId="27" borderId="55" xfId="0" applyFont="1" applyFill="1" applyBorder="1" applyAlignment="1">
      <alignment horizontal="left" vertical="top" wrapText="1"/>
    </xf>
    <xf numFmtId="0" fontId="33" fillId="27" borderId="15" xfId="0" applyFont="1" applyFill="1" applyBorder="1" applyAlignment="1">
      <alignment horizontal="left" vertical="center"/>
    </xf>
    <xf numFmtId="0" fontId="33" fillId="27" borderId="55" xfId="0" applyFont="1" applyFill="1" applyBorder="1" applyAlignment="1">
      <alignment horizontal="left" vertical="center"/>
    </xf>
    <xf numFmtId="0" fontId="33" fillId="31" borderId="26" xfId="0" applyFont="1" applyFill="1" applyBorder="1" applyAlignment="1" applyProtection="1">
      <alignment horizontal="center" vertical="center"/>
      <protection hidden="1"/>
    </xf>
    <xf numFmtId="0" fontId="33" fillId="31" borderId="27" xfId="0" applyFont="1" applyFill="1" applyBorder="1" applyAlignment="1" applyProtection="1">
      <alignment horizontal="center" vertical="center"/>
      <protection hidden="1"/>
    </xf>
    <xf numFmtId="0" fontId="33" fillId="27" borderId="156" xfId="0" applyFont="1" applyFill="1" applyBorder="1" applyAlignment="1" applyProtection="1">
      <alignment horizontal="left" vertical="center" wrapText="1"/>
      <protection hidden="1"/>
    </xf>
    <xf numFmtId="0" fontId="12" fillId="38" borderId="157" xfId="0" applyFont="1" applyFill="1" applyBorder="1" applyAlignment="1">
      <alignment horizontal="left" vertical="center" wrapText="1"/>
    </xf>
    <xf numFmtId="0" fontId="166" fillId="27" borderId="161" xfId="0" applyFont="1" applyFill="1" applyBorder="1" applyAlignment="1" applyProtection="1">
      <alignment horizontal="left" vertical="center" wrapText="1"/>
      <protection hidden="1"/>
    </xf>
    <xf numFmtId="0" fontId="12" fillId="38" borderId="162" xfId="0" applyFont="1" applyFill="1" applyBorder="1" applyAlignment="1">
      <alignment horizontal="left" vertical="center" wrapText="1"/>
    </xf>
    <xf numFmtId="0" fontId="166" fillId="27" borderId="12" xfId="0" applyFont="1" applyFill="1" applyBorder="1" applyAlignment="1" applyProtection="1">
      <alignment horizontal="left" vertical="center" wrapText="1"/>
      <protection hidden="1"/>
    </xf>
    <xf numFmtId="0" fontId="12" fillId="38" borderId="14" xfId="0" applyFont="1" applyFill="1" applyBorder="1" applyAlignment="1">
      <alignment horizontal="left" vertical="center" wrapText="1"/>
    </xf>
    <xf numFmtId="0" fontId="33" fillId="27" borderId="12" xfId="0" applyFont="1" applyFill="1" applyBorder="1" applyAlignment="1" applyProtection="1">
      <alignment horizontal="left" vertical="center" wrapText="1"/>
      <protection hidden="1"/>
    </xf>
    <xf numFmtId="0" fontId="33" fillId="27" borderId="158" xfId="0" applyFont="1" applyFill="1" applyBorder="1" applyAlignment="1" applyProtection="1">
      <alignment horizontal="left" vertical="center" wrapText="1"/>
      <protection hidden="1"/>
    </xf>
    <xf numFmtId="0" fontId="33" fillId="31" borderId="26" xfId="0" applyFont="1" applyFill="1" applyBorder="1" applyAlignment="1" applyProtection="1">
      <alignment horizontal="center" vertical="center" shrinkToFit="1"/>
      <protection hidden="1"/>
    </xf>
    <xf numFmtId="0" fontId="12" fillId="0" borderId="82" xfId="0" applyFont="1" applyBorder="1" applyAlignment="1">
      <alignment horizontal="center" vertical="center" shrinkToFit="1"/>
    </xf>
    <xf numFmtId="0" fontId="33" fillId="27" borderId="161" xfId="0" applyFont="1" applyFill="1" applyBorder="1" applyAlignment="1" applyProtection="1">
      <alignment horizontal="left" vertical="center" wrapText="1"/>
      <protection hidden="1"/>
    </xf>
    <xf numFmtId="0" fontId="12" fillId="38" borderId="163" xfId="0" applyFont="1" applyFill="1" applyBorder="1" applyAlignment="1">
      <alignment horizontal="left" vertical="center" wrapText="1"/>
    </xf>
    <xf numFmtId="0" fontId="12" fillId="38" borderId="13" xfId="0" applyFont="1" applyFill="1" applyBorder="1" applyAlignment="1">
      <alignment horizontal="left" vertical="center" wrapText="1"/>
    </xf>
    <xf numFmtId="0" fontId="41" fillId="27" borderId="26" xfId="0" applyFont="1" applyFill="1" applyBorder="1" applyAlignment="1" applyProtection="1">
      <alignment horizontal="left" vertical="center" wrapText="1"/>
      <protection hidden="1"/>
    </xf>
    <xf numFmtId="0" fontId="12" fillId="38" borderId="27" xfId="0" applyFont="1" applyFill="1" applyBorder="1" applyAlignment="1">
      <alignment horizontal="left" vertical="center" wrapText="1"/>
    </xf>
    <xf numFmtId="0" fontId="41" fillId="27" borderId="50" xfId="0" applyFont="1" applyFill="1" applyBorder="1" applyAlignment="1" applyProtection="1">
      <alignment horizontal="left" vertical="center" wrapText="1"/>
      <protection hidden="1"/>
    </xf>
    <xf numFmtId="0" fontId="12" fillId="27" borderId="27" xfId="0" applyFont="1" applyFill="1" applyBorder="1" applyAlignment="1">
      <alignment horizontal="left" vertical="center" wrapText="1"/>
    </xf>
    <xf numFmtId="0" fontId="41" fillId="27" borderId="80" xfId="0" applyFont="1" applyFill="1" applyBorder="1" applyAlignment="1" applyProtection="1">
      <alignment horizontal="left" vertical="center" wrapText="1"/>
      <protection hidden="1"/>
    </xf>
    <xf numFmtId="0" fontId="41" fillId="27" borderId="27" xfId="0" applyFont="1" applyFill="1" applyBorder="1" applyAlignment="1" applyProtection="1">
      <alignment horizontal="left" vertical="center" wrapText="1"/>
      <protection hidden="1"/>
    </xf>
    <xf numFmtId="0" fontId="33" fillId="27" borderId="156" xfId="0" applyFont="1" applyFill="1" applyBorder="1" applyAlignment="1">
      <alignment horizontal="left" vertical="center" wrapText="1"/>
    </xf>
    <xf numFmtId="0" fontId="12" fillId="38" borderId="158" xfId="0" applyFont="1" applyFill="1" applyBorder="1" applyAlignment="1">
      <alignment horizontal="left" vertical="center" wrapText="1"/>
    </xf>
    <xf numFmtId="0" fontId="31" fillId="31" borderId="15" xfId="0" applyFont="1" applyFill="1" applyBorder="1" applyAlignment="1" applyProtection="1">
      <alignment horizontal="center" vertical="center"/>
      <protection hidden="1"/>
    </xf>
    <xf numFmtId="0" fontId="33" fillId="27" borderId="157" xfId="0" applyFont="1" applyFill="1" applyBorder="1" applyAlignment="1" applyProtection="1">
      <alignment horizontal="left" vertical="center" wrapText="1"/>
      <protection hidden="1"/>
    </xf>
    <xf numFmtId="0" fontId="33" fillId="27" borderId="13" xfId="0" applyFont="1" applyFill="1" applyBorder="1" applyAlignment="1" applyProtection="1">
      <alignment horizontal="left" vertical="center" wrapText="1"/>
      <protection hidden="1"/>
    </xf>
    <xf numFmtId="0" fontId="33" fillId="27" borderId="12" xfId="0" applyFont="1" applyFill="1" applyBorder="1" applyAlignment="1">
      <alignment horizontal="left" vertical="center" wrapText="1"/>
    </xf>
    <xf numFmtId="0" fontId="33" fillId="27" borderId="161" xfId="0" applyFont="1" applyFill="1" applyBorder="1" applyAlignment="1">
      <alignment horizontal="left" vertical="center" wrapText="1"/>
    </xf>
    <xf numFmtId="0" fontId="12" fillId="0" borderId="163" xfId="0" applyFont="1" applyBorder="1" applyAlignment="1">
      <alignment horizontal="left" vertical="center" wrapText="1"/>
    </xf>
    <xf numFmtId="0" fontId="12" fillId="0" borderId="162" xfId="0" applyFont="1" applyBorder="1" applyAlignment="1">
      <alignment horizontal="left" vertical="center" wrapText="1"/>
    </xf>
    <xf numFmtId="0" fontId="33" fillId="27" borderId="163" xfId="0" applyFont="1" applyFill="1" applyBorder="1" applyAlignment="1" applyProtection="1">
      <alignment horizontal="left" vertical="center" wrapText="1"/>
      <protection hidden="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33" fillId="27" borderId="161" xfId="0" applyFont="1" applyFill="1" applyBorder="1" applyAlignment="1" applyProtection="1">
      <alignment vertical="center" wrapText="1"/>
      <protection hidden="1"/>
    </xf>
    <xf numFmtId="0" fontId="12" fillId="0" borderId="163" xfId="0" applyFont="1" applyBorder="1" applyAlignment="1">
      <alignment vertical="center" wrapText="1"/>
    </xf>
    <xf numFmtId="0" fontId="12" fillId="0" borderId="162" xfId="0" applyFont="1" applyBorder="1" applyAlignment="1">
      <alignment vertical="center" wrapText="1"/>
    </xf>
    <xf numFmtId="0" fontId="33" fillId="27" borderId="162" xfId="0" applyFont="1" applyFill="1" applyBorder="1" applyAlignment="1" applyProtection="1">
      <alignment horizontal="left" vertical="center" wrapText="1"/>
      <protection hidden="1"/>
    </xf>
    <xf numFmtId="0" fontId="41" fillId="27" borderId="193" xfId="0" applyFont="1" applyFill="1" applyBorder="1" applyAlignment="1" applyProtection="1">
      <alignment horizontal="left" vertical="center" wrapText="1"/>
      <protection hidden="1"/>
    </xf>
    <xf numFmtId="0" fontId="41" fillId="38" borderId="158" xfId="0" applyFont="1" applyFill="1" applyBorder="1" applyAlignment="1">
      <alignment horizontal="left" vertical="center" wrapText="1"/>
    </xf>
    <xf numFmtId="0" fontId="41" fillId="27" borderId="175" xfId="0" applyFont="1" applyFill="1" applyBorder="1" applyAlignment="1" applyProtection="1">
      <alignment horizontal="left" vertical="center" wrapText="1"/>
      <protection hidden="1"/>
    </xf>
    <xf numFmtId="0" fontId="41" fillId="38" borderId="14" xfId="0" applyFont="1" applyFill="1" applyBorder="1" applyAlignment="1">
      <alignment horizontal="left" vertical="center" wrapText="1"/>
    </xf>
    <xf numFmtId="0" fontId="41" fillId="0" borderId="0" xfId="0" applyFont="1" applyAlignment="1">
      <alignment horizontal="left" vertical="center" wrapText="1"/>
    </xf>
    <xf numFmtId="0" fontId="33" fillId="27" borderId="12" xfId="0" applyFont="1" applyFill="1" applyBorder="1" applyAlignment="1" applyProtection="1">
      <alignment vertical="center" wrapText="1"/>
      <protection hidden="1"/>
    </xf>
    <xf numFmtId="0" fontId="12" fillId="38" borderId="13" xfId="0" applyFont="1" applyFill="1" applyBorder="1" applyAlignment="1">
      <alignment vertical="center" wrapText="1"/>
    </xf>
    <xf numFmtId="0" fontId="12" fillId="38" borderId="14" xfId="0" applyFont="1" applyFill="1" applyBorder="1" applyAlignment="1">
      <alignment vertical="center" wrapText="1"/>
    </xf>
    <xf numFmtId="0" fontId="41" fillId="27" borderId="192" xfId="0" applyFont="1" applyFill="1" applyBorder="1" applyAlignment="1" applyProtection="1">
      <alignment horizontal="left" vertical="center" wrapText="1"/>
      <protection hidden="1"/>
    </xf>
    <xf numFmtId="0" fontId="41" fillId="38" borderId="162" xfId="0" applyFont="1" applyFill="1" applyBorder="1" applyAlignment="1">
      <alignment horizontal="left" vertical="center" wrapText="1"/>
    </xf>
    <xf numFmtId="0" fontId="33" fillId="31" borderId="27" xfId="0" applyFont="1" applyFill="1" applyBorder="1" applyAlignment="1" applyProtection="1">
      <alignment horizontal="center" vertical="center" wrapText="1"/>
      <protection hidden="1"/>
    </xf>
    <xf numFmtId="0" fontId="33" fillId="31" borderId="10" xfId="0" applyFont="1" applyFill="1" applyBorder="1" applyAlignment="1" applyProtection="1">
      <alignment horizontal="center" vertical="center" wrapText="1"/>
      <protection hidden="1"/>
    </xf>
    <xf numFmtId="0" fontId="33" fillId="27" borderId="161" xfId="0" applyFont="1" applyFill="1" applyBorder="1" applyAlignment="1" applyProtection="1">
      <alignment horizontal="left" vertical="center" shrinkToFit="1"/>
      <protection hidden="1"/>
    </xf>
    <xf numFmtId="0" fontId="12" fillId="38" borderId="163" xfId="0" applyFont="1" applyFill="1" applyBorder="1" applyAlignment="1">
      <alignment horizontal="left" vertical="center" shrinkToFit="1"/>
    </xf>
    <xf numFmtId="0" fontId="12" fillId="38" borderId="162" xfId="0" applyFont="1" applyFill="1" applyBorder="1" applyAlignment="1">
      <alignment horizontal="left" vertical="center" shrinkToFit="1"/>
    </xf>
    <xf numFmtId="0" fontId="33" fillId="27" borderId="14" xfId="0" applyFont="1" applyFill="1" applyBorder="1" applyAlignment="1" applyProtection="1">
      <alignment horizontal="left" vertical="center" wrapText="1"/>
      <protection hidden="1"/>
    </xf>
    <xf numFmtId="0" fontId="12" fillId="38" borderId="163" xfId="0" applyFont="1" applyFill="1" applyBorder="1" applyAlignment="1">
      <alignment vertical="center" wrapText="1"/>
    </xf>
    <xf numFmtId="0" fontId="12" fillId="38" borderId="162" xfId="0" applyFont="1" applyFill="1" applyBorder="1" applyAlignment="1">
      <alignment vertical="center" wrapText="1"/>
    </xf>
    <xf numFmtId="0" fontId="12" fillId="38" borderId="157" xfId="0" applyFont="1" applyFill="1" applyBorder="1">
      <alignment vertical="center"/>
    </xf>
    <xf numFmtId="0" fontId="12" fillId="38" borderId="14" xfId="0" applyFont="1" applyFill="1" applyBorder="1">
      <alignment vertical="center"/>
    </xf>
    <xf numFmtId="0" fontId="12" fillId="38" borderId="162" xfId="0" applyFont="1" applyFill="1" applyBorder="1">
      <alignment vertical="center"/>
    </xf>
    <xf numFmtId="0" fontId="33" fillId="31" borderId="80" xfId="0" applyFont="1" applyFill="1" applyBorder="1" applyAlignment="1" applyProtection="1">
      <alignment horizontal="center" vertical="center" wrapText="1"/>
      <protection hidden="1"/>
    </xf>
    <xf numFmtId="0" fontId="33" fillId="61" borderId="12" xfId="0" applyFont="1" applyFill="1" applyBorder="1" applyAlignment="1" applyProtection="1">
      <alignment horizontal="left" vertical="center" wrapText="1"/>
      <protection hidden="1"/>
    </xf>
    <xf numFmtId="0" fontId="12" fillId="62" borderId="14" xfId="0" applyFont="1" applyFill="1" applyBorder="1" applyAlignment="1">
      <alignment horizontal="left" vertical="center" wrapText="1"/>
    </xf>
    <xf numFmtId="0" fontId="33" fillId="61" borderId="14" xfId="0" applyFont="1" applyFill="1" applyBorder="1" applyAlignment="1" applyProtection="1">
      <alignment horizontal="left" vertical="center" wrapText="1"/>
      <protection hidden="1"/>
    </xf>
    <xf numFmtId="0" fontId="33" fillId="61" borderId="156" xfId="0" applyFont="1" applyFill="1" applyBorder="1" applyAlignment="1" applyProtection="1">
      <alignment horizontal="left" vertical="center" wrapText="1"/>
      <protection hidden="1"/>
    </xf>
    <xf numFmtId="0" fontId="12" fillId="62" borderId="158" xfId="0" applyFont="1" applyFill="1" applyBorder="1" applyAlignment="1">
      <alignment horizontal="left" vertical="center" wrapText="1"/>
    </xf>
    <xf numFmtId="0" fontId="33" fillId="61" borderId="158" xfId="0" applyFont="1" applyFill="1" applyBorder="1" applyAlignment="1" applyProtection="1">
      <alignment horizontal="left" vertical="center" wrapText="1"/>
      <protection hidden="1"/>
    </xf>
    <xf numFmtId="0" fontId="33" fillId="61" borderId="161" xfId="0" applyFont="1" applyFill="1" applyBorder="1" applyAlignment="1" applyProtection="1">
      <alignment horizontal="left" vertical="center" wrapText="1"/>
      <protection hidden="1"/>
    </xf>
    <xf numFmtId="0" fontId="12" fillId="62" borderId="162" xfId="0" applyFont="1" applyFill="1" applyBorder="1" applyAlignment="1">
      <alignment horizontal="left" vertical="center" wrapText="1"/>
    </xf>
    <xf numFmtId="0" fontId="33" fillId="61" borderId="162" xfId="0" applyFont="1" applyFill="1" applyBorder="1" applyAlignment="1" applyProtection="1">
      <alignment horizontal="left" vertical="center" wrapText="1"/>
      <protection hidden="1"/>
    </xf>
    <xf numFmtId="193" fontId="31" fillId="31" borderId="92" xfId="0" applyNumberFormat="1" applyFont="1" applyFill="1" applyBorder="1" applyAlignment="1" applyProtection="1">
      <alignment horizontal="center" vertical="center"/>
      <protection locked="0" hidden="1"/>
    </xf>
    <xf numFmtId="193" fontId="31" fillId="31" borderId="115" xfId="0" applyNumberFormat="1" applyFont="1" applyFill="1" applyBorder="1" applyAlignment="1" applyProtection="1">
      <alignment horizontal="center" vertical="center"/>
      <protection locked="0" hidden="1"/>
    </xf>
    <xf numFmtId="0" fontId="41" fillId="27" borderId="51" xfId="0" applyFont="1" applyFill="1" applyBorder="1" applyAlignment="1" applyProtection="1">
      <alignment horizontal="left" vertical="center" wrapText="1"/>
      <protection hidden="1"/>
    </xf>
    <xf numFmtId="0" fontId="41" fillId="27" borderId="15" xfId="0" applyFont="1" applyFill="1" applyBorder="1" applyAlignment="1" applyProtection="1">
      <alignment horizontal="left" vertical="center" wrapText="1"/>
      <protection hidden="1"/>
    </xf>
    <xf numFmtId="0" fontId="33" fillId="67" borderId="12" xfId="0" applyFont="1" applyFill="1" applyBorder="1" applyAlignment="1" applyProtection="1">
      <alignment horizontal="left" vertical="center" wrapText="1"/>
      <protection hidden="1"/>
    </xf>
    <xf numFmtId="0" fontId="12" fillId="68" borderId="14" xfId="0" applyFont="1" applyFill="1" applyBorder="1">
      <alignment vertical="center"/>
    </xf>
    <xf numFmtId="0" fontId="33" fillId="67" borderId="13" xfId="0" applyFont="1" applyFill="1" applyBorder="1" applyAlignment="1" applyProtection="1">
      <alignment horizontal="left" vertical="center" wrapText="1"/>
      <protection hidden="1"/>
    </xf>
    <xf numFmtId="0" fontId="33" fillId="67" borderId="161" xfId="0" applyFont="1" applyFill="1" applyBorder="1" applyAlignment="1" applyProtection="1">
      <alignment horizontal="left" vertical="center" wrapText="1"/>
      <protection hidden="1"/>
    </xf>
    <xf numFmtId="0" fontId="12" fillId="68" borderId="162" xfId="0" applyFont="1" applyFill="1" applyBorder="1" applyAlignment="1">
      <alignment horizontal="left" vertical="center" wrapText="1"/>
    </xf>
    <xf numFmtId="0" fontId="33" fillId="42" borderId="12" xfId="0" applyFont="1" applyFill="1" applyBorder="1" applyAlignment="1" applyProtection="1">
      <alignment horizontal="left" vertical="center" wrapText="1"/>
      <protection hidden="1"/>
    </xf>
    <xf numFmtId="0" fontId="12" fillId="48" borderId="14" xfId="0" applyFont="1" applyFill="1" applyBorder="1">
      <alignment vertical="center"/>
    </xf>
    <xf numFmtId="0" fontId="33" fillId="42" borderId="13" xfId="0" applyFont="1" applyFill="1" applyBorder="1" applyAlignment="1" applyProtection="1">
      <alignment horizontal="left" vertical="center" wrapText="1"/>
      <protection hidden="1"/>
    </xf>
    <xf numFmtId="0" fontId="33" fillId="27" borderId="52" xfId="0" applyFont="1" applyFill="1" applyBorder="1" applyAlignment="1" applyProtection="1">
      <alignment horizontal="left" vertical="center" wrapText="1"/>
      <protection hidden="1"/>
    </xf>
    <xf numFmtId="0" fontId="33" fillId="27" borderId="54" xfId="0" applyFont="1" applyFill="1" applyBorder="1" applyAlignment="1" applyProtection="1">
      <alignment horizontal="left" vertical="center" wrapText="1"/>
      <protection hidden="1"/>
    </xf>
    <xf numFmtId="0" fontId="33" fillId="27" borderId="56" xfId="0" applyFont="1" applyFill="1" applyBorder="1" applyAlignment="1" applyProtection="1">
      <alignment horizontal="left" vertical="center" wrapText="1"/>
      <protection hidden="1"/>
    </xf>
    <xf numFmtId="0" fontId="33" fillId="27" borderId="58" xfId="0" applyFont="1" applyFill="1" applyBorder="1" applyAlignment="1" applyProtection="1">
      <alignment horizontal="left" vertical="center" wrapText="1"/>
      <protection hidden="1"/>
    </xf>
    <xf numFmtId="0" fontId="33" fillId="42" borderId="161" xfId="0" applyFont="1" applyFill="1" applyBorder="1" applyAlignment="1" applyProtection="1">
      <alignment horizontal="left" vertical="center" wrapText="1"/>
      <protection hidden="1"/>
    </xf>
    <xf numFmtId="0" fontId="12" fillId="48" borderId="162" xfId="0" applyFont="1" applyFill="1" applyBorder="1" applyAlignment="1">
      <alignment horizontal="left" vertical="center" wrapText="1"/>
    </xf>
    <xf numFmtId="0" fontId="26" fillId="38" borderId="14" xfId="0" applyFont="1" applyFill="1" applyBorder="1">
      <alignment vertical="center"/>
    </xf>
    <xf numFmtId="0" fontId="12" fillId="38" borderId="13" xfId="0" applyFont="1" applyFill="1" applyBorder="1">
      <alignment vertical="center"/>
    </xf>
    <xf numFmtId="0" fontId="26" fillId="38" borderId="162" xfId="0" applyFont="1" applyFill="1" applyBorder="1" applyAlignment="1">
      <alignment horizontal="left" vertical="center" wrapText="1"/>
    </xf>
    <xf numFmtId="0" fontId="33" fillId="31" borderId="26" xfId="0" applyFont="1" applyFill="1" applyBorder="1" applyAlignment="1" applyProtection="1">
      <alignment horizontal="center" vertical="center" wrapText="1"/>
      <protection hidden="1"/>
    </xf>
    <xf numFmtId="0" fontId="0" fillId="0" borderId="50" xfId="0" applyBorder="1" applyAlignment="1">
      <alignment horizontal="center" vertical="center"/>
    </xf>
    <xf numFmtId="0" fontId="0" fillId="0" borderId="27" xfId="0" applyBorder="1" applyAlignment="1">
      <alignment horizontal="center" vertical="center"/>
    </xf>
    <xf numFmtId="0" fontId="33" fillId="51" borderId="12" xfId="0" applyFont="1" applyFill="1" applyBorder="1" applyAlignment="1" applyProtection="1">
      <alignment horizontal="left" vertical="center" wrapText="1"/>
      <protection hidden="1"/>
    </xf>
    <xf numFmtId="0" fontId="33" fillId="51" borderId="13" xfId="0" applyFont="1" applyFill="1" applyBorder="1" applyAlignment="1" applyProtection="1">
      <alignment horizontal="left" vertical="center" wrapText="1"/>
      <protection hidden="1"/>
    </xf>
    <xf numFmtId="0" fontId="33" fillId="51" borderId="14" xfId="0" applyFont="1" applyFill="1" applyBorder="1" applyAlignment="1" applyProtection="1">
      <alignment horizontal="left" vertical="center" wrapText="1"/>
      <protection hidden="1"/>
    </xf>
    <xf numFmtId="0" fontId="33" fillId="51" borderId="161" xfId="0" applyFont="1" applyFill="1" applyBorder="1" applyAlignment="1" applyProtection="1">
      <alignment horizontal="left" vertical="center" wrapText="1"/>
      <protection hidden="1"/>
    </xf>
    <xf numFmtId="0" fontId="0" fillId="0" borderId="163" xfId="0" applyBorder="1" applyAlignment="1">
      <alignment horizontal="left" vertical="center" wrapText="1"/>
    </xf>
    <xf numFmtId="0" fontId="0" fillId="0" borderId="162"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33" fillId="31" borderId="80" xfId="0" applyFont="1" applyFill="1" applyBorder="1" applyAlignment="1" applyProtection="1">
      <alignment horizontal="center" vertical="center" shrinkToFit="1"/>
      <protection hidden="1"/>
    </xf>
    <xf numFmtId="0" fontId="33" fillId="31" borderId="27" xfId="0" applyFont="1" applyFill="1" applyBorder="1" applyAlignment="1" applyProtection="1">
      <alignment horizontal="center" vertical="center" shrinkToFit="1"/>
      <protection hidden="1"/>
    </xf>
    <xf numFmtId="0" fontId="33" fillId="51" borderId="12" xfId="0" applyFont="1" applyFill="1" applyBorder="1" applyAlignment="1">
      <alignment horizontal="left" vertical="center" wrapText="1"/>
    </xf>
    <xf numFmtId="0" fontId="33" fillId="51" borderId="161" xfId="0" applyFont="1" applyFill="1" applyBorder="1" applyAlignment="1">
      <alignment horizontal="left" vertical="center" wrapText="1"/>
    </xf>
    <xf numFmtId="0" fontId="33" fillId="51" borderId="177" xfId="0" applyFont="1" applyFill="1" applyBorder="1" applyAlignment="1" applyProtection="1">
      <alignment horizontal="left" vertical="center" wrapText="1"/>
      <protection hidden="1"/>
    </xf>
    <xf numFmtId="0" fontId="33" fillId="51" borderId="13" xfId="0" applyFont="1" applyFill="1" applyBorder="1" applyAlignment="1">
      <alignment horizontal="left" vertical="center" wrapText="1"/>
    </xf>
    <xf numFmtId="0" fontId="33" fillId="51" borderId="14" xfId="0" applyFont="1" applyFill="1" applyBorder="1" applyAlignment="1">
      <alignment horizontal="left" vertical="center" wrapText="1"/>
    </xf>
    <xf numFmtId="0" fontId="33" fillId="51" borderId="157" xfId="0" applyFont="1" applyFill="1" applyBorder="1" applyAlignment="1">
      <alignment horizontal="left" vertical="center" wrapText="1"/>
    </xf>
    <xf numFmtId="0" fontId="0" fillId="51" borderId="157" xfId="0" applyFill="1" applyBorder="1" applyAlignment="1">
      <alignment horizontal="left" vertical="center" wrapText="1"/>
    </xf>
    <xf numFmtId="0" fontId="0" fillId="51" borderId="158" xfId="0" applyFill="1" applyBorder="1" applyAlignment="1">
      <alignment horizontal="left" vertical="center" wrapText="1"/>
    </xf>
    <xf numFmtId="0" fontId="33" fillId="51" borderId="173" xfId="0" applyFont="1" applyFill="1" applyBorder="1" applyAlignment="1">
      <alignment horizontal="left" vertical="center" wrapText="1"/>
    </xf>
    <xf numFmtId="0" fontId="0" fillId="51" borderId="173" xfId="0" applyFill="1" applyBorder="1" applyAlignment="1">
      <alignment horizontal="left" vertical="center" wrapText="1"/>
    </xf>
    <xf numFmtId="0" fontId="0" fillId="51" borderId="174" xfId="0" applyFill="1" applyBorder="1" applyAlignment="1">
      <alignment horizontal="left" vertical="center" wrapText="1"/>
    </xf>
    <xf numFmtId="0" fontId="33" fillId="27" borderId="176" xfId="0" applyFont="1" applyFill="1" applyBorder="1" applyAlignment="1" applyProtection="1">
      <alignment horizontal="left" vertical="center" wrapText="1"/>
      <protection hidden="1"/>
    </xf>
    <xf numFmtId="0" fontId="0" fillId="0" borderId="157" xfId="0" applyBorder="1" applyAlignment="1">
      <alignment horizontal="left" vertical="center" wrapText="1"/>
    </xf>
    <xf numFmtId="0" fontId="0" fillId="0" borderId="158" xfId="0" applyBorder="1" applyAlignment="1">
      <alignment horizontal="left" vertical="center" wrapText="1"/>
    </xf>
    <xf numFmtId="0" fontId="33" fillId="27" borderId="177" xfId="0" applyFont="1" applyFill="1" applyBorder="1" applyAlignment="1" applyProtection="1">
      <alignment horizontal="left" vertical="center" wrapText="1"/>
      <protection hidden="1"/>
    </xf>
    <xf numFmtId="0" fontId="33" fillId="27" borderId="176" xfId="0" applyFont="1" applyFill="1" applyBorder="1" applyAlignment="1">
      <alignment horizontal="left" vertical="center" wrapText="1"/>
    </xf>
    <xf numFmtId="0" fontId="33" fillId="27" borderId="157" xfId="0" applyFont="1" applyFill="1" applyBorder="1" applyAlignment="1">
      <alignment horizontal="left" vertical="center" wrapText="1"/>
    </xf>
    <xf numFmtId="0" fontId="33" fillId="27" borderId="158" xfId="0" applyFont="1" applyFill="1" applyBorder="1" applyAlignment="1">
      <alignment horizontal="left" vertical="center" wrapText="1"/>
    </xf>
    <xf numFmtId="0" fontId="33" fillId="27" borderId="177" xfId="0" applyFont="1" applyFill="1" applyBorder="1" applyAlignment="1">
      <alignment horizontal="left" vertical="center" wrapText="1"/>
    </xf>
    <xf numFmtId="0" fontId="33" fillId="51" borderId="177" xfId="0" applyFont="1" applyFill="1" applyBorder="1" applyAlignment="1">
      <alignment horizontal="left" vertical="center" wrapText="1"/>
    </xf>
    <xf numFmtId="0" fontId="0" fillId="51" borderId="13" xfId="0" applyFill="1" applyBorder="1" applyAlignment="1">
      <alignment horizontal="left" vertical="center" wrapText="1"/>
    </xf>
    <xf numFmtId="0" fontId="0" fillId="51" borderId="14" xfId="0" applyFill="1" applyBorder="1" applyAlignment="1">
      <alignment horizontal="left" vertical="center" wrapText="1"/>
    </xf>
    <xf numFmtId="0" fontId="33" fillId="27" borderId="178" xfId="0" applyFont="1" applyFill="1" applyBorder="1" applyAlignment="1">
      <alignment horizontal="left" vertical="center" wrapText="1"/>
    </xf>
    <xf numFmtId="0" fontId="33" fillId="51" borderId="156" xfId="0" applyFont="1" applyFill="1" applyBorder="1" applyAlignment="1" applyProtection="1">
      <alignment horizontal="left" vertical="center" wrapText="1"/>
      <protection hidden="1"/>
    </xf>
    <xf numFmtId="0" fontId="33" fillId="51" borderId="52" xfId="0" applyFont="1" applyFill="1" applyBorder="1" applyAlignment="1" applyProtection="1">
      <alignment horizontal="left" vertical="center" wrapText="1"/>
      <protection hidden="1"/>
    </xf>
    <xf numFmtId="0" fontId="0" fillId="0" borderId="54" xfId="0" applyBorder="1" applyAlignment="1">
      <alignment horizontal="left" vertical="center" wrapText="1"/>
    </xf>
    <xf numFmtId="0" fontId="0" fillId="0" borderId="64" xfId="0" applyBorder="1" applyAlignment="1">
      <alignment horizontal="left" vertical="center" wrapText="1"/>
    </xf>
    <xf numFmtId="0" fontId="0" fillId="0" borderId="17" xfId="0" applyBorder="1" applyAlignment="1">
      <alignment horizontal="left" vertical="center" wrapText="1"/>
    </xf>
    <xf numFmtId="0" fontId="0" fillId="0" borderId="56" xfId="0" applyBorder="1" applyAlignment="1">
      <alignment horizontal="left" vertical="center" wrapText="1"/>
    </xf>
    <xf numFmtId="0" fontId="0" fillId="0" borderId="58" xfId="0" applyBorder="1" applyAlignment="1">
      <alignment horizontal="left" vertical="center" wrapText="1"/>
    </xf>
    <xf numFmtId="0" fontId="33" fillId="51" borderId="176" xfId="0" applyFont="1" applyFill="1" applyBorder="1" applyAlignment="1" applyProtection="1">
      <alignment horizontal="left" vertical="center" wrapText="1"/>
      <protection hidden="1"/>
    </xf>
    <xf numFmtId="0" fontId="33" fillId="51" borderId="178" xfId="0" applyFont="1" applyFill="1" applyBorder="1" applyAlignment="1" applyProtection="1">
      <alignment horizontal="left" vertical="center" wrapText="1"/>
      <protection hidden="1"/>
    </xf>
    <xf numFmtId="0" fontId="33" fillId="27" borderId="167" xfId="0" applyFont="1" applyFill="1" applyBorder="1" applyAlignment="1" applyProtection="1">
      <alignment horizontal="left" vertical="center" wrapText="1" indent="1"/>
      <protection hidden="1"/>
    </xf>
    <xf numFmtId="0" fontId="33" fillId="27" borderId="87" xfId="0" applyFont="1" applyFill="1" applyBorder="1" applyAlignment="1" applyProtection="1">
      <alignment horizontal="left" vertical="center" wrapText="1" indent="1"/>
      <protection hidden="1"/>
    </xf>
    <xf numFmtId="0" fontId="33" fillId="27" borderId="181" xfId="0" applyFont="1" applyFill="1" applyBorder="1" applyAlignment="1" applyProtection="1">
      <alignment horizontal="left" vertical="center" wrapText="1" indent="1"/>
      <protection hidden="1"/>
    </xf>
    <xf numFmtId="0" fontId="33" fillId="27" borderId="168" xfId="0" applyFont="1" applyFill="1" applyBorder="1" applyAlignment="1" applyProtection="1">
      <alignment horizontal="left" vertical="center" wrapText="1"/>
      <protection hidden="1"/>
    </xf>
    <xf numFmtId="0" fontId="33" fillId="27" borderId="173" xfId="0" applyFont="1" applyFill="1" applyBorder="1" applyAlignment="1" applyProtection="1">
      <alignment horizontal="left" vertical="center" wrapText="1"/>
      <protection hidden="1"/>
    </xf>
    <xf numFmtId="0" fontId="33" fillId="27" borderId="174" xfId="0" applyFont="1" applyFill="1" applyBorder="1" applyAlignment="1" applyProtection="1">
      <alignment horizontal="left" vertical="center" wrapText="1"/>
      <protection hidden="1"/>
    </xf>
    <xf numFmtId="0" fontId="12" fillId="27" borderId="169" xfId="0" applyFont="1" applyFill="1" applyBorder="1" applyAlignment="1">
      <alignment horizontal="center" vertical="center" wrapText="1"/>
    </xf>
    <xf numFmtId="0" fontId="12" fillId="27" borderId="159" xfId="0" applyFont="1" applyFill="1" applyBorder="1" applyAlignment="1">
      <alignment horizontal="center" vertical="center" wrapText="1"/>
    </xf>
    <xf numFmtId="0" fontId="12" fillId="27" borderId="55" xfId="0" applyFont="1" applyFill="1" applyBorder="1" applyAlignment="1">
      <alignment horizontal="center" vertical="center" wrapText="1"/>
    </xf>
    <xf numFmtId="0" fontId="29" fillId="58" borderId="180" xfId="0" applyFont="1" applyFill="1" applyBorder="1" applyAlignment="1" applyProtection="1">
      <alignment horizontal="center" vertical="center"/>
      <protection locked="0" hidden="1"/>
    </xf>
    <xf numFmtId="0" fontId="29" fillId="58" borderId="115" xfId="0" applyFont="1" applyFill="1" applyBorder="1" applyAlignment="1" applyProtection="1">
      <alignment horizontal="center" vertical="center"/>
      <protection locked="0" hidden="1"/>
    </xf>
    <xf numFmtId="0" fontId="29" fillId="58" borderId="194" xfId="0" applyFont="1" applyFill="1" applyBorder="1" applyAlignment="1" applyProtection="1">
      <alignment horizontal="center" vertical="center"/>
      <protection locked="0" hidden="1"/>
    </xf>
    <xf numFmtId="0" fontId="12" fillId="27" borderId="169" xfId="0" applyFont="1" applyFill="1" applyBorder="1" applyAlignment="1" applyProtection="1">
      <alignment horizontal="center" vertical="center"/>
      <protection hidden="1"/>
    </xf>
    <xf numFmtId="0" fontId="12" fillId="27" borderId="159" xfId="0" applyFont="1" applyFill="1" applyBorder="1" applyAlignment="1" applyProtection="1">
      <alignment horizontal="center" vertical="center"/>
      <protection hidden="1"/>
    </xf>
    <xf numFmtId="0" fontId="12" fillId="27" borderId="51" xfId="0" applyFont="1" applyFill="1" applyBorder="1" applyAlignment="1" applyProtection="1">
      <alignment horizontal="center" vertical="center" wrapText="1"/>
      <protection hidden="1"/>
    </xf>
    <xf numFmtId="0" fontId="12" fillId="27" borderId="159" xfId="0" applyFont="1" applyFill="1" applyBorder="1" applyAlignment="1" applyProtection="1">
      <alignment horizontal="center" vertical="center" wrapText="1"/>
      <protection hidden="1"/>
    </xf>
    <xf numFmtId="0" fontId="12" fillId="27" borderId="169" xfId="0" applyFont="1" applyFill="1" applyBorder="1" applyAlignment="1" applyProtection="1">
      <alignment horizontal="center" vertical="center" wrapText="1"/>
      <protection hidden="1"/>
    </xf>
    <xf numFmtId="0" fontId="29" fillId="58" borderId="92" xfId="0" applyFont="1" applyFill="1" applyBorder="1" applyAlignment="1" applyProtection="1">
      <alignment horizontal="center" vertical="center"/>
      <protection locked="0" hidden="1"/>
    </xf>
    <xf numFmtId="0" fontId="12" fillId="27" borderId="11" xfId="0" applyFont="1" applyFill="1" applyBorder="1" applyAlignment="1">
      <alignment horizontal="center" vertical="center" wrapText="1"/>
    </xf>
    <xf numFmtId="0" fontId="33" fillId="27" borderId="64" xfId="0" applyFont="1" applyFill="1" applyBorder="1" applyAlignment="1" applyProtection="1">
      <alignment horizontal="left" vertical="center" wrapText="1" indent="1"/>
      <protection hidden="1"/>
    </xf>
    <xf numFmtId="0" fontId="33" fillId="27" borderId="0" xfId="0" applyFont="1" applyFill="1" applyAlignment="1" applyProtection="1">
      <alignment horizontal="left" vertical="center" wrapText="1" indent="1"/>
      <protection hidden="1"/>
    </xf>
    <xf numFmtId="0" fontId="33" fillId="27" borderId="177" xfId="0" applyFont="1" applyFill="1" applyBorder="1" applyAlignment="1" applyProtection="1">
      <alignment horizontal="center" vertical="center" wrapText="1"/>
      <protection hidden="1"/>
    </xf>
    <xf numFmtId="0" fontId="33" fillId="27" borderId="13" xfId="0" applyFont="1" applyFill="1" applyBorder="1" applyAlignment="1" applyProtection="1">
      <alignment horizontal="center" vertical="center" wrapText="1"/>
      <protection hidden="1"/>
    </xf>
    <xf numFmtId="0" fontId="33" fillId="27" borderId="17" xfId="0" applyFont="1" applyFill="1" applyBorder="1" applyAlignment="1" applyProtection="1">
      <alignment horizontal="left" vertical="center" wrapText="1" indent="1"/>
      <protection hidden="1"/>
    </xf>
    <xf numFmtId="0" fontId="33" fillId="27" borderId="77" xfId="0" applyFont="1" applyFill="1" applyBorder="1" applyAlignment="1" applyProtection="1">
      <alignment horizontal="center" vertical="center" wrapText="1"/>
      <protection hidden="1"/>
    </xf>
    <xf numFmtId="0" fontId="33" fillId="27" borderId="58" xfId="0" applyFont="1" applyFill="1" applyBorder="1" applyAlignment="1" applyProtection="1">
      <alignment horizontal="center" vertical="center" wrapText="1"/>
      <protection hidden="1"/>
    </xf>
    <xf numFmtId="0" fontId="12" fillId="0" borderId="174" xfId="0" applyFont="1" applyBorder="1">
      <alignment vertical="center"/>
    </xf>
    <xf numFmtId="0" fontId="33" fillId="27" borderId="0" xfId="0" applyFont="1" applyFill="1" applyAlignment="1" applyProtection="1">
      <alignment horizontal="left" vertical="center" wrapText="1"/>
      <protection hidden="1"/>
    </xf>
    <xf numFmtId="0" fontId="12" fillId="0" borderId="17" xfId="0" applyFont="1" applyBorder="1">
      <alignment vertical="center"/>
    </xf>
    <xf numFmtId="0" fontId="12" fillId="0" borderId="87" xfId="0" applyFont="1" applyBorder="1">
      <alignment vertical="center"/>
    </xf>
    <xf numFmtId="0" fontId="12" fillId="0" borderId="181" xfId="0" applyFont="1" applyBorder="1">
      <alignment vertical="center"/>
    </xf>
    <xf numFmtId="0" fontId="33" fillId="27" borderId="157" xfId="0" applyFont="1" applyFill="1" applyBorder="1" applyAlignment="1">
      <alignment vertical="center" wrapText="1"/>
    </xf>
    <xf numFmtId="0" fontId="33" fillId="27" borderId="158" xfId="0" applyFont="1" applyFill="1" applyBorder="1" applyAlignment="1">
      <alignment vertical="center" wrapText="1"/>
    </xf>
    <xf numFmtId="0" fontId="33" fillId="27" borderId="26" xfId="0" applyFont="1" applyFill="1" applyBorder="1" applyAlignment="1" applyProtection="1">
      <alignment horizontal="center" vertical="center"/>
      <protection hidden="1"/>
    </xf>
    <xf numFmtId="0" fontId="33" fillId="27" borderId="50" xfId="0" applyFont="1" applyFill="1" applyBorder="1" applyAlignment="1" applyProtection="1">
      <alignment horizontal="center" vertical="center"/>
      <protection hidden="1"/>
    </xf>
    <xf numFmtId="0" fontId="33" fillId="27" borderId="27" xfId="0" applyFont="1" applyFill="1" applyBorder="1" applyAlignment="1" applyProtection="1">
      <alignment horizontal="center" vertical="center"/>
      <protection hidden="1"/>
    </xf>
    <xf numFmtId="0" fontId="33" fillId="27" borderId="89" xfId="0" applyFont="1" applyFill="1" applyBorder="1" applyAlignment="1" applyProtection="1">
      <alignment horizontal="center" vertical="center" wrapText="1"/>
      <protection hidden="1"/>
    </xf>
    <xf numFmtId="0" fontId="12" fillId="0" borderId="54" xfId="0" applyFont="1" applyBorder="1">
      <alignment vertical="center"/>
    </xf>
    <xf numFmtId="0" fontId="33" fillId="27" borderId="62" xfId="0" applyFont="1" applyFill="1" applyBorder="1" applyAlignment="1" applyProtection="1">
      <alignment horizontal="center" vertical="center" wrapText="1"/>
      <protection hidden="1"/>
    </xf>
    <xf numFmtId="0" fontId="12" fillId="0" borderId="86" xfId="0" applyFont="1" applyBorder="1">
      <alignment vertical="center"/>
    </xf>
    <xf numFmtId="0" fontId="33" fillId="27" borderId="53" xfId="0" applyFont="1" applyFill="1" applyBorder="1" applyAlignment="1" applyProtection="1">
      <alignment horizontal="left" vertical="center" wrapText="1"/>
      <protection hidden="1"/>
    </xf>
    <xf numFmtId="0" fontId="12" fillId="0" borderId="13" xfId="0" applyFont="1" applyBorder="1" applyAlignment="1">
      <alignment vertical="center" wrapText="1"/>
    </xf>
    <xf numFmtId="0" fontId="12" fillId="0" borderId="0" xfId="0" applyFont="1">
      <alignment vertical="center"/>
    </xf>
    <xf numFmtId="0" fontId="12" fillId="0" borderId="14" xfId="0" applyFont="1" applyBorder="1">
      <alignment vertical="center"/>
    </xf>
    <xf numFmtId="0" fontId="12" fillId="0" borderId="158" xfId="0" applyFont="1" applyBorder="1" applyAlignment="1">
      <alignment vertical="center" wrapText="1"/>
    </xf>
    <xf numFmtId="0" fontId="12" fillId="27" borderId="169" xfId="0" quotePrefix="1" applyFont="1" applyFill="1" applyBorder="1" applyAlignment="1" applyProtection="1">
      <alignment horizontal="center" vertical="center" wrapText="1"/>
      <protection hidden="1"/>
    </xf>
    <xf numFmtId="0" fontId="12" fillId="27" borderId="15" xfId="0" quotePrefix="1" applyFont="1" applyFill="1" applyBorder="1" applyAlignment="1" applyProtection="1">
      <alignment horizontal="center" vertical="center" wrapText="1"/>
      <protection hidden="1"/>
    </xf>
    <xf numFmtId="0" fontId="33" fillId="27" borderId="173" xfId="0" applyFont="1" applyFill="1" applyBorder="1">
      <alignment vertical="center"/>
    </xf>
    <xf numFmtId="0" fontId="33" fillId="27" borderId="174" xfId="0" applyFont="1" applyFill="1" applyBorder="1">
      <alignment vertical="center"/>
    </xf>
    <xf numFmtId="0" fontId="33" fillId="27" borderId="0" xfId="0" applyFont="1" applyFill="1">
      <alignment vertical="center"/>
    </xf>
    <xf numFmtId="0" fontId="33" fillId="27" borderId="17" xfId="0" applyFont="1" applyFill="1" applyBorder="1">
      <alignment vertical="center"/>
    </xf>
    <xf numFmtId="0" fontId="33" fillId="27" borderId="87" xfId="0" applyFont="1" applyFill="1" applyBorder="1">
      <alignment vertical="center"/>
    </xf>
    <xf numFmtId="0" fontId="33" fillId="27" borderId="181" xfId="0" applyFont="1" applyFill="1" applyBorder="1">
      <alignment vertical="center"/>
    </xf>
    <xf numFmtId="0" fontId="12" fillId="58" borderId="100" xfId="0" applyFont="1" applyFill="1" applyBorder="1" applyProtection="1">
      <alignment vertical="center"/>
      <protection locked="0"/>
    </xf>
    <xf numFmtId="0" fontId="12" fillId="58" borderId="194" xfId="0" applyFont="1" applyFill="1" applyBorder="1" applyProtection="1">
      <alignment vertical="center"/>
      <protection locked="0"/>
    </xf>
    <xf numFmtId="0" fontId="12" fillId="27" borderId="159" xfId="0" quotePrefix="1" applyFont="1" applyFill="1" applyBorder="1" applyAlignment="1" applyProtection="1">
      <alignment horizontal="center" vertical="center" wrapText="1"/>
      <protection hidden="1"/>
    </xf>
    <xf numFmtId="0" fontId="33" fillId="27" borderId="87" xfId="0" applyFont="1" applyFill="1" applyBorder="1" applyAlignment="1" applyProtection="1">
      <alignment horizontal="left" vertical="center" wrapText="1"/>
      <protection hidden="1"/>
    </xf>
    <xf numFmtId="0" fontId="33" fillId="27" borderId="181" xfId="0" applyFont="1" applyFill="1" applyBorder="1" applyAlignment="1" applyProtection="1">
      <alignment horizontal="left" vertical="center" wrapText="1"/>
      <protection hidden="1"/>
    </xf>
    <xf numFmtId="0" fontId="33" fillId="27" borderId="57" xfId="0" applyFont="1" applyFill="1" applyBorder="1" applyAlignment="1" applyProtection="1">
      <alignment horizontal="left" vertical="center" wrapText="1"/>
      <protection hidden="1"/>
    </xf>
    <xf numFmtId="0" fontId="29" fillId="58" borderId="100" xfId="0" applyFont="1" applyFill="1" applyBorder="1" applyAlignment="1" applyProtection="1">
      <alignment horizontal="center" vertical="center"/>
      <protection locked="0" hidden="1"/>
    </xf>
    <xf numFmtId="0" fontId="33" fillId="27" borderId="187" xfId="0" applyFont="1" applyFill="1" applyBorder="1" applyAlignment="1" applyProtection="1">
      <alignment horizontal="center" vertical="center" wrapText="1"/>
      <protection hidden="1"/>
    </xf>
    <xf numFmtId="0" fontId="33" fillId="27" borderId="173" xfId="0" applyFont="1" applyFill="1" applyBorder="1" applyAlignment="1" applyProtection="1">
      <alignment horizontal="center" vertical="center" wrapText="1"/>
      <protection hidden="1"/>
    </xf>
    <xf numFmtId="0" fontId="33" fillId="27" borderId="0" xfId="0" applyFont="1" applyFill="1" applyAlignment="1" applyProtection="1">
      <alignment horizontal="center" vertical="center" wrapText="1"/>
      <protection hidden="1"/>
    </xf>
    <xf numFmtId="0" fontId="33" fillId="27" borderId="86" xfId="0" applyFont="1" applyFill="1" applyBorder="1" applyAlignment="1" applyProtection="1">
      <alignment horizontal="center" vertical="center" wrapText="1"/>
      <protection hidden="1"/>
    </xf>
    <xf numFmtId="0" fontId="33" fillId="27" borderId="87" xfId="0" applyFont="1" applyFill="1" applyBorder="1" applyAlignment="1" applyProtection="1">
      <alignment horizontal="center" vertical="center" wrapText="1"/>
      <protection hidden="1"/>
    </xf>
    <xf numFmtId="0" fontId="12" fillId="27" borderId="15" xfId="0" applyFont="1" applyFill="1" applyBorder="1" applyAlignment="1" applyProtection="1">
      <alignment horizontal="center" vertical="center" wrapText="1"/>
      <protection hidden="1"/>
    </xf>
    <xf numFmtId="0" fontId="33" fillId="27" borderId="14" xfId="0" applyFont="1" applyFill="1" applyBorder="1" applyAlignment="1" applyProtection="1">
      <alignment horizontal="center" vertical="center" wrapText="1"/>
      <protection hidden="1"/>
    </xf>
    <xf numFmtId="0" fontId="41" fillId="0" borderId="0" xfId="0" applyFont="1" applyAlignment="1" applyProtection="1">
      <alignment horizontal="left" vertical="center" wrapText="1"/>
      <protection hidden="1"/>
    </xf>
    <xf numFmtId="0" fontId="41" fillId="29" borderId="0" xfId="0" applyFont="1" applyFill="1" applyAlignment="1" applyProtection="1">
      <alignment horizontal="left" vertical="center" wrapText="1"/>
      <protection hidden="1"/>
    </xf>
    <xf numFmtId="0" fontId="33" fillId="27" borderId="187" xfId="0" applyFont="1" applyFill="1" applyBorder="1" applyAlignment="1" applyProtection="1">
      <alignment horizontal="left" vertical="center" wrapText="1"/>
      <protection hidden="1"/>
    </xf>
    <xf numFmtId="0" fontId="12" fillId="0" borderId="173" xfId="0" applyFont="1" applyBorder="1" applyAlignment="1">
      <alignment vertical="center" wrapText="1"/>
    </xf>
    <xf numFmtId="176" fontId="12" fillId="27" borderId="169" xfId="0" applyNumberFormat="1" applyFont="1" applyFill="1" applyBorder="1" applyAlignment="1" applyProtection="1">
      <alignment horizontal="center" vertical="center" wrapText="1"/>
      <protection hidden="1"/>
    </xf>
    <xf numFmtId="176" fontId="12" fillId="27" borderId="15" xfId="0" applyNumberFormat="1" applyFont="1" applyFill="1" applyBorder="1" applyAlignment="1" applyProtection="1">
      <alignment horizontal="center" vertical="center" wrapText="1"/>
      <protection hidden="1"/>
    </xf>
    <xf numFmtId="176" fontId="12" fillId="27" borderId="159" xfId="0" applyNumberFormat="1" applyFont="1" applyFill="1" applyBorder="1" applyAlignment="1" applyProtection="1">
      <alignment horizontal="center" vertical="center" wrapText="1"/>
      <protection hidden="1"/>
    </xf>
    <xf numFmtId="0" fontId="33" fillId="27" borderId="174" xfId="0" applyFont="1" applyFill="1" applyBorder="1" applyAlignment="1" applyProtection="1">
      <alignment horizontal="center" vertical="center" wrapText="1"/>
      <protection hidden="1"/>
    </xf>
    <xf numFmtId="0" fontId="33" fillId="27" borderId="17" xfId="0" applyFont="1" applyFill="1" applyBorder="1" applyAlignment="1" applyProtection="1">
      <alignment horizontal="center" vertical="center" wrapText="1"/>
      <protection hidden="1"/>
    </xf>
    <xf numFmtId="0" fontId="33" fillId="27" borderId="51" xfId="0" applyFont="1" applyFill="1" applyBorder="1" applyAlignment="1">
      <alignment horizontal="center" vertical="center" wrapText="1"/>
    </xf>
    <xf numFmtId="0" fontId="33" fillId="27" borderId="15" xfId="0" applyFont="1" applyFill="1" applyBorder="1" applyAlignment="1">
      <alignment horizontal="center" vertical="center" wrapText="1"/>
    </xf>
    <xf numFmtId="0" fontId="12" fillId="0" borderId="55" xfId="0" applyFont="1" applyBorder="1" applyAlignment="1">
      <alignment horizontal="center" vertical="center" wrapText="1"/>
    </xf>
    <xf numFmtId="0" fontId="33" fillId="27" borderId="10" xfId="0" applyFont="1" applyFill="1" applyBorder="1" applyAlignment="1">
      <alignment horizontal="center" vertical="center" wrapText="1"/>
    </xf>
    <xf numFmtId="0" fontId="12" fillId="0" borderId="10" xfId="0" applyFont="1" applyBorder="1" applyAlignment="1">
      <alignment horizontal="center" vertical="center" wrapText="1"/>
    </xf>
    <xf numFmtId="2" fontId="166" fillId="27" borderId="161" xfId="0" applyNumberFormat="1" applyFont="1" applyFill="1" applyBorder="1" applyAlignment="1" applyProtection="1">
      <alignment horizontal="left" vertical="center" wrapText="1"/>
      <protection hidden="1"/>
    </xf>
    <xf numFmtId="2" fontId="166" fillId="27" borderId="163" xfId="0" applyNumberFormat="1" applyFont="1" applyFill="1" applyBorder="1" applyAlignment="1" applyProtection="1">
      <alignment horizontal="left" vertical="center" wrapText="1"/>
      <protection hidden="1"/>
    </xf>
    <xf numFmtId="2" fontId="166" fillId="27" borderId="162" xfId="0" applyNumberFormat="1" applyFont="1" applyFill="1" applyBorder="1" applyAlignment="1" applyProtection="1">
      <alignment horizontal="left" vertical="center" wrapText="1"/>
      <protection hidden="1"/>
    </xf>
    <xf numFmtId="0" fontId="166" fillId="27" borderId="13" xfId="0" applyFont="1" applyFill="1" applyBorder="1" applyAlignment="1" applyProtection="1">
      <alignment horizontal="left" vertical="center" wrapText="1"/>
      <protection hidden="1"/>
    </xf>
    <xf numFmtId="0" fontId="166" fillId="27" borderId="14" xfId="0" applyFont="1" applyFill="1" applyBorder="1" applyAlignment="1" applyProtection="1">
      <alignment horizontal="left" vertical="center" wrapText="1"/>
      <protection hidden="1"/>
    </xf>
    <xf numFmtId="0" fontId="166" fillId="27" borderId="163" xfId="0" applyFont="1" applyFill="1" applyBorder="1" applyAlignment="1" applyProtection="1">
      <alignment horizontal="left" vertical="center" wrapText="1"/>
      <protection hidden="1"/>
    </xf>
    <xf numFmtId="0" fontId="166" fillId="27" borderId="162" xfId="0" applyFont="1" applyFill="1" applyBorder="1" applyAlignment="1" applyProtection="1">
      <alignment horizontal="left" vertical="center" wrapText="1"/>
      <protection hidden="1"/>
    </xf>
    <xf numFmtId="0" fontId="12" fillId="0" borderId="54" xfId="0" applyFont="1" applyBorder="1" applyAlignment="1">
      <alignment horizontal="left" vertical="center" wrapText="1"/>
    </xf>
    <xf numFmtId="0" fontId="12" fillId="0" borderId="64" xfId="0" applyFont="1" applyBorder="1" applyAlignment="1">
      <alignment horizontal="left" vertical="center" wrapText="1"/>
    </xf>
    <xf numFmtId="0" fontId="12" fillId="0" borderId="17" xfId="0" applyFont="1" applyBorder="1" applyAlignment="1">
      <alignment horizontal="left" vertical="center" wrapText="1"/>
    </xf>
    <xf numFmtId="0" fontId="12" fillId="0" borderId="56" xfId="0" applyFont="1" applyBorder="1" applyAlignment="1">
      <alignment horizontal="left" vertical="center" wrapText="1"/>
    </xf>
    <xf numFmtId="0" fontId="12" fillId="0" borderId="58" xfId="0" applyFont="1" applyBorder="1" applyAlignment="1">
      <alignment horizontal="left" vertical="center" wrapText="1"/>
    </xf>
    <xf numFmtId="0" fontId="12" fillId="0" borderId="14" xfId="0" applyFont="1" applyBorder="1" applyAlignment="1">
      <alignment vertical="center" wrapText="1"/>
    </xf>
    <xf numFmtId="0" fontId="33" fillId="27" borderId="26"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1" fillId="51" borderId="51" xfId="0" applyFont="1" applyFill="1" applyBorder="1" applyAlignment="1" applyProtection="1">
      <alignment horizontal="center" vertical="center"/>
      <protection hidden="1"/>
    </xf>
    <xf numFmtId="0" fontId="31" fillId="51" borderId="15" xfId="0" applyFont="1" applyFill="1" applyBorder="1" applyAlignment="1" applyProtection="1">
      <alignment horizontal="center" vertical="center"/>
      <protection hidden="1"/>
    </xf>
    <xf numFmtId="0" fontId="33" fillId="27" borderId="54" xfId="0" applyFont="1" applyFill="1" applyBorder="1" applyAlignment="1" applyProtection="1">
      <alignment horizontal="center" vertical="center"/>
      <protection hidden="1"/>
    </xf>
    <xf numFmtId="0" fontId="33" fillId="27" borderId="58" xfId="0" applyFont="1" applyFill="1" applyBorder="1" applyAlignment="1" applyProtection="1">
      <alignment horizontal="center" vertical="center"/>
      <protection hidden="1"/>
    </xf>
    <xf numFmtId="0" fontId="33" fillId="27" borderId="64" xfId="0" applyFont="1" applyFill="1" applyBorder="1" applyAlignment="1" applyProtection="1">
      <alignment horizontal="left" vertical="center" wrapText="1"/>
      <protection hidden="1"/>
    </xf>
    <xf numFmtId="0" fontId="33" fillId="27" borderId="63" xfId="0" applyFont="1" applyFill="1" applyBorder="1" applyAlignment="1" applyProtection="1">
      <alignment horizontal="left" vertical="center" wrapText="1"/>
      <protection hidden="1"/>
    </xf>
    <xf numFmtId="0" fontId="33" fillId="27" borderId="79" xfId="0" applyFont="1" applyFill="1" applyBorder="1" applyAlignment="1" applyProtection="1">
      <alignment horizontal="left" vertical="center" wrapText="1"/>
      <protection hidden="1"/>
    </xf>
    <xf numFmtId="0" fontId="33" fillId="27" borderId="26" xfId="0" applyFont="1" applyFill="1" applyBorder="1" applyAlignment="1" applyProtection="1">
      <alignment horizontal="left" vertical="center" wrapText="1"/>
      <protection hidden="1"/>
    </xf>
    <xf numFmtId="0" fontId="33" fillId="27" borderId="50" xfId="0" applyFont="1" applyFill="1" applyBorder="1" applyAlignment="1" applyProtection="1">
      <alignment horizontal="left" vertical="center" wrapText="1"/>
      <protection hidden="1"/>
    </xf>
    <xf numFmtId="0" fontId="33" fillId="27" borderId="82" xfId="0" applyFont="1" applyFill="1" applyBorder="1" applyAlignment="1" applyProtection="1">
      <alignment horizontal="left" vertical="center" wrapText="1"/>
      <protection hidden="1"/>
    </xf>
    <xf numFmtId="0" fontId="33" fillId="27" borderId="80" xfId="0" applyFont="1" applyFill="1" applyBorder="1" applyAlignment="1" applyProtection="1">
      <alignment horizontal="left" vertical="center" wrapText="1"/>
      <protection hidden="1"/>
    </xf>
    <xf numFmtId="0" fontId="33" fillId="27" borderId="27" xfId="0" applyFont="1" applyFill="1" applyBorder="1" applyAlignment="1" applyProtection="1">
      <alignment horizontal="left" vertical="center" wrapText="1"/>
      <protection hidden="1"/>
    </xf>
    <xf numFmtId="0" fontId="31" fillId="51" borderId="55" xfId="0" applyFont="1" applyFill="1" applyBorder="1" applyAlignment="1" applyProtection="1">
      <alignment horizontal="center" vertical="center"/>
      <protection hidden="1"/>
    </xf>
    <xf numFmtId="0" fontId="33" fillId="27" borderId="17" xfId="0" applyFont="1" applyFill="1" applyBorder="1" applyAlignment="1" applyProtection="1">
      <alignment horizontal="center" vertical="center"/>
      <protection hidden="1"/>
    </xf>
    <xf numFmtId="0" fontId="33" fillId="27" borderId="90" xfId="0" applyFont="1" applyFill="1" applyBorder="1" applyAlignment="1" applyProtection="1">
      <alignment horizontal="left" vertical="center" wrapText="1"/>
      <protection hidden="1"/>
    </xf>
    <xf numFmtId="0" fontId="33" fillId="51" borderId="176" xfId="0" applyFont="1" applyFill="1" applyBorder="1" applyAlignment="1">
      <alignment horizontal="left" vertical="center" wrapText="1"/>
    </xf>
    <xf numFmtId="0" fontId="33" fillId="51" borderId="158" xfId="0" applyFont="1" applyFill="1" applyBorder="1" applyAlignment="1">
      <alignment horizontal="left" vertical="center" wrapText="1"/>
    </xf>
    <xf numFmtId="0" fontId="33" fillId="27" borderId="161" xfId="0" applyFont="1" applyFill="1" applyBorder="1" applyAlignment="1" applyProtection="1">
      <alignment horizontal="left" vertical="top" wrapText="1"/>
      <protection hidden="1"/>
    </xf>
    <xf numFmtId="0" fontId="0" fillId="0" borderId="163" xfId="0" applyBorder="1" applyAlignment="1">
      <alignment horizontal="left" vertical="top" wrapText="1"/>
    </xf>
    <xf numFmtId="0" fontId="0" fillId="0" borderId="162" xfId="0" applyBorder="1" applyAlignment="1">
      <alignment horizontal="left" vertical="top" wrapText="1"/>
    </xf>
    <xf numFmtId="0" fontId="166" fillId="27" borderId="161" xfId="0" applyFont="1" applyFill="1" applyBorder="1" applyAlignment="1">
      <alignment horizontal="left" vertical="center" wrapText="1"/>
    </xf>
    <xf numFmtId="0" fontId="166" fillId="27" borderId="163" xfId="0" applyFont="1" applyFill="1" applyBorder="1" applyAlignment="1">
      <alignment horizontal="left" vertical="center" wrapText="1"/>
    </xf>
    <xf numFmtId="0" fontId="166" fillId="27" borderId="162" xfId="0" applyFont="1" applyFill="1" applyBorder="1" applyAlignment="1">
      <alignment horizontal="left" vertical="center" wrapText="1"/>
    </xf>
    <xf numFmtId="193" fontId="31" fillId="31" borderId="51" xfId="0" applyNumberFormat="1" applyFont="1" applyFill="1" applyBorder="1" applyAlignment="1">
      <alignment horizontal="center" vertical="center"/>
    </xf>
    <xf numFmtId="193" fontId="31" fillId="31" borderId="55" xfId="0" applyNumberFormat="1" applyFont="1" applyFill="1" applyBorder="1" applyAlignment="1">
      <alignment horizontal="center" vertical="center"/>
    </xf>
    <xf numFmtId="193" fontId="31" fillId="31" borderId="52" xfId="0" applyNumberFormat="1" applyFont="1" applyFill="1" applyBorder="1" applyAlignment="1">
      <alignment horizontal="center" vertical="center"/>
    </xf>
    <xf numFmtId="193" fontId="31" fillId="31" borderId="56" xfId="0" applyNumberFormat="1" applyFont="1" applyFill="1" applyBorder="1" applyAlignment="1">
      <alignment horizontal="center" vertical="center"/>
    </xf>
    <xf numFmtId="0" fontId="33" fillId="27" borderId="52" xfId="0" quotePrefix="1" applyFont="1" applyFill="1" applyBorder="1" applyAlignment="1">
      <alignment horizontal="left" vertical="center" wrapText="1"/>
    </xf>
    <xf numFmtId="0" fontId="33" fillId="27" borderId="54" xfId="0" quotePrefix="1" applyFont="1" applyFill="1" applyBorder="1" applyAlignment="1">
      <alignment horizontal="left" vertical="center" wrapText="1"/>
    </xf>
    <xf numFmtId="0" fontId="33" fillId="27" borderId="64" xfId="0" quotePrefix="1" applyFont="1" applyFill="1" applyBorder="1" applyAlignment="1">
      <alignment horizontal="left" vertical="center" wrapText="1"/>
    </xf>
    <xf numFmtId="0" fontId="33" fillId="27" borderId="17" xfId="0" quotePrefix="1" applyFont="1" applyFill="1" applyBorder="1" applyAlignment="1">
      <alignment horizontal="left" vertical="center" wrapText="1"/>
    </xf>
    <xf numFmtId="0" fontId="33" fillId="27" borderId="56" xfId="0" quotePrefix="1" applyFont="1" applyFill="1" applyBorder="1" applyAlignment="1">
      <alignment horizontal="left" vertical="center" wrapText="1"/>
    </xf>
    <xf numFmtId="0" fontId="33" fillId="27" borderId="58" xfId="0" quotePrefix="1" applyFont="1" applyFill="1" applyBorder="1" applyAlignment="1">
      <alignment horizontal="left" vertical="center" wrapText="1"/>
    </xf>
    <xf numFmtId="0" fontId="33" fillId="27" borderId="51" xfId="0" quotePrefix="1" applyFont="1" applyFill="1" applyBorder="1" applyAlignment="1" applyProtection="1">
      <alignment horizontal="left" vertical="center" wrapText="1"/>
      <protection hidden="1"/>
    </xf>
    <xf numFmtId="0" fontId="33" fillId="27" borderId="15" xfId="0" quotePrefix="1" applyFont="1" applyFill="1" applyBorder="1" applyAlignment="1" applyProtection="1">
      <alignment horizontal="left" vertical="center" wrapText="1"/>
      <protection hidden="1"/>
    </xf>
    <xf numFmtId="0" fontId="33" fillId="27" borderId="12" xfId="0" applyFont="1" applyFill="1" applyBorder="1" applyAlignment="1" applyProtection="1">
      <alignment horizontal="left" vertical="top" wrapText="1"/>
      <protection hidden="1"/>
    </xf>
    <xf numFmtId="0" fontId="33" fillId="27" borderId="13" xfId="0" applyFont="1" applyFill="1" applyBorder="1" applyAlignment="1" applyProtection="1">
      <alignment horizontal="left" vertical="top" wrapText="1"/>
      <protection hidden="1"/>
    </xf>
    <xf numFmtId="0" fontId="33" fillId="27" borderId="14" xfId="0" applyFont="1" applyFill="1" applyBorder="1" applyAlignment="1" applyProtection="1">
      <alignment horizontal="left" vertical="top" wrapText="1"/>
      <protection hidden="1"/>
    </xf>
    <xf numFmtId="0" fontId="0" fillId="0" borderId="13" xfId="0" applyBorder="1" applyAlignment="1">
      <alignment horizontal="left" vertical="top" wrapText="1"/>
    </xf>
    <xf numFmtId="0" fontId="0" fillId="0" borderId="14" xfId="0" applyBorder="1" applyAlignment="1">
      <alignment horizontal="left" vertical="top" wrapText="1"/>
    </xf>
    <xf numFmtId="0" fontId="166" fillId="27" borderId="167" xfId="0" applyFont="1" applyFill="1" applyBorder="1" applyAlignment="1">
      <alignment horizontal="left" vertical="center" wrapText="1"/>
    </xf>
    <xf numFmtId="0" fontId="166" fillId="27" borderId="87" xfId="0" applyFont="1" applyFill="1" applyBorder="1" applyAlignment="1">
      <alignment horizontal="left" vertical="center" wrapText="1"/>
    </xf>
    <xf numFmtId="0" fontId="166" fillId="27" borderId="181" xfId="0" applyFont="1" applyFill="1" applyBorder="1" applyAlignment="1">
      <alignment horizontal="left" vertical="center" wrapText="1"/>
    </xf>
    <xf numFmtId="0" fontId="166" fillId="27" borderId="12" xfId="0" applyFont="1" applyFill="1" applyBorder="1" applyAlignment="1">
      <alignment horizontal="left" vertical="center" wrapText="1"/>
    </xf>
    <xf numFmtId="0" fontId="188" fillId="0" borderId="13" xfId="0" applyFont="1" applyBorder="1" applyAlignment="1">
      <alignment horizontal="left" vertical="center" wrapText="1"/>
    </xf>
    <xf numFmtId="0" fontId="188" fillId="0" borderId="14" xfId="0" applyFont="1" applyBorder="1" applyAlignment="1">
      <alignment horizontal="left" vertical="center" wrapText="1"/>
    </xf>
    <xf numFmtId="0" fontId="166" fillId="27" borderId="13" xfId="0" applyFont="1" applyFill="1" applyBorder="1" applyAlignment="1">
      <alignment horizontal="left" vertical="center" wrapText="1"/>
    </xf>
    <xf numFmtId="0" fontId="166" fillId="27" borderId="14" xfId="0" applyFont="1" applyFill="1" applyBorder="1" applyAlignment="1">
      <alignment horizontal="left" vertical="center" wrapText="1"/>
    </xf>
    <xf numFmtId="0" fontId="33" fillId="31" borderId="26" xfId="0" applyFont="1" applyFill="1" applyBorder="1" applyAlignment="1" applyProtection="1">
      <alignment horizontal="left" vertical="center" wrapText="1"/>
      <protection hidden="1"/>
    </xf>
    <xf numFmtId="0" fontId="12" fillId="0" borderId="27" xfId="0" applyFont="1" applyBorder="1" applyAlignment="1">
      <alignment horizontal="left" vertical="center" wrapText="1"/>
    </xf>
    <xf numFmtId="0" fontId="12" fillId="0" borderId="157" xfId="0" applyFont="1" applyBorder="1" applyAlignment="1">
      <alignment horizontal="left" vertical="center" wrapText="1"/>
    </xf>
    <xf numFmtId="0" fontId="12" fillId="0" borderId="158" xfId="0" applyFont="1" applyBorder="1" applyAlignment="1">
      <alignment horizontal="left" vertical="center" wrapText="1"/>
    </xf>
    <xf numFmtId="0" fontId="166" fillId="27" borderId="0" xfId="0" applyFont="1" applyFill="1" applyAlignment="1">
      <alignment horizontal="left" vertical="top" wrapText="1"/>
    </xf>
    <xf numFmtId="0" fontId="33" fillId="27" borderId="0" xfId="0" applyFont="1" applyFill="1" applyAlignment="1">
      <alignment horizontal="left" vertical="top" wrapText="1"/>
    </xf>
    <xf numFmtId="193" fontId="177" fillId="39" borderId="68" xfId="0" applyNumberFormat="1" applyFont="1" applyFill="1" applyBorder="1" applyAlignment="1" applyProtection="1">
      <alignment horizontal="center" vertical="center"/>
      <protection locked="0"/>
    </xf>
    <xf numFmtId="193" fontId="177" fillId="39" borderId="279" xfId="0" applyNumberFormat="1" applyFont="1" applyFill="1" applyBorder="1" applyAlignment="1" applyProtection="1">
      <alignment horizontal="center" vertical="center"/>
      <protection locked="0"/>
    </xf>
    <xf numFmtId="193" fontId="177" fillId="39" borderId="213" xfId="0" applyNumberFormat="1" applyFont="1" applyFill="1" applyBorder="1" applyAlignment="1" applyProtection="1">
      <alignment horizontal="center" vertical="center"/>
      <protection locked="0"/>
    </xf>
    <xf numFmtId="0" fontId="31" fillId="27" borderId="180" xfId="0" applyFont="1" applyFill="1" applyBorder="1" applyAlignment="1" applyProtection="1">
      <alignment horizontal="center" vertical="center"/>
      <protection locked="0" hidden="1"/>
    </xf>
    <xf numFmtId="0" fontId="31" fillId="27" borderId="115" xfId="0" applyFont="1" applyFill="1" applyBorder="1" applyAlignment="1" applyProtection="1">
      <alignment horizontal="center" vertical="center"/>
      <protection locked="0" hidden="1"/>
    </xf>
    <xf numFmtId="0" fontId="33" fillId="27" borderId="77" xfId="0" applyFont="1" applyFill="1" applyBorder="1" applyAlignment="1" applyProtection="1">
      <alignment vertical="center" wrapText="1"/>
      <protection locked="0"/>
    </xf>
    <xf numFmtId="0" fontId="33" fillId="27" borderId="57" xfId="0" applyFont="1" applyFill="1" applyBorder="1" applyAlignment="1" applyProtection="1">
      <alignment vertical="center" wrapText="1"/>
      <protection locked="0"/>
    </xf>
    <xf numFmtId="0" fontId="33" fillId="27" borderId="58" xfId="0" applyFont="1" applyFill="1" applyBorder="1" applyAlignment="1" applyProtection="1">
      <alignment vertical="center" wrapText="1"/>
      <protection locked="0"/>
    </xf>
    <xf numFmtId="0" fontId="33" fillId="27" borderId="77" xfId="0" applyFont="1" applyFill="1"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33" fillId="27" borderId="17" xfId="0" applyFont="1" applyFill="1" applyBorder="1" applyAlignment="1" applyProtection="1">
      <alignment horizontal="left" vertical="center" wrapText="1"/>
      <protection hidden="1"/>
    </xf>
    <xf numFmtId="0" fontId="33" fillId="27" borderId="156" xfId="0" applyFont="1" applyFill="1" applyBorder="1" applyAlignment="1" applyProtection="1">
      <alignment vertical="center" wrapText="1"/>
      <protection hidden="1"/>
    </xf>
    <xf numFmtId="0" fontId="0" fillId="0" borderId="157" xfId="0" applyBorder="1" applyAlignment="1">
      <alignment vertical="center" wrapText="1"/>
    </xf>
    <xf numFmtId="0" fontId="0" fillId="0" borderId="158"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63" xfId="0" applyBorder="1" applyAlignment="1">
      <alignment vertical="center" wrapText="1"/>
    </xf>
    <xf numFmtId="0" fontId="0" fillId="0" borderId="162" xfId="0" applyBorder="1" applyAlignment="1">
      <alignment vertical="center" wrapText="1"/>
    </xf>
    <xf numFmtId="0" fontId="33" fillId="27" borderId="177" xfId="0" applyFont="1" applyFill="1" applyBorder="1" applyAlignment="1" applyProtection="1">
      <alignment vertical="center" wrapText="1"/>
      <protection hidden="1"/>
    </xf>
    <xf numFmtId="0" fontId="162" fillId="0" borderId="54" xfId="0" applyFont="1" applyBorder="1" applyAlignment="1">
      <alignment horizontal="left" vertical="center" wrapText="1"/>
    </xf>
    <xf numFmtId="0" fontId="162" fillId="0" borderId="64" xfId="0" applyFont="1" applyBorder="1" applyAlignment="1">
      <alignment horizontal="left" vertical="center" wrapText="1"/>
    </xf>
    <xf numFmtId="0" fontId="162" fillId="0" borderId="17" xfId="0" applyFont="1" applyBorder="1" applyAlignment="1">
      <alignment horizontal="left" vertical="center" wrapText="1"/>
    </xf>
    <xf numFmtId="0" fontId="162" fillId="0" borderId="56" xfId="0" applyFont="1" applyBorder="1" applyAlignment="1">
      <alignment horizontal="left" vertical="center" wrapText="1"/>
    </xf>
    <xf numFmtId="0" fontId="162" fillId="0" borderId="58" xfId="0" applyFont="1" applyBorder="1" applyAlignment="1">
      <alignment horizontal="left" vertical="center" wrapText="1"/>
    </xf>
    <xf numFmtId="0" fontId="162" fillId="48" borderId="14" xfId="0" applyFont="1" applyFill="1" applyBorder="1" applyAlignment="1">
      <alignment horizontal="left" vertical="center" wrapText="1"/>
    </xf>
    <xf numFmtId="0" fontId="162" fillId="48" borderId="162" xfId="0" applyFont="1" applyFill="1" applyBorder="1" applyAlignment="1">
      <alignment horizontal="left" vertical="center" wrapText="1"/>
    </xf>
    <xf numFmtId="0" fontId="33" fillId="27" borderId="89" xfId="0" applyFont="1" applyFill="1" applyBorder="1" applyAlignment="1" applyProtection="1">
      <alignment horizontal="left" vertical="center" wrapText="1"/>
      <protection hidden="1"/>
    </xf>
    <xf numFmtId="0" fontId="33" fillId="27" borderId="173" xfId="0" applyFont="1" applyFill="1" applyBorder="1" applyAlignment="1" applyProtection="1">
      <alignment horizontal="left" vertical="center"/>
      <protection hidden="1"/>
    </xf>
    <xf numFmtId="0" fontId="33" fillId="27" borderId="174" xfId="0" applyFont="1" applyFill="1" applyBorder="1" applyAlignment="1" applyProtection="1">
      <alignment horizontal="left" vertical="center"/>
      <protection hidden="1"/>
    </xf>
    <xf numFmtId="0" fontId="162" fillId="38" borderId="163" xfId="0" applyFont="1" applyFill="1" applyBorder="1" applyAlignment="1">
      <alignment horizontal="left" vertical="center" wrapText="1"/>
    </xf>
    <xf numFmtId="0" fontId="162" fillId="38" borderId="162" xfId="0" applyFont="1" applyFill="1" applyBorder="1" applyAlignment="1">
      <alignment horizontal="left" vertical="center" wrapText="1"/>
    </xf>
    <xf numFmtId="0" fontId="162" fillId="38" borderId="157" xfId="0" applyFont="1" applyFill="1" applyBorder="1" applyAlignment="1">
      <alignment horizontal="left" vertical="center" wrapText="1"/>
    </xf>
    <xf numFmtId="0" fontId="162" fillId="38" borderId="158" xfId="0" applyFont="1" applyFill="1" applyBorder="1" applyAlignment="1">
      <alignment horizontal="left" vertical="center" wrapText="1"/>
    </xf>
    <xf numFmtId="0" fontId="162" fillId="38" borderId="13" xfId="0" applyFont="1" applyFill="1" applyBorder="1" applyAlignment="1">
      <alignment horizontal="left" vertical="center" wrapText="1"/>
    </xf>
    <xf numFmtId="0" fontId="162" fillId="38" borderId="14" xfId="0" applyFont="1" applyFill="1" applyBorder="1" applyAlignment="1">
      <alignment horizontal="left" vertical="center" wrapText="1"/>
    </xf>
    <xf numFmtId="0" fontId="0" fillId="27" borderId="169" xfId="0" applyFill="1" applyBorder="1" applyAlignment="1">
      <alignment horizontal="center" vertical="center" wrapText="1"/>
    </xf>
    <xf numFmtId="0" fontId="0" fillId="27" borderId="159" xfId="0" applyFill="1" applyBorder="1" applyAlignment="1">
      <alignment horizontal="center" vertical="center" wrapText="1"/>
    </xf>
    <xf numFmtId="0" fontId="0" fillId="0" borderId="159" xfId="0" applyBorder="1" applyAlignment="1">
      <alignment horizontal="center" vertical="center" wrapText="1"/>
    </xf>
    <xf numFmtId="0" fontId="33" fillId="27" borderId="173" xfId="0" applyFont="1" applyFill="1" applyBorder="1" applyAlignment="1">
      <alignment horizontal="left" vertical="center" wrapText="1"/>
    </xf>
    <xf numFmtId="0" fontId="33" fillId="27" borderId="174" xfId="0" applyFont="1" applyFill="1" applyBorder="1" applyAlignment="1">
      <alignment horizontal="left" vertical="center" wrapText="1"/>
    </xf>
    <xf numFmtId="0" fontId="33" fillId="27" borderId="0" xfId="0" applyFont="1" applyFill="1" applyAlignment="1">
      <alignment horizontal="left" vertical="center" wrapText="1"/>
    </xf>
    <xf numFmtId="0" fontId="33" fillId="27" borderId="17" xfId="0" applyFont="1" applyFill="1" applyBorder="1" applyAlignment="1">
      <alignment horizontal="left" vertical="center" wrapText="1"/>
    </xf>
    <xf numFmtId="0" fontId="33" fillId="27" borderId="64" xfId="0" applyFont="1" applyFill="1" applyBorder="1" applyAlignment="1">
      <alignment horizontal="left" vertical="center" wrapText="1"/>
    </xf>
    <xf numFmtId="0" fontId="33" fillId="27" borderId="13" xfId="0" applyFont="1" applyFill="1" applyBorder="1" applyAlignment="1">
      <alignment horizontal="left" vertical="center" wrapText="1"/>
    </xf>
    <xf numFmtId="176" fontId="33" fillId="27" borderId="12" xfId="0" applyNumberFormat="1" applyFont="1" applyFill="1" applyBorder="1" applyAlignment="1" applyProtection="1">
      <alignment horizontal="left" vertical="center" wrapText="1"/>
      <protection hidden="1"/>
    </xf>
    <xf numFmtId="176" fontId="33" fillId="27" borderId="13" xfId="0" applyNumberFormat="1" applyFont="1" applyFill="1" applyBorder="1" applyAlignment="1" applyProtection="1">
      <alignment horizontal="left" vertical="center" wrapText="1"/>
      <protection hidden="1"/>
    </xf>
    <xf numFmtId="176" fontId="33" fillId="27" borderId="14" xfId="0" applyNumberFormat="1" applyFont="1" applyFill="1" applyBorder="1" applyAlignment="1" applyProtection="1">
      <alignment horizontal="left" vertical="center" wrapText="1"/>
      <protection hidden="1"/>
    </xf>
    <xf numFmtId="0" fontId="33" fillId="27" borderId="14" xfId="0" applyFont="1" applyFill="1" applyBorder="1" applyAlignment="1">
      <alignment horizontal="left" vertical="center" wrapText="1"/>
    </xf>
    <xf numFmtId="0" fontId="33" fillId="27" borderId="53" xfId="0" applyFont="1" applyFill="1" applyBorder="1" applyAlignment="1">
      <alignment horizontal="left" vertical="center" wrapText="1"/>
    </xf>
    <xf numFmtId="0" fontId="33" fillId="27" borderId="54" xfId="0" applyFont="1" applyFill="1" applyBorder="1" applyAlignment="1">
      <alignment horizontal="left" vertical="center" wrapText="1"/>
    </xf>
    <xf numFmtId="0" fontId="33" fillId="27" borderId="168" xfId="0" applyFont="1" applyFill="1" applyBorder="1" applyAlignment="1">
      <alignment vertical="center" wrapText="1"/>
    </xf>
    <xf numFmtId="0" fontId="162" fillId="0" borderId="174" xfId="0" applyFont="1" applyBorder="1" applyAlignment="1">
      <alignment vertical="center" wrapText="1"/>
    </xf>
    <xf numFmtId="0" fontId="162" fillId="0" borderId="64" xfId="0" applyFont="1" applyBorder="1" applyAlignment="1">
      <alignment vertical="center" wrapText="1"/>
    </xf>
    <xf numFmtId="0" fontId="162" fillId="0" borderId="17" xfId="0" applyFont="1" applyBorder="1" applyAlignment="1">
      <alignment vertical="center" wrapText="1"/>
    </xf>
    <xf numFmtId="0" fontId="162" fillId="0" borderId="167" xfId="0" applyFont="1" applyBorder="1" applyAlignment="1">
      <alignment vertical="center" wrapText="1"/>
    </xf>
    <xf numFmtId="0" fontId="162" fillId="0" borderId="181" xfId="0" applyFont="1" applyBorder="1" applyAlignment="1">
      <alignment vertical="center" wrapText="1"/>
    </xf>
    <xf numFmtId="0" fontId="33" fillId="27" borderId="167" xfId="0" applyFont="1" applyFill="1" applyBorder="1" applyAlignment="1">
      <alignment horizontal="left" vertical="center" wrapText="1" indent="1"/>
    </xf>
    <xf numFmtId="0" fontId="162" fillId="0" borderId="87" xfId="0" applyFont="1" applyBorder="1" applyAlignment="1">
      <alignment horizontal="left" vertical="center" wrapText="1" indent="1"/>
    </xf>
    <xf numFmtId="0" fontId="162" fillId="0" borderId="181" xfId="0" applyFont="1" applyBorder="1" applyAlignment="1">
      <alignment horizontal="left" vertical="center" wrapText="1" indent="1"/>
    </xf>
    <xf numFmtId="0" fontId="162" fillId="0" borderId="173" xfId="0" applyFont="1" applyBorder="1" applyAlignment="1">
      <alignment vertical="center" wrapText="1"/>
    </xf>
    <xf numFmtId="0" fontId="33" fillId="0" borderId="157" xfId="0" applyFont="1" applyBorder="1" applyAlignment="1">
      <alignment horizontal="left" vertical="center" wrapText="1"/>
    </xf>
    <xf numFmtId="0" fontId="33" fillId="0" borderId="158" xfId="0" applyFont="1" applyBorder="1" applyAlignment="1">
      <alignment horizontal="left" vertical="center" wrapText="1"/>
    </xf>
    <xf numFmtId="0" fontId="0" fillId="27" borderId="55" xfId="0" applyFill="1" applyBorder="1" applyAlignment="1">
      <alignment horizontal="center" vertical="center" wrapText="1"/>
    </xf>
    <xf numFmtId="0" fontId="33" fillId="27" borderId="187" xfId="0" applyFont="1" applyFill="1" applyBorder="1" applyAlignment="1">
      <alignment horizontal="left" vertical="center" wrapText="1"/>
    </xf>
    <xf numFmtId="0" fontId="33" fillId="27" borderId="62" xfId="0" applyFont="1" applyFill="1" applyBorder="1" applyAlignment="1">
      <alignment horizontal="left" vertical="center" wrapText="1"/>
    </xf>
    <xf numFmtId="0" fontId="33" fillId="27" borderId="167" xfId="0" applyFont="1" applyFill="1" applyBorder="1" applyAlignment="1">
      <alignment horizontal="left" vertical="center" wrapText="1"/>
    </xf>
    <xf numFmtId="0" fontId="33" fillId="27" borderId="87" xfId="0" applyFont="1" applyFill="1" applyBorder="1" applyAlignment="1">
      <alignment horizontal="left" vertical="center" wrapText="1"/>
    </xf>
    <xf numFmtId="0" fontId="33" fillId="27" borderId="195" xfId="0" applyFont="1" applyFill="1" applyBorder="1" applyAlignment="1">
      <alignment vertical="center" wrapText="1"/>
    </xf>
    <xf numFmtId="0" fontId="162" fillId="0" borderId="120" xfId="0" applyFont="1" applyBorder="1" applyAlignment="1">
      <alignment vertical="center" wrapText="1"/>
    </xf>
    <xf numFmtId="0" fontId="162" fillId="0" borderId="56" xfId="0" applyFont="1" applyBorder="1" applyAlignment="1">
      <alignment vertical="center" wrapText="1"/>
    </xf>
    <xf numFmtId="0" fontId="162" fillId="0" borderId="58" xfId="0" applyFont="1" applyBorder="1" applyAlignment="1">
      <alignment vertical="center" wrapText="1"/>
    </xf>
    <xf numFmtId="0" fontId="33" fillId="27" borderId="12" xfId="0" applyFont="1" applyFill="1" applyBorder="1" applyAlignment="1">
      <alignment vertical="center" wrapText="1"/>
    </xf>
    <xf numFmtId="0" fontId="162" fillId="0" borderId="13" xfId="0" applyFont="1" applyBorder="1" applyAlignment="1">
      <alignment vertical="center" wrapText="1"/>
    </xf>
    <xf numFmtId="0" fontId="162" fillId="0" borderId="14" xfId="0" applyFont="1" applyBorder="1" applyAlignment="1">
      <alignment vertical="center" wrapText="1"/>
    </xf>
    <xf numFmtId="0" fontId="33" fillId="27" borderId="156" xfId="0" applyFont="1" applyFill="1" applyBorder="1" applyAlignment="1" applyProtection="1">
      <alignment horizontal="center" vertical="center" shrinkToFit="1"/>
      <protection hidden="1"/>
    </xf>
    <xf numFmtId="0" fontId="33" fillId="27" borderId="157" xfId="0" applyFont="1" applyFill="1" applyBorder="1" applyAlignment="1" applyProtection="1">
      <alignment horizontal="center" vertical="center" shrinkToFit="1"/>
      <protection hidden="1"/>
    </xf>
    <xf numFmtId="0" fontId="33" fillId="27" borderId="158" xfId="0" applyFont="1" applyFill="1" applyBorder="1" applyAlignment="1" applyProtection="1">
      <alignment horizontal="center" vertical="center" shrinkToFit="1"/>
      <protection hidden="1"/>
    </xf>
    <xf numFmtId="0" fontId="33" fillId="27" borderId="52" xfId="0" applyFont="1" applyFill="1" applyBorder="1" applyAlignment="1" applyProtection="1">
      <alignment horizontal="center" vertical="center" wrapText="1"/>
      <protection hidden="1"/>
    </xf>
    <xf numFmtId="0" fontId="33" fillId="27" borderId="54" xfId="0" applyFont="1" applyFill="1" applyBorder="1" applyAlignment="1" applyProtection="1">
      <alignment horizontal="center" vertical="center" wrapText="1"/>
      <protection hidden="1"/>
    </xf>
    <xf numFmtId="0" fontId="33" fillId="27" borderId="64" xfId="0" applyFont="1" applyFill="1" applyBorder="1" applyAlignment="1" applyProtection="1">
      <alignment horizontal="center" vertical="center" wrapText="1"/>
      <protection hidden="1"/>
    </xf>
    <xf numFmtId="0" fontId="33" fillId="27" borderId="56" xfId="0" applyFont="1" applyFill="1" applyBorder="1" applyAlignment="1" applyProtection="1">
      <alignment horizontal="center" vertical="center" wrapText="1"/>
      <protection hidden="1"/>
    </xf>
    <xf numFmtId="0" fontId="162" fillId="0" borderId="13" xfId="0" applyFont="1" applyBorder="1" applyAlignment="1">
      <alignment horizontal="left" vertical="center" wrapText="1"/>
    </xf>
    <xf numFmtId="0" fontId="162" fillId="0" borderId="14" xfId="0" applyFont="1" applyBorder="1" applyAlignment="1">
      <alignment horizontal="left" vertical="center" wrapText="1"/>
    </xf>
    <xf numFmtId="0" fontId="162" fillId="0" borderId="87" xfId="0" applyFont="1" applyBorder="1" applyAlignment="1">
      <alignment horizontal="left" vertical="center" wrapText="1"/>
    </xf>
    <xf numFmtId="0" fontId="33" fillId="27" borderId="77" xfId="0" applyFont="1" applyFill="1" applyBorder="1" applyAlignment="1">
      <alignment horizontal="left" vertical="center" wrapText="1"/>
    </xf>
    <xf numFmtId="0" fontId="33" fillId="27" borderId="57" xfId="0" applyFont="1" applyFill="1" applyBorder="1" applyAlignment="1">
      <alignment horizontal="left" vertical="center" wrapText="1"/>
    </xf>
    <xf numFmtId="0" fontId="33" fillId="27" borderId="58" xfId="0" applyFont="1" applyFill="1" applyBorder="1" applyAlignment="1">
      <alignment horizontal="left" vertical="center" wrapText="1"/>
    </xf>
    <xf numFmtId="0" fontId="162" fillId="27" borderId="16" xfId="0" applyFont="1" applyFill="1" applyBorder="1" applyAlignment="1">
      <alignment horizontal="center" vertical="center" wrapText="1"/>
    </xf>
    <xf numFmtId="0" fontId="162" fillId="27" borderId="11" xfId="0" applyFont="1" applyFill="1" applyBorder="1" applyAlignment="1">
      <alignment horizontal="center" vertical="center" wrapText="1"/>
    </xf>
    <xf numFmtId="0" fontId="33" fillId="27" borderId="62" xfId="0" applyFont="1" applyFill="1" applyBorder="1" applyAlignment="1">
      <alignment horizontal="left" vertical="center" wrapText="1" indent="1"/>
    </xf>
    <xf numFmtId="0" fontId="162" fillId="0" borderId="0" xfId="0" applyFont="1" applyAlignment="1">
      <alignment horizontal="left" vertical="center" wrapText="1" indent="1"/>
    </xf>
    <xf numFmtId="0" fontId="33" fillId="27" borderId="86" xfId="0" applyFont="1" applyFill="1" applyBorder="1" applyAlignment="1">
      <alignment horizontal="left" vertical="center" wrapText="1" indent="1"/>
    </xf>
    <xf numFmtId="0" fontId="162" fillId="58" borderId="194" xfId="0" applyFont="1" applyFill="1" applyBorder="1" applyProtection="1">
      <alignment vertical="center"/>
      <protection locked="0"/>
    </xf>
    <xf numFmtId="0" fontId="162" fillId="58" borderId="100" xfId="0" applyFont="1" applyFill="1" applyBorder="1" applyProtection="1">
      <alignment vertical="center"/>
      <protection locked="0"/>
    </xf>
    <xf numFmtId="0" fontId="162" fillId="58" borderId="115" xfId="0" applyFont="1" applyFill="1" applyBorder="1" applyProtection="1">
      <alignment vertical="center"/>
      <protection locked="0"/>
    </xf>
    <xf numFmtId="0" fontId="162" fillId="0" borderId="173" xfId="0" applyFont="1" applyBorder="1">
      <alignment vertical="center"/>
    </xf>
    <xf numFmtId="0" fontId="162" fillId="0" borderId="174" xfId="0" applyFont="1" applyBorder="1">
      <alignment vertical="center"/>
    </xf>
    <xf numFmtId="0" fontId="162" fillId="0" borderId="62" xfId="0" applyFont="1" applyBorder="1">
      <alignment vertical="center"/>
    </xf>
    <xf numFmtId="0" fontId="162" fillId="0" borderId="0" xfId="0" applyFont="1">
      <alignment vertical="center"/>
    </xf>
    <xf numFmtId="0" fontId="162" fillId="0" borderId="17" xfId="0" applyFont="1" applyBorder="1">
      <alignment vertical="center"/>
    </xf>
    <xf numFmtId="0" fontId="162" fillId="0" borderId="77" xfId="0" applyFont="1" applyBorder="1">
      <alignment vertical="center"/>
    </xf>
    <xf numFmtId="0" fontId="162" fillId="0" borderId="57" xfId="0" applyFont="1" applyBorder="1">
      <alignment vertical="center"/>
    </xf>
    <xf numFmtId="0" fontId="162" fillId="0" borderId="58" xfId="0" applyFont="1" applyBorder="1">
      <alignment vertical="center"/>
    </xf>
    <xf numFmtId="0" fontId="162" fillId="0" borderId="163" xfId="0" applyFont="1" applyBorder="1" applyAlignment="1">
      <alignment horizontal="left" vertical="center" wrapText="1"/>
    </xf>
    <xf numFmtId="0" fontId="162" fillId="0" borderId="162" xfId="0" applyFont="1" applyBorder="1" applyAlignment="1">
      <alignment horizontal="left" vertical="center" wrapText="1"/>
    </xf>
    <xf numFmtId="0" fontId="162" fillId="0" borderId="173" xfId="0" applyFont="1" applyBorder="1" applyAlignment="1">
      <alignment horizontal="left" vertical="center" wrapText="1"/>
    </xf>
    <xf numFmtId="0" fontId="41" fillId="0" borderId="0" xfId="0" applyFont="1" applyAlignment="1">
      <alignment horizontal="left" vertical="top" wrapText="1"/>
    </xf>
    <xf numFmtId="0" fontId="33" fillId="0" borderId="53" xfId="0" applyFont="1" applyBorder="1" applyAlignment="1">
      <alignment horizontal="left" vertical="center" wrapText="1"/>
    </xf>
    <xf numFmtId="0" fontId="33" fillId="0" borderId="54" xfId="0" applyFont="1" applyBorder="1" applyAlignment="1">
      <alignment horizontal="left" vertical="center" wrapText="1"/>
    </xf>
    <xf numFmtId="0" fontId="162" fillId="0" borderId="87" xfId="0" applyFont="1" applyBorder="1">
      <alignment vertical="center"/>
    </xf>
    <xf numFmtId="0" fontId="162" fillId="0" borderId="181" xfId="0" applyFont="1" applyBorder="1">
      <alignment vertical="center"/>
    </xf>
    <xf numFmtId="0" fontId="33" fillId="27" borderId="10" xfId="0" applyFont="1" applyFill="1" applyBorder="1" applyAlignment="1" applyProtection="1">
      <alignment horizontal="center" vertical="center" wrapText="1"/>
      <protection hidden="1"/>
    </xf>
    <xf numFmtId="0" fontId="33" fillId="27" borderId="89" xfId="0" applyFont="1" applyFill="1" applyBorder="1" applyAlignment="1">
      <alignment horizontal="left" vertical="center" wrapText="1"/>
    </xf>
    <xf numFmtId="0" fontId="33" fillId="27" borderId="26" xfId="0" applyFont="1" applyFill="1" applyBorder="1" applyAlignment="1">
      <alignment horizontal="center" vertical="center"/>
    </xf>
    <xf numFmtId="0" fontId="33" fillId="27" borderId="50" xfId="0" applyFont="1" applyFill="1" applyBorder="1" applyAlignment="1">
      <alignment horizontal="center" vertical="center"/>
    </xf>
    <xf numFmtId="0" fontId="33" fillId="27" borderId="27" xfId="0" applyFont="1" applyFill="1" applyBorder="1" applyAlignment="1">
      <alignment horizontal="center" vertical="center"/>
    </xf>
    <xf numFmtId="0" fontId="0" fillId="27" borderId="51" xfId="0" applyFill="1" applyBorder="1" applyAlignment="1">
      <alignment horizontal="center" vertical="center" wrapText="1"/>
    </xf>
    <xf numFmtId="0" fontId="33" fillId="27" borderId="156" xfId="0" applyFont="1" applyFill="1" applyBorder="1" applyAlignment="1">
      <alignment vertical="center" wrapText="1"/>
    </xf>
    <xf numFmtId="0" fontId="162" fillId="0" borderId="157" xfId="0" applyFont="1" applyBorder="1" applyAlignment="1">
      <alignment vertical="center" wrapText="1"/>
    </xf>
    <xf numFmtId="0" fontId="162" fillId="0" borderId="158" xfId="0" applyFont="1" applyBorder="1" applyAlignment="1">
      <alignment vertical="center" wrapText="1"/>
    </xf>
    <xf numFmtId="0" fontId="162" fillId="58" borderId="100" xfId="0" applyFont="1" applyFill="1" applyBorder="1" applyAlignment="1" applyProtection="1">
      <alignment horizontal="center" vertical="center"/>
      <protection locked="0"/>
    </xf>
    <xf numFmtId="0" fontId="162" fillId="0" borderId="118" xfId="0" applyFont="1" applyBorder="1" applyAlignment="1">
      <alignment vertical="center" wrapText="1"/>
    </xf>
    <xf numFmtId="0" fontId="162" fillId="0" borderId="196" xfId="0" applyFont="1" applyBorder="1" applyAlignment="1">
      <alignment vertical="center" wrapText="1"/>
    </xf>
    <xf numFmtId="0" fontId="33" fillId="27" borderId="179" xfId="0" applyFont="1" applyFill="1" applyBorder="1" applyAlignment="1">
      <alignment horizontal="left" vertical="center" wrapText="1"/>
    </xf>
    <xf numFmtId="0" fontId="33" fillId="27" borderId="118" xfId="0" applyFont="1" applyFill="1" applyBorder="1" applyAlignment="1">
      <alignment horizontal="left" vertical="center" wrapText="1"/>
    </xf>
    <xf numFmtId="0" fontId="33" fillId="27" borderId="196" xfId="0" applyFont="1" applyFill="1" applyBorder="1" applyAlignment="1">
      <alignment horizontal="left" vertical="center" wrapText="1"/>
    </xf>
    <xf numFmtId="0" fontId="33" fillId="27" borderId="52" xfId="0" applyFont="1" applyFill="1" applyBorder="1" applyAlignment="1">
      <alignment horizontal="left" vertical="center" wrapText="1"/>
    </xf>
    <xf numFmtId="0" fontId="33" fillId="27" borderId="181" xfId="0" applyFont="1" applyFill="1" applyBorder="1" applyAlignment="1">
      <alignment horizontal="left" vertical="center" wrapText="1"/>
    </xf>
    <xf numFmtId="0" fontId="0" fillId="0" borderId="15" xfId="0" applyBorder="1" applyAlignment="1">
      <alignment horizontal="center" vertical="center" wrapText="1"/>
    </xf>
    <xf numFmtId="0" fontId="0" fillId="27" borderId="15" xfId="0" applyFill="1" applyBorder="1" applyAlignment="1">
      <alignment horizontal="center" vertical="center" wrapText="1"/>
    </xf>
    <xf numFmtId="0" fontId="33" fillId="27" borderId="87" xfId="0" applyFont="1" applyFill="1" applyBorder="1" applyAlignment="1">
      <alignment horizontal="left" vertical="center" wrapText="1" indent="1"/>
    </xf>
    <xf numFmtId="0" fontId="208" fillId="0" borderId="51" xfId="0" applyFont="1" applyBorder="1" applyAlignment="1">
      <alignment horizontal="center" vertical="center" wrapText="1"/>
    </xf>
    <xf numFmtId="0" fontId="208" fillId="0" borderId="55" xfId="0" applyFont="1" applyBorder="1" applyAlignment="1">
      <alignment horizontal="center" vertical="center" wrapText="1"/>
    </xf>
    <xf numFmtId="182" fontId="219" fillId="0" borderId="51" xfId="0" applyNumberFormat="1" applyFont="1" applyBorder="1" applyAlignment="1">
      <alignment horizontal="center" vertical="center" shrinkToFit="1"/>
    </xf>
    <xf numFmtId="182" fontId="219" fillId="0" borderId="55" xfId="0" applyNumberFormat="1" applyFont="1" applyBorder="1" applyAlignment="1">
      <alignment horizontal="center" vertical="center" shrinkToFit="1"/>
    </xf>
    <xf numFmtId="0" fontId="208" fillId="0" borderId="51" xfId="0" applyFont="1" applyBorder="1" applyAlignment="1">
      <alignment vertical="center" wrapText="1" readingOrder="1"/>
    </xf>
    <xf numFmtId="0" fontId="208" fillId="0" borderId="15" xfId="0" applyFont="1" applyBorder="1" applyAlignment="1">
      <alignment vertical="center" wrapText="1" readingOrder="1"/>
    </xf>
    <xf numFmtId="0" fontId="208" fillId="0" borderId="55" xfId="0" applyFont="1" applyBorder="1" applyAlignment="1">
      <alignment vertical="center" wrapText="1" readingOrder="1"/>
    </xf>
    <xf numFmtId="0" fontId="210" fillId="72" borderId="52" xfId="0" applyFont="1" applyFill="1" applyBorder="1" applyAlignment="1">
      <alignment horizontal="center" vertical="center" wrapText="1"/>
    </xf>
    <xf numFmtId="0" fontId="210" fillId="72" borderId="54" xfId="0" applyFont="1" applyFill="1" applyBorder="1" applyAlignment="1">
      <alignment horizontal="center" vertical="center" wrapText="1"/>
    </xf>
    <xf numFmtId="0" fontId="210" fillId="72" borderId="56" xfId="0" applyFont="1" applyFill="1" applyBorder="1" applyAlignment="1">
      <alignment horizontal="center" vertical="center" wrapText="1"/>
    </xf>
    <xf numFmtId="0" fontId="210" fillId="72" borderId="58" xfId="0" applyFont="1" applyFill="1" applyBorder="1" applyAlignment="1">
      <alignment horizontal="center" vertical="center" wrapText="1"/>
    </xf>
    <xf numFmtId="0" fontId="208" fillId="0" borderId="10" xfId="0" applyFont="1" applyBorder="1" applyAlignment="1">
      <alignment vertical="center" wrapText="1" readingOrder="1"/>
    </xf>
    <xf numFmtId="0" fontId="208" fillId="0" borderId="51" xfId="0" applyFont="1" applyBorder="1" applyAlignment="1">
      <alignment horizontal="left" vertical="center" wrapText="1"/>
    </xf>
    <xf numFmtId="0" fontId="208" fillId="0" borderId="15" xfId="0" applyFont="1" applyBorder="1" applyAlignment="1">
      <alignment horizontal="left" vertical="center" wrapText="1"/>
    </xf>
    <xf numFmtId="0" fontId="208" fillId="0" borderId="55" xfId="0" applyFont="1" applyBorder="1" applyAlignment="1">
      <alignment horizontal="left" vertical="center" wrapText="1"/>
    </xf>
    <xf numFmtId="0" fontId="223" fillId="0" borderId="10" xfId="0" applyFont="1" applyBorder="1" applyAlignment="1">
      <alignment vertical="center" wrapText="1" readingOrder="1"/>
    </xf>
    <xf numFmtId="0" fontId="216" fillId="0" borderId="51" xfId="0" applyFont="1" applyBorder="1" applyAlignment="1">
      <alignment horizontal="left" vertical="center" wrapText="1" readingOrder="1"/>
    </xf>
    <xf numFmtId="0" fontId="216" fillId="0" borderId="55" xfId="0" applyFont="1" applyBorder="1" applyAlignment="1">
      <alignment horizontal="left" vertical="center" wrapText="1" readingOrder="1"/>
    </xf>
    <xf numFmtId="182" fontId="219" fillId="0" borderId="15" xfId="0" applyNumberFormat="1" applyFont="1" applyBorder="1" applyAlignment="1">
      <alignment horizontal="center" vertical="center" shrinkToFit="1"/>
    </xf>
    <xf numFmtId="0" fontId="208" fillId="0" borderId="51" xfId="0" applyFont="1" applyBorder="1" applyAlignment="1">
      <alignment horizontal="left" vertical="center" wrapText="1" readingOrder="1"/>
    </xf>
    <xf numFmtId="0" fontId="208" fillId="0" borderId="15" xfId="0" applyFont="1" applyBorder="1" applyAlignment="1">
      <alignment horizontal="left" vertical="center" wrapText="1" readingOrder="1"/>
    </xf>
    <xf numFmtId="0" fontId="208" fillId="0" borderId="55" xfId="0" applyFont="1" applyBorder="1" applyAlignment="1">
      <alignment horizontal="left" vertical="center" wrapText="1" readingOrder="1"/>
    </xf>
    <xf numFmtId="0" fontId="208" fillId="0" borderId="26" xfId="0" applyFont="1" applyBorder="1" applyAlignment="1">
      <alignment horizontal="left" vertical="center" wrapText="1"/>
    </xf>
    <xf numFmtId="0" fontId="228" fillId="72" borderId="51" xfId="0" applyFont="1" applyFill="1" applyBorder="1" applyAlignment="1">
      <alignment horizontal="center" vertical="center"/>
    </xf>
    <xf numFmtId="0" fontId="228" fillId="72" borderId="55" xfId="0" applyFont="1" applyFill="1" applyBorder="1" applyAlignment="1">
      <alignment horizontal="center" vertical="center"/>
    </xf>
    <xf numFmtId="0" fontId="208" fillId="0" borderId="52" xfId="0" applyFont="1" applyBorder="1" applyAlignment="1" applyProtection="1">
      <alignment horizontal="left" vertical="center" wrapText="1"/>
      <protection locked="0"/>
    </xf>
    <xf numFmtId="0" fontId="208" fillId="0" borderId="56" xfId="0" applyFont="1" applyBorder="1" applyAlignment="1" applyProtection="1">
      <alignment horizontal="left" vertical="center" wrapText="1"/>
      <protection locked="0"/>
    </xf>
    <xf numFmtId="49" fontId="208" fillId="0" borderId="51" xfId="0" applyNumberFormat="1" applyFont="1" applyBorder="1" applyAlignment="1">
      <alignment horizontal="center" vertical="center" wrapText="1"/>
    </xf>
    <xf numFmtId="49" fontId="208" fillId="0" borderId="55" xfId="0" applyNumberFormat="1" applyFont="1" applyBorder="1" applyAlignment="1">
      <alignment horizontal="center" vertical="center" wrapText="1"/>
    </xf>
    <xf numFmtId="0" fontId="208" fillId="0" borderId="10" xfId="0" applyFont="1" applyBorder="1" applyAlignment="1">
      <alignment vertical="center" wrapText="1"/>
    </xf>
    <xf numFmtId="0" fontId="215" fillId="0" borderId="52" xfId="49" applyFont="1" applyBorder="1" applyAlignment="1">
      <alignment vertical="center" wrapText="1"/>
    </xf>
    <xf numFmtId="0" fontId="215" fillId="0" borderId="56" xfId="49" applyFont="1" applyBorder="1" applyAlignment="1">
      <alignment vertical="center" wrapText="1"/>
    </xf>
    <xf numFmtId="49" fontId="208" fillId="0" borderId="15" xfId="0" applyNumberFormat="1" applyFont="1" applyBorder="1" applyAlignment="1">
      <alignment horizontal="center" vertical="center" wrapText="1" readingOrder="1"/>
    </xf>
    <xf numFmtId="49" fontId="208" fillId="0" borderId="55" xfId="0" applyNumberFormat="1" applyFont="1" applyBorder="1" applyAlignment="1">
      <alignment horizontal="center" vertical="center" wrapText="1" readingOrder="1"/>
    </xf>
    <xf numFmtId="49" fontId="208" fillId="0" borderId="51" xfId="0" applyNumberFormat="1" applyFont="1" applyBorder="1" applyAlignment="1">
      <alignment horizontal="center" vertical="center" wrapText="1" readingOrder="1"/>
    </xf>
    <xf numFmtId="49" fontId="208" fillId="0" borderId="10" xfId="0" applyNumberFormat="1" applyFont="1" applyBorder="1" applyAlignment="1">
      <alignment horizontal="center" vertical="center" wrapText="1" readingOrder="1"/>
    </xf>
    <xf numFmtId="0" fontId="230" fillId="72" borderId="51" xfId="0" applyFont="1" applyFill="1" applyBorder="1" applyAlignment="1">
      <alignment horizontal="center" vertical="center" wrapText="1"/>
    </xf>
    <xf numFmtId="0" fontId="230" fillId="72" borderId="55" xfId="0" applyFont="1" applyFill="1" applyBorder="1" applyAlignment="1">
      <alignment horizontal="center" vertical="center"/>
    </xf>
    <xf numFmtId="0" fontId="228" fillId="72" borderId="51" xfId="0" applyFont="1" applyFill="1" applyBorder="1" applyAlignment="1">
      <alignment horizontal="center" vertical="center" wrapText="1"/>
    </xf>
    <xf numFmtId="49" fontId="208" fillId="0" borderId="10" xfId="0" applyNumberFormat="1" applyFont="1" applyBorder="1" applyAlignment="1">
      <alignment horizontal="center" vertical="center" wrapText="1"/>
    </xf>
    <xf numFmtId="49" fontId="208" fillId="0" borderId="15" xfId="0" applyNumberFormat="1" applyFont="1" applyBorder="1" applyAlignment="1">
      <alignment horizontal="center" vertical="center" wrapText="1"/>
    </xf>
    <xf numFmtId="0" fontId="210" fillId="72" borderId="51" xfId="0" applyFont="1" applyFill="1" applyBorder="1" applyAlignment="1">
      <alignment horizontal="center" vertical="center" wrapText="1"/>
    </xf>
    <xf numFmtId="0" fontId="210" fillId="72" borderId="55" xfId="0" applyFont="1" applyFill="1" applyBorder="1" applyAlignment="1">
      <alignment horizontal="center" vertical="center"/>
    </xf>
    <xf numFmtId="0" fontId="210" fillId="72" borderId="55" xfId="0" applyFont="1" applyFill="1" applyBorder="1" applyAlignment="1">
      <alignment horizontal="center" vertical="center" wrapText="1"/>
    </xf>
    <xf numFmtId="179" fontId="208" fillId="0" borderId="208" xfId="0" applyNumberFormat="1" applyFont="1" applyBorder="1" applyAlignment="1">
      <alignment horizontal="center" vertical="center" wrapText="1"/>
    </xf>
    <xf numFmtId="179" fontId="208" fillId="0" borderId="209" xfId="0" applyNumberFormat="1" applyFont="1" applyBorder="1" applyAlignment="1">
      <alignment horizontal="center" vertical="center" wrapText="1"/>
    </xf>
    <xf numFmtId="179" fontId="208" fillId="0" borderId="210" xfId="0" applyNumberFormat="1" applyFont="1" applyBorder="1" applyAlignment="1">
      <alignment horizontal="center" vertical="center" wrapText="1"/>
    </xf>
    <xf numFmtId="0" fontId="208" fillId="0" borderId="64" xfId="0" applyFont="1" applyBorder="1" applyAlignment="1" applyProtection="1">
      <alignment horizontal="left" vertical="center" wrapText="1"/>
      <protection locked="0"/>
    </xf>
    <xf numFmtId="0" fontId="208" fillId="0" borderId="51" xfId="0" applyFont="1" applyBorder="1" applyAlignment="1" applyProtection="1">
      <alignment horizontal="center" vertical="center" wrapText="1"/>
      <protection locked="0"/>
    </xf>
    <xf numFmtId="0" fontId="208" fillId="0" borderId="15" xfId="0" applyFont="1" applyBorder="1" applyAlignment="1" applyProtection="1">
      <alignment horizontal="center" vertical="center" wrapText="1"/>
      <protection locked="0"/>
    </xf>
    <xf numFmtId="0" fontId="208" fillId="0" borderId="55" xfId="0" applyFont="1" applyBorder="1" applyAlignment="1" applyProtection="1">
      <alignment horizontal="center" vertical="center" wrapText="1"/>
      <protection locked="0"/>
    </xf>
    <xf numFmtId="0" fontId="208" fillId="59" borderId="51" xfId="0" applyFont="1" applyFill="1" applyBorder="1" applyAlignment="1">
      <alignment horizontal="center" vertical="center" wrapText="1"/>
    </xf>
    <xf numFmtId="0" fontId="208" fillId="59" borderId="15" xfId="0" applyFont="1" applyFill="1" applyBorder="1" applyAlignment="1">
      <alignment horizontal="center" vertical="center" wrapText="1"/>
    </xf>
    <xf numFmtId="0" fontId="208" fillId="59" borderId="55" xfId="0" applyFont="1" applyFill="1" applyBorder="1" applyAlignment="1">
      <alignment horizontal="center" vertical="center" wrapText="1"/>
    </xf>
    <xf numFmtId="179" fontId="229" fillId="72" borderId="51" xfId="0" applyNumberFormat="1" applyFont="1" applyFill="1" applyBorder="1" applyAlignment="1">
      <alignment horizontal="center" vertical="center" wrapText="1"/>
    </xf>
    <xf numFmtId="179" fontId="229" fillId="72" borderId="55" xfId="0" applyNumberFormat="1" applyFont="1" applyFill="1" applyBorder="1" applyAlignment="1">
      <alignment horizontal="center" vertical="center" wrapText="1"/>
    </xf>
    <xf numFmtId="199" fontId="210" fillId="72" borderId="10" xfId="0" applyNumberFormat="1" applyFont="1" applyFill="1" applyBorder="1" applyAlignment="1">
      <alignment horizontal="center" vertical="center"/>
    </xf>
    <xf numFmtId="0" fontId="210" fillId="72" borderId="26" xfId="0" applyFont="1" applyFill="1" applyBorder="1" applyAlignment="1">
      <alignment horizontal="center" vertical="center" wrapText="1"/>
    </xf>
    <xf numFmtId="0" fontId="210" fillId="72" borderId="50" xfId="0" applyFont="1" applyFill="1" applyBorder="1" applyAlignment="1">
      <alignment horizontal="center" vertical="center" wrapText="1"/>
    </xf>
    <xf numFmtId="0" fontId="210" fillId="72" borderId="27" xfId="0" applyFont="1" applyFill="1" applyBorder="1" applyAlignment="1">
      <alignment horizontal="center" vertical="center" wrapText="1"/>
    </xf>
    <xf numFmtId="0" fontId="211" fillId="86" borderId="51" xfId="0" applyFont="1" applyFill="1" applyBorder="1" applyAlignment="1">
      <alignment horizontal="left" vertical="top" wrapText="1"/>
    </xf>
    <xf numFmtId="0" fontId="211" fillId="86" borderId="15" xfId="0" applyFont="1" applyFill="1" applyBorder="1" applyAlignment="1">
      <alignment horizontal="left" vertical="top" wrapText="1"/>
    </xf>
    <xf numFmtId="0" fontId="211" fillId="86" borderId="55" xfId="0" applyFont="1" applyFill="1" applyBorder="1" applyAlignment="1">
      <alignment horizontal="left" vertical="top" wrapText="1"/>
    </xf>
    <xf numFmtId="0" fontId="211" fillId="92" borderId="10" xfId="0" applyFont="1" applyFill="1" applyBorder="1" applyAlignment="1">
      <alignment vertical="top" wrapText="1"/>
    </xf>
    <xf numFmtId="0" fontId="211" fillId="87" borderId="10" xfId="0" applyFont="1" applyFill="1" applyBorder="1" applyAlignment="1">
      <alignment vertical="top" wrapText="1"/>
    </xf>
    <xf numFmtId="0" fontId="211" fillId="88" borderId="10" xfId="0" applyFont="1" applyFill="1" applyBorder="1" applyAlignment="1">
      <alignment vertical="top" wrapText="1"/>
    </xf>
    <xf numFmtId="0" fontId="211" fillId="90" borderId="10" xfId="0" applyFont="1" applyFill="1" applyBorder="1" applyAlignment="1">
      <alignment vertical="top" wrapText="1"/>
    </xf>
    <xf numFmtId="0" fontId="225" fillId="0" borderId="51" xfId="0" applyFont="1" applyBorder="1" applyAlignment="1">
      <alignment horizontal="left" vertical="center" wrapText="1" readingOrder="1"/>
    </xf>
    <xf numFmtId="0" fontId="225" fillId="0" borderId="55" xfId="0" applyFont="1" applyBorder="1" applyAlignment="1">
      <alignment horizontal="left" vertical="center" wrapText="1" readingOrder="1"/>
    </xf>
    <xf numFmtId="0" fontId="211" fillId="82" borderId="10" xfId="0" applyFont="1" applyFill="1" applyBorder="1" applyAlignment="1">
      <alignment horizontal="left" vertical="top" wrapText="1"/>
    </xf>
    <xf numFmtId="0" fontId="211" fillId="84" borderId="10" xfId="0" applyFont="1" applyFill="1" applyBorder="1" applyAlignment="1">
      <alignment horizontal="left" vertical="top" wrapText="1"/>
    </xf>
    <xf numFmtId="0" fontId="211" fillId="83" borderId="51" xfId="0" applyFont="1" applyFill="1" applyBorder="1" applyAlignment="1">
      <alignment horizontal="left" vertical="top" wrapText="1"/>
    </xf>
    <xf numFmtId="0" fontId="211" fillId="83" borderId="15" xfId="0" applyFont="1" applyFill="1" applyBorder="1" applyAlignment="1">
      <alignment horizontal="left" vertical="top" wrapText="1"/>
    </xf>
    <xf numFmtId="0" fontId="211" fillId="83" borderId="55" xfId="0" applyFont="1" applyFill="1" applyBorder="1" applyAlignment="1">
      <alignment horizontal="left" vertical="top" wrapText="1"/>
    </xf>
    <xf numFmtId="0" fontId="211" fillId="79" borderId="10" xfId="0" applyFont="1" applyFill="1" applyBorder="1" applyAlignment="1">
      <alignment horizontal="left" vertical="top" wrapText="1"/>
    </xf>
    <xf numFmtId="0" fontId="228" fillId="72" borderId="26" xfId="0" applyFont="1" applyFill="1" applyBorder="1" applyAlignment="1">
      <alignment horizontal="center" vertical="center"/>
    </xf>
    <xf numFmtId="0" fontId="228" fillId="72" borderId="50" xfId="0" applyFont="1" applyFill="1" applyBorder="1" applyAlignment="1">
      <alignment horizontal="center" vertical="center"/>
    </xf>
    <xf numFmtId="0" fontId="228" fillId="72" borderId="27" xfId="0" applyFont="1" applyFill="1" applyBorder="1" applyAlignment="1">
      <alignment horizontal="center" vertical="center"/>
    </xf>
    <xf numFmtId="0" fontId="211" fillId="75" borderId="10" xfId="0" applyFont="1" applyFill="1" applyBorder="1" applyAlignment="1">
      <alignment vertical="top" wrapText="1"/>
    </xf>
    <xf numFmtId="0" fontId="211" fillId="80" borderId="10" xfId="0" applyFont="1" applyFill="1" applyBorder="1" applyAlignment="1">
      <alignment vertical="top" wrapText="1"/>
    </xf>
    <xf numFmtId="0" fontId="211" fillId="81" borderId="10" xfId="0" applyFont="1" applyFill="1" applyBorder="1" applyAlignment="1">
      <alignment horizontal="left" vertical="top" wrapText="1"/>
    </xf>
    <xf numFmtId="0" fontId="33" fillId="0" borderId="0" xfId="0" applyFont="1" applyAlignment="1">
      <alignment horizontal="left" vertical="center"/>
    </xf>
    <xf numFmtId="0" fontId="33" fillId="0" borderId="0" xfId="0" applyFont="1" applyAlignment="1">
      <alignment horizontal="left" vertical="center" shrinkToFit="1"/>
    </xf>
    <xf numFmtId="0" fontId="0" fillId="0" borderId="0" xfId="0" applyAlignment="1">
      <alignment horizontal="left" vertical="center" shrinkToFit="1"/>
    </xf>
    <xf numFmtId="0" fontId="33" fillId="29" borderId="0" xfId="0" applyFont="1" applyFill="1" applyAlignment="1">
      <alignment horizontal="left" vertical="center"/>
    </xf>
    <xf numFmtId="0" fontId="38" fillId="41" borderId="51" xfId="0" applyFont="1" applyFill="1" applyBorder="1" applyAlignment="1" applyProtection="1">
      <alignment horizontal="center" vertical="center"/>
      <protection locked="0"/>
    </xf>
    <xf numFmtId="0" fontId="38" fillId="41" borderId="15" xfId="0" applyFont="1" applyFill="1" applyBorder="1" applyAlignment="1" applyProtection="1">
      <alignment horizontal="center" vertical="center"/>
      <protection locked="0"/>
    </xf>
    <xf numFmtId="0" fontId="38" fillId="41" borderId="55" xfId="0" applyFont="1" applyFill="1" applyBorder="1" applyAlignment="1" applyProtection="1">
      <alignment horizontal="center" vertical="center"/>
      <protection locked="0"/>
    </xf>
    <xf numFmtId="0" fontId="38" fillId="27" borderId="15" xfId="0" applyFont="1" applyFill="1" applyBorder="1" applyAlignment="1">
      <alignment horizontal="center" vertical="center" wrapText="1"/>
    </xf>
    <xf numFmtId="0" fontId="38" fillId="27" borderId="64" xfId="0" applyFont="1" applyFill="1" applyBorder="1" applyAlignment="1">
      <alignment horizontal="center" vertical="center" wrapText="1"/>
    </xf>
    <xf numFmtId="0" fontId="38" fillId="27" borderId="10" xfId="0" applyFont="1" applyFill="1" applyBorder="1" applyAlignment="1">
      <alignment horizontal="center" vertical="center"/>
    </xf>
    <xf numFmtId="0" fontId="38" fillId="27" borderId="26" xfId="0" applyFont="1" applyFill="1" applyBorder="1" applyAlignment="1">
      <alignment horizontal="center" vertical="center"/>
    </xf>
    <xf numFmtId="0" fontId="38" fillId="27" borderId="27" xfId="0" applyFont="1" applyFill="1" applyBorder="1" applyAlignment="1">
      <alignment horizontal="center" vertical="center"/>
    </xf>
    <xf numFmtId="0" fontId="38" fillId="27" borderId="51" xfId="0" applyFont="1" applyFill="1" applyBorder="1" applyAlignment="1">
      <alignment horizontal="center" vertical="center" wrapText="1"/>
    </xf>
    <xf numFmtId="0" fontId="38" fillId="27" borderId="15" xfId="0" applyFont="1" applyFill="1" applyBorder="1" applyAlignment="1">
      <alignment horizontal="center" vertical="center"/>
    </xf>
    <xf numFmtId="0" fontId="38" fillId="27" borderId="55" xfId="0" applyFont="1" applyFill="1" applyBorder="1" applyAlignment="1">
      <alignment horizontal="center" vertical="center"/>
    </xf>
    <xf numFmtId="2" fontId="38" fillId="35" borderId="10" xfId="0" applyNumberFormat="1" applyFont="1" applyFill="1" applyBorder="1" applyAlignment="1" applyProtection="1">
      <alignment horizontal="center"/>
      <protection hidden="1"/>
    </xf>
    <xf numFmtId="2" fontId="38" fillId="35" borderId="51" xfId="0" applyNumberFormat="1" applyFont="1" applyFill="1" applyBorder="1" applyAlignment="1" applyProtection="1">
      <alignment horizontal="center"/>
      <protection hidden="1"/>
    </xf>
    <xf numFmtId="38" fontId="239" fillId="95" borderId="26" xfId="35" applyFont="1" applyFill="1" applyBorder="1" applyAlignment="1">
      <alignment horizontal="center" vertical="center"/>
    </xf>
    <xf numFmtId="38" fontId="239" fillId="95" borderId="50" xfId="35" applyFont="1" applyFill="1" applyBorder="1" applyAlignment="1">
      <alignment horizontal="center" vertical="center"/>
    </xf>
    <xf numFmtId="38" fontId="239" fillId="95" borderId="27" xfId="35"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8" xr:uid="{00000000-0005-0000-0000-00002C000000}"/>
    <cellStyle name="標準 4" xfId="49" xr:uid="{00000000-0005-0000-0000-00002D000000}"/>
    <cellStyle name="標準 5" xfId="50" xr:uid="{00000000-0005-0000-0000-00002E000000}"/>
    <cellStyle name="標準_070627LCCO2計算" xfId="44" xr:uid="{00000000-0005-0000-0000-00002F000000}"/>
    <cellStyle name="標準_070627LCCO2計算_100308事業者別CO2排出係数シート案" xfId="45" xr:uid="{00000000-0005-0000-0000-000030000000}"/>
    <cellStyle name="標準_選定シートV1.0" xfId="46" xr:uid="{00000000-0005-0000-0000-000031000000}"/>
    <cellStyle name="良い" xfId="47" builtinId="26" customBuiltin="1"/>
  </cellStyles>
  <dxfs count="343">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patternType="darkUp">
          <fgColor theme="1" tint="0.34998626667073579"/>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22"/>
        </patternFill>
      </fill>
    </dxf>
    <dxf>
      <fill>
        <patternFill>
          <bgColor indexed="27"/>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ont>
        <b/>
        <i val="0"/>
        <condense val="0"/>
        <extend val="0"/>
        <color indexed="10"/>
      </font>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26"/>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7"/>
        </patternFill>
      </fill>
    </dxf>
    <dxf>
      <font>
        <condense val="0"/>
        <extend val="0"/>
        <color auto="1"/>
      </font>
      <fill>
        <patternFill>
          <bgColor indexed="47"/>
        </patternFill>
      </fill>
    </dxf>
    <dxf>
      <fill>
        <patternFill>
          <bgColor indexed="47"/>
        </patternFill>
      </fill>
    </dxf>
    <dxf>
      <font>
        <condense val="0"/>
        <extend val="0"/>
        <color auto="1"/>
      </font>
      <fill>
        <patternFill>
          <bgColor indexed="4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colors>
    <mruColors>
      <color rgb="FFCC99FF"/>
      <color rgb="FFFFFFCC"/>
      <color rgb="FFCCFFFF"/>
      <color rgb="FFC0C0C0"/>
      <color rgb="FFCCCCFF"/>
      <color rgb="FFCCECFF"/>
      <color rgb="FFDDDDDD"/>
      <color rgb="FF008000"/>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image" Target="../media/image7.png"/></Relationships>
</file>

<file path=xl/charts/_rels/chart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charts/_rels/chart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jpeg"/></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jpeg"/></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charts/_rels/chart2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7.png"/></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'結果（SDGs評価なし）'!$R$13</c:f>
              <c:strCache>
                <c:ptCount val="1"/>
                <c:pt idx="0">
                  <c:v>Rank(red star)</c:v>
                </c:pt>
              </c:strCache>
            </c:strRef>
          </c:cat>
          <c:val>
            <c:numRef>
              <c:f>'結果（SDGs評価なし）'!$S$13</c:f>
              <c:numCache>
                <c:formatCode>#,##0.0;[Red]\-#,##0.0</c:formatCode>
                <c:ptCount val="1"/>
                <c:pt idx="0">
                  <c:v>0.4</c:v>
                </c:pt>
              </c:numCache>
            </c:numRef>
          </c:val>
          <c:extLst>
            <c:ext xmlns:c16="http://schemas.microsoft.com/office/drawing/2014/chart" uri="{C3380CC4-5D6E-409C-BE32-E72D297353CC}">
              <c16:uniqueId val="{00000000-A725-4211-B011-F6D211927963}"/>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'結果（SDGs評価なし）'!$R$13</c:f>
              <c:strCache>
                <c:ptCount val="1"/>
                <c:pt idx="0">
                  <c:v>Rank(red star)</c:v>
                </c:pt>
              </c:strCache>
            </c:strRef>
          </c:cat>
          <c:val>
            <c:numRef>
              <c:f>'結果（SDGs評価なし）'!$S$14</c:f>
              <c:numCache>
                <c:formatCode>#,##0.0;[Red]\-#,##0.0</c:formatCode>
                <c:ptCount val="1"/>
                <c:pt idx="0">
                  <c:v>0.6</c:v>
                </c:pt>
              </c:numCache>
            </c:numRef>
          </c:val>
          <c:extLst>
            <c:ext xmlns:c16="http://schemas.microsoft.com/office/drawing/2014/chart" uri="{C3380CC4-5D6E-409C-BE32-E72D297353CC}">
              <c16:uniqueId val="{00000001-A725-4211-B011-F6D211927963}"/>
            </c:ext>
          </c:extLst>
        </c:ser>
        <c:dLbls>
          <c:showLegendKey val="0"/>
          <c:showVal val="0"/>
          <c:showCatName val="0"/>
          <c:showSerName val="0"/>
          <c:showPercent val="0"/>
          <c:showBubbleSize val="0"/>
        </c:dLbls>
        <c:gapWidth val="50"/>
        <c:overlap val="100"/>
        <c:axId val="659601688"/>
        <c:axId val="659591496"/>
      </c:barChart>
      <c:catAx>
        <c:axId val="659601688"/>
        <c:scaling>
          <c:orientation val="minMax"/>
        </c:scaling>
        <c:delete val="1"/>
        <c:axPos val="l"/>
        <c:numFmt formatCode="General" sourceLinked="1"/>
        <c:majorTickMark val="out"/>
        <c:minorTickMark val="none"/>
        <c:tickLblPos val="nextTo"/>
        <c:crossAx val="659591496"/>
        <c:crosses val="autoZero"/>
        <c:auto val="1"/>
        <c:lblAlgn val="ctr"/>
        <c:lblOffset val="100"/>
        <c:noMultiLvlLbl val="0"/>
      </c:catAx>
      <c:valAx>
        <c:axId val="659591496"/>
        <c:scaling>
          <c:orientation val="minMax"/>
        </c:scaling>
        <c:delete val="1"/>
        <c:axPos val="b"/>
        <c:numFmt formatCode="0%" sourceLinked="1"/>
        <c:majorTickMark val="out"/>
        <c:minorTickMark val="none"/>
        <c:tickLblPos val="nextTo"/>
        <c:crossAx val="65960168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10E6-43D6-A8D8-56B7FA709915}"/>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10E6-43D6-A8D8-56B7FA709915}"/>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10E6-43D6-A8D8-56B7FA70991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'結果（SDGs評価なし）'!$U$60:$U$62</c:f>
              <c:strCache>
                <c:ptCount val="3"/>
                <c:pt idx="0">
                  <c:v>水資源</c:v>
                </c:pt>
                <c:pt idx="1">
                  <c:v>非再生性材料の削減</c:v>
                </c:pt>
                <c:pt idx="2">
                  <c:v>汚染物質回避</c:v>
                </c:pt>
              </c:strCache>
            </c:strRef>
          </c:cat>
          <c:val>
            <c:numRef>
              <c:f>'結果（SDGs評価なし）'!$V$60:$V$62</c:f>
              <c:numCache>
                <c:formatCode>0.0_ </c:formatCode>
                <c:ptCount val="3"/>
                <c:pt idx="0">
                  <c:v>3</c:v>
                </c:pt>
                <c:pt idx="1">
                  <c:v>3.1</c:v>
                </c:pt>
                <c:pt idx="2">
                  <c:v>3</c:v>
                </c:pt>
              </c:numCache>
            </c:numRef>
          </c:val>
          <c:extLst>
            <c:ext xmlns:c16="http://schemas.microsoft.com/office/drawing/2014/chart" uri="{C3380CC4-5D6E-409C-BE32-E72D297353CC}">
              <c16:uniqueId val="{00000003-947B-48B2-A3E8-F566772275B2}"/>
            </c:ext>
          </c:extLst>
        </c:ser>
        <c:dLbls>
          <c:showLegendKey val="0"/>
          <c:showVal val="1"/>
          <c:showCatName val="0"/>
          <c:showSerName val="0"/>
          <c:showPercent val="0"/>
          <c:showBubbleSize val="0"/>
        </c:dLbls>
        <c:gapWidth val="70"/>
        <c:axId val="659611096"/>
        <c:axId val="659607960"/>
      </c:barChart>
      <c:catAx>
        <c:axId val="659611096"/>
        <c:scaling>
          <c:orientation val="minMax"/>
        </c:scaling>
        <c:delete val="0"/>
        <c:axPos val="b"/>
        <c:numFmt formatCode="General" sourceLinked="1"/>
        <c:majorTickMark val="none"/>
        <c:minorTickMark val="none"/>
        <c:tickLblPos val="none"/>
        <c:spPr>
          <a:ln w="3175">
            <a:solidFill>
              <a:srgbClr val="000000"/>
            </a:solidFill>
            <a:prstDash val="solid"/>
          </a:ln>
        </c:spPr>
        <c:crossAx val="659607960"/>
        <c:crossesAt val="0"/>
        <c:auto val="1"/>
        <c:lblAlgn val="ctr"/>
        <c:lblOffset val="100"/>
        <c:tickMarkSkip val="1"/>
        <c:noMultiLvlLbl val="0"/>
      </c:catAx>
      <c:valAx>
        <c:axId val="6596079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5961109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223A-4FBA-A7A6-B1864D106F37}"/>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223A-4FBA-A7A6-B1864D106F37}"/>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223A-4FBA-A7A6-B1864D106F3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'結果（SDGs評価なし）'!$X$60:$X$62</c:f>
              <c:strCache>
                <c:ptCount val="3"/>
                <c:pt idx="0">
                  <c:v>地球温暖化への配慮</c:v>
                </c:pt>
                <c:pt idx="1">
                  <c:v>地域環境への配慮</c:v>
                </c:pt>
                <c:pt idx="2">
                  <c:v>周辺環境への配慮</c:v>
                </c:pt>
              </c:strCache>
            </c:strRef>
          </c:cat>
          <c:val>
            <c:numRef>
              <c:f>'結果（SDGs評価なし）'!$Y$60:$Y$62</c:f>
              <c:numCache>
                <c:formatCode>0.0_ </c:formatCode>
                <c:ptCount val="3"/>
                <c:pt idx="0">
                  <c:v>3</c:v>
                </c:pt>
                <c:pt idx="1">
                  <c:v>3</c:v>
                </c:pt>
                <c:pt idx="2">
                  <c:v>3</c:v>
                </c:pt>
              </c:numCache>
            </c:numRef>
          </c:val>
          <c:extLst>
            <c:ext xmlns:c16="http://schemas.microsoft.com/office/drawing/2014/chart" uri="{C3380CC4-5D6E-409C-BE32-E72D297353CC}">
              <c16:uniqueId val="{00000003-7CA3-4C1A-BBB2-F23CFC385DBE}"/>
            </c:ext>
          </c:extLst>
        </c:ser>
        <c:dLbls>
          <c:showLegendKey val="0"/>
          <c:showVal val="1"/>
          <c:showCatName val="0"/>
          <c:showSerName val="0"/>
          <c:showPercent val="0"/>
          <c:showBubbleSize val="0"/>
        </c:dLbls>
        <c:gapWidth val="70"/>
        <c:axId val="659606000"/>
        <c:axId val="659607568"/>
      </c:barChart>
      <c:catAx>
        <c:axId val="659606000"/>
        <c:scaling>
          <c:orientation val="minMax"/>
        </c:scaling>
        <c:delete val="0"/>
        <c:axPos val="b"/>
        <c:numFmt formatCode="General" sourceLinked="1"/>
        <c:majorTickMark val="none"/>
        <c:minorTickMark val="none"/>
        <c:tickLblPos val="none"/>
        <c:spPr>
          <a:ln w="3175">
            <a:solidFill>
              <a:srgbClr val="000000"/>
            </a:solidFill>
            <a:prstDash val="solid"/>
          </a:ln>
        </c:spPr>
        <c:crossAx val="659607568"/>
        <c:crossesAt val="0"/>
        <c:auto val="1"/>
        <c:lblAlgn val="ctr"/>
        <c:lblOffset val="100"/>
        <c:tickMarkSkip val="1"/>
        <c:noMultiLvlLbl val="0"/>
      </c:catAx>
      <c:valAx>
        <c:axId val="65960756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596060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5"/>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40BC-41AB-9161-7B3F3280C2A9}"/>
            </c:ext>
          </c:extLst>
        </c:ser>
        <c:ser>
          <c:idx val="6"/>
          <c:order val="1"/>
          <c:spPr>
            <a:no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40BC-41AB-9161-7B3F3280C2A9}"/>
            </c:ext>
          </c:extLst>
        </c:ser>
        <c:ser>
          <c:idx val="7"/>
          <c:order val="2"/>
          <c:spPr>
            <a:no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40BC-41AB-9161-7B3F3280C2A9}"/>
            </c:ext>
          </c:extLst>
        </c:ser>
        <c:ser>
          <c:idx val="8"/>
          <c:order val="3"/>
          <c:spPr>
            <a:pattFill prst="pct50">
              <a:fgClr>
                <a:srgbClr val="CCCCFF"/>
              </a:fgClr>
              <a:bgClr>
                <a:srgbClr val="FFFFFF"/>
              </a:bgClr>
            </a:patt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'結果（SDGs評価なし）'!$Z$8:$Z$13</c:f>
              <c:numCache>
                <c:formatCode>General</c:formatCode>
                <c:ptCount val="6"/>
                <c:pt idx="0">
                  <c:v>2.8</c:v>
                </c:pt>
                <c:pt idx="1">
                  <c:v>1.8</c:v>
                </c:pt>
                <c:pt idx="2">
                  <c:v>3</c:v>
                </c:pt>
                <c:pt idx="3">
                  <c:v>3</c:v>
                </c:pt>
                <c:pt idx="4">
                  <c:v>2.2000000000000002</c:v>
                </c:pt>
                <c:pt idx="5">
                  <c:v>2.9</c:v>
                </c:pt>
              </c:numCache>
            </c:numRef>
          </c:val>
          <c:extLst>
            <c:ext xmlns:c16="http://schemas.microsoft.com/office/drawing/2014/chart" uri="{C3380CC4-5D6E-409C-BE32-E72D297353CC}">
              <c16:uniqueId val="{00000003-40BC-41AB-9161-7B3F3280C2A9}"/>
            </c:ext>
          </c:extLst>
        </c:ser>
        <c:ser>
          <c:idx val="9"/>
          <c:order val="4"/>
          <c:spPr>
            <a:noFill/>
            <a:ln w="12700">
              <a:solidFill>
                <a:srgbClr val="FF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40BC-41AB-9161-7B3F3280C2A9}"/>
            </c:ext>
          </c:extLst>
        </c:ser>
        <c:ser>
          <c:idx val="0"/>
          <c:order val="5"/>
          <c:spPr>
            <a:blipFill dpi="0" rotWithShape="0">
              <a:blip xmlns:r="http://schemas.openxmlformats.org/officeDocument/2006/relationships" r:embed="rId1"/>
              <a:srcRect/>
              <a:stretch>
                <a:fillRect/>
              </a:stretch>
            </a:blip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5-40BC-41AB-9161-7B3F3280C2A9}"/>
            </c:ext>
          </c:extLst>
        </c:ser>
        <c:ser>
          <c:idx val="1"/>
          <c:order val="6"/>
          <c:spPr>
            <a:no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6-40BC-41AB-9161-7B3F3280C2A9}"/>
            </c:ext>
          </c:extLst>
        </c:ser>
        <c:ser>
          <c:idx val="2"/>
          <c:order val="7"/>
          <c:spPr>
            <a:no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7-40BC-41AB-9161-7B3F3280C2A9}"/>
            </c:ext>
          </c:extLst>
        </c:ser>
        <c:ser>
          <c:idx val="3"/>
          <c:order val="8"/>
          <c:spPr>
            <a:pattFill prst="pct50">
              <a:fgClr>
                <a:srgbClr val="CCCCFF"/>
              </a:fgClr>
              <a:bgClr>
                <a:srgbClr val="FFFFFF"/>
              </a:bgClr>
            </a:patt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'結果（SDGs評価なし）'!$Z$8:$Z$13</c:f>
              <c:numCache>
                <c:formatCode>General</c:formatCode>
                <c:ptCount val="6"/>
                <c:pt idx="0">
                  <c:v>2.8</c:v>
                </c:pt>
                <c:pt idx="1">
                  <c:v>1.8</c:v>
                </c:pt>
                <c:pt idx="2">
                  <c:v>3</c:v>
                </c:pt>
                <c:pt idx="3">
                  <c:v>3</c:v>
                </c:pt>
                <c:pt idx="4">
                  <c:v>2.2000000000000002</c:v>
                </c:pt>
                <c:pt idx="5">
                  <c:v>2.9</c:v>
                </c:pt>
              </c:numCache>
            </c:numRef>
          </c:val>
          <c:extLst>
            <c:ext xmlns:c16="http://schemas.microsoft.com/office/drawing/2014/chart" uri="{C3380CC4-5D6E-409C-BE32-E72D297353CC}">
              <c16:uniqueId val="{00000008-40BC-41AB-9161-7B3F3280C2A9}"/>
            </c:ext>
          </c:extLst>
        </c:ser>
        <c:ser>
          <c:idx val="4"/>
          <c:order val="9"/>
          <c:spPr>
            <a:noFill/>
            <a:ln w="12700">
              <a:solidFill>
                <a:srgbClr val="FF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9-40BC-41AB-9161-7B3F3280C2A9}"/>
            </c:ext>
          </c:extLst>
        </c:ser>
        <c:dLbls>
          <c:showLegendKey val="0"/>
          <c:showVal val="0"/>
          <c:showCatName val="0"/>
          <c:showSerName val="0"/>
          <c:showPercent val="0"/>
          <c:showBubbleSize val="0"/>
        </c:dLbls>
        <c:axId val="659609528"/>
        <c:axId val="659606392"/>
      </c:radarChart>
      <c:catAx>
        <c:axId val="6596095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659606392"/>
        <c:crosses val="autoZero"/>
        <c:auto val="0"/>
        <c:lblAlgn val="ctr"/>
        <c:lblOffset val="100"/>
        <c:noMultiLvlLbl val="0"/>
      </c:catAx>
      <c:valAx>
        <c:axId val="659606392"/>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659609528"/>
        <c:crosses val="autoZero"/>
        <c:crossBetween val="between"/>
        <c:majorUnit val="1"/>
      </c:valAx>
      <c:spPr>
        <a:noFill/>
        <a:ln w="25400">
          <a:noFill/>
        </a:ln>
      </c:spPr>
    </c:plotArea>
    <c:plotVisOnly val="0"/>
    <c:dispBlanksAs val="gap"/>
    <c:showDLblsOverMax val="0"/>
  </c:chart>
  <c:spPr>
    <a:solidFill>
      <a:schemeClr val="bg1"/>
    </a:solid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'結果（SDGs評価あり）'!$R$13</c:f>
              <c:strCache>
                <c:ptCount val="1"/>
                <c:pt idx="0">
                  <c:v>Rank(red star)</c:v>
                </c:pt>
              </c:strCache>
            </c:strRef>
          </c:cat>
          <c:val>
            <c:numRef>
              <c:f>'結果（SDGs評価あり）'!$S$13</c:f>
              <c:numCache>
                <c:formatCode>#,##0.0;[Red]\-#,##0.0</c:formatCode>
                <c:ptCount val="1"/>
                <c:pt idx="0">
                  <c:v>0.4</c:v>
                </c:pt>
              </c:numCache>
            </c:numRef>
          </c:val>
          <c:extLst>
            <c:ext xmlns:c16="http://schemas.microsoft.com/office/drawing/2014/chart" uri="{C3380CC4-5D6E-409C-BE32-E72D297353CC}">
              <c16:uniqueId val="{00000000-02C1-464F-9B7E-4D84975A5A6C}"/>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'結果（SDGs評価あり）'!$R$13</c:f>
              <c:strCache>
                <c:ptCount val="1"/>
                <c:pt idx="0">
                  <c:v>Rank(red star)</c:v>
                </c:pt>
              </c:strCache>
            </c:strRef>
          </c:cat>
          <c:val>
            <c:numRef>
              <c:f>'結果（SDGs評価あり）'!$S$14</c:f>
              <c:numCache>
                <c:formatCode>#,##0.0;[Red]\-#,##0.0</c:formatCode>
                <c:ptCount val="1"/>
                <c:pt idx="0">
                  <c:v>0.6</c:v>
                </c:pt>
              </c:numCache>
            </c:numRef>
          </c:val>
          <c:extLst>
            <c:ext xmlns:c16="http://schemas.microsoft.com/office/drawing/2014/chart" uri="{C3380CC4-5D6E-409C-BE32-E72D297353CC}">
              <c16:uniqueId val="{00000001-02C1-464F-9B7E-4D84975A5A6C}"/>
            </c:ext>
          </c:extLst>
        </c:ser>
        <c:dLbls>
          <c:showLegendKey val="0"/>
          <c:showVal val="0"/>
          <c:showCatName val="0"/>
          <c:showSerName val="0"/>
          <c:showPercent val="0"/>
          <c:showBubbleSize val="0"/>
        </c:dLbls>
        <c:gapWidth val="50"/>
        <c:overlap val="100"/>
        <c:axId val="628911272"/>
        <c:axId val="628912056"/>
      </c:barChart>
      <c:catAx>
        <c:axId val="628911272"/>
        <c:scaling>
          <c:orientation val="minMax"/>
        </c:scaling>
        <c:delete val="1"/>
        <c:axPos val="l"/>
        <c:numFmt formatCode="General" sourceLinked="1"/>
        <c:majorTickMark val="out"/>
        <c:minorTickMark val="none"/>
        <c:tickLblPos val="nextTo"/>
        <c:crossAx val="628912056"/>
        <c:crosses val="autoZero"/>
        <c:auto val="1"/>
        <c:lblAlgn val="ctr"/>
        <c:lblOffset val="100"/>
        <c:noMultiLvlLbl val="0"/>
      </c:catAx>
      <c:valAx>
        <c:axId val="628912056"/>
        <c:scaling>
          <c:orientation val="minMax"/>
        </c:scaling>
        <c:delete val="1"/>
        <c:axPos val="b"/>
        <c:numFmt formatCode="0%" sourceLinked="1"/>
        <c:majorTickMark val="out"/>
        <c:minorTickMark val="none"/>
        <c:tickLblPos val="nextTo"/>
        <c:crossAx val="628911272"/>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6B5E-46C5-843C-FE3490B94332}"/>
              </c:ext>
            </c:extLst>
          </c:dPt>
          <c:cat>
            <c:strRef>
              <c:f>'結果（SDGs評価あり）'!$R$36</c:f>
              <c:strCache>
                <c:ptCount val="1"/>
                <c:pt idx="0">
                  <c:v>Rank(green star)</c:v>
                </c:pt>
              </c:strCache>
            </c:strRef>
          </c:cat>
          <c:val>
            <c:numRef>
              <c:f>'結果（SDGs評価あり）'!$S$36</c:f>
              <c:numCache>
                <c:formatCode>#,##0.0;[Red]\-#,##0.0</c:formatCode>
                <c:ptCount val="1"/>
                <c:pt idx="0">
                  <c:v>0.4</c:v>
                </c:pt>
              </c:numCache>
            </c:numRef>
          </c:val>
          <c:extLst>
            <c:ext xmlns:c16="http://schemas.microsoft.com/office/drawing/2014/chart" uri="{C3380CC4-5D6E-409C-BE32-E72D297353CC}">
              <c16:uniqueId val="{00000002-6B5E-46C5-843C-FE3490B94332}"/>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'結果（SDGs評価あり）'!$R$36</c:f>
              <c:strCache>
                <c:ptCount val="1"/>
                <c:pt idx="0">
                  <c:v>Rank(green star)</c:v>
                </c:pt>
              </c:strCache>
            </c:strRef>
          </c:cat>
          <c:val>
            <c:numRef>
              <c:f>'結果（SDGs評価あり）'!$S$37</c:f>
              <c:numCache>
                <c:formatCode>#,##0.0;[Red]\-#,##0.0</c:formatCode>
                <c:ptCount val="1"/>
                <c:pt idx="0">
                  <c:v>0.6</c:v>
                </c:pt>
              </c:numCache>
            </c:numRef>
          </c:val>
          <c:extLst>
            <c:ext xmlns:c16="http://schemas.microsoft.com/office/drawing/2014/chart" uri="{C3380CC4-5D6E-409C-BE32-E72D297353CC}">
              <c16:uniqueId val="{00000003-6B5E-46C5-843C-FE3490B94332}"/>
            </c:ext>
          </c:extLst>
        </c:ser>
        <c:dLbls>
          <c:showLegendKey val="0"/>
          <c:showVal val="0"/>
          <c:showCatName val="0"/>
          <c:showSerName val="0"/>
          <c:showPercent val="0"/>
          <c:showBubbleSize val="0"/>
        </c:dLbls>
        <c:gapWidth val="50"/>
        <c:overlap val="100"/>
        <c:axId val="628913232"/>
        <c:axId val="628914408"/>
      </c:barChart>
      <c:catAx>
        <c:axId val="628913232"/>
        <c:scaling>
          <c:orientation val="minMax"/>
        </c:scaling>
        <c:delete val="1"/>
        <c:axPos val="l"/>
        <c:numFmt formatCode="General" sourceLinked="1"/>
        <c:majorTickMark val="out"/>
        <c:minorTickMark val="none"/>
        <c:tickLblPos val="nextTo"/>
        <c:crossAx val="628914408"/>
        <c:crosses val="autoZero"/>
        <c:auto val="1"/>
        <c:lblAlgn val="ctr"/>
        <c:lblOffset val="100"/>
        <c:noMultiLvlLbl val="0"/>
      </c:catAx>
      <c:valAx>
        <c:axId val="628914408"/>
        <c:scaling>
          <c:orientation val="minMax"/>
        </c:scaling>
        <c:delete val="1"/>
        <c:axPos val="b"/>
        <c:numFmt formatCode="0%" sourceLinked="1"/>
        <c:majorTickMark val="out"/>
        <c:minorTickMark val="none"/>
        <c:tickLblPos val="nextTo"/>
        <c:crossAx val="628913232"/>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'結果（SDGs評価あり）'!$S$30</c:f>
              <c:strCache>
                <c:ptCount val="1"/>
                <c:pt idx="0">
                  <c:v>S</c:v>
                </c:pt>
              </c:strCache>
            </c:strRef>
          </c:tx>
          <c:spPr>
            <a:pattFill prst="pct70">
              <a:fgClr>
                <a:srgbClr val="339966"/>
              </a:fgClr>
              <a:bgClr>
                <a:srgbClr val="FFFFFF"/>
              </a:bgClr>
            </a:pattFill>
            <a:ln w="12700">
              <a:solidFill>
                <a:srgbClr val="000000"/>
              </a:solidFill>
              <a:prstDash val="solid"/>
            </a:ln>
          </c:spPr>
          <c:cat>
            <c:numRef>
              <c:f>'結果（SDGs評価あり）'!$T$24:$U$24</c:f>
              <c:numCache>
                <c:formatCode>General</c:formatCode>
                <c:ptCount val="2"/>
                <c:pt idx="0" formatCode="#,##0_);[Red]\(#,##0\)">
                  <c:v>57.516666666666673</c:v>
                </c:pt>
                <c:pt idx="1">
                  <c:v>0</c:v>
                </c:pt>
              </c:numCache>
            </c:numRef>
          </c:cat>
          <c:val>
            <c:numRef>
              <c:f>'結果（SDGs評価あり）'!$T$30:$Z$30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F416-481D-ABE7-C132EAE86441}"/>
            </c:ext>
          </c:extLst>
        </c:ser>
        <c:ser>
          <c:idx val="3"/>
          <c:order val="4"/>
          <c:tx>
            <c:strRef>
              <c:f>'結果（SDGs評価あり）'!$S$31</c:f>
              <c:strCache>
                <c:ptCount val="1"/>
                <c:pt idx="0">
                  <c:v>A</c:v>
                </c:pt>
              </c:strCache>
            </c:strRef>
          </c:tx>
          <c:spPr>
            <a:pattFill prst="pct90">
              <a:fgClr>
                <a:srgbClr val="CCFFCC"/>
              </a:fgClr>
              <a:bgClr>
                <a:srgbClr val="FFFFFF"/>
              </a:bgClr>
            </a:pattFill>
            <a:ln w="12700">
              <a:solidFill>
                <a:srgbClr val="000000"/>
              </a:solidFill>
              <a:prstDash val="solid"/>
            </a:ln>
          </c:spPr>
          <c:cat>
            <c:numRef>
              <c:f>'結果（SDGs評価あり）'!$T$24:$U$24</c:f>
              <c:numCache>
                <c:formatCode>General</c:formatCode>
                <c:ptCount val="2"/>
                <c:pt idx="0" formatCode="#,##0_);[Red]\(#,##0\)">
                  <c:v>57.516666666666673</c:v>
                </c:pt>
                <c:pt idx="1">
                  <c:v>0</c:v>
                </c:pt>
              </c:numCache>
            </c:numRef>
          </c:cat>
          <c:val>
            <c:numRef>
              <c:f>'結果（SDGs評価あり）'!$T$31:$Z$31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F416-481D-ABE7-C132EAE86441}"/>
            </c:ext>
          </c:extLst>
        </c:ser>
        <c:ser>
          <c:idx val="2"/>
          <c:order val="5"/>
          <c:tx>
            <c:strRef>
              <c:f>'結果（SDGs評価あり）'!$S$32</c:f>
              <c:strCache>
                <c:ptCount val="1"/>
                <c:pt idx="0">
                  <c:v>B+</c:v>
                </c:pt>
              </c:strCache>
            </c:strRef>
          </c:tx>
          <c:spPr>
            <a:solidFill>
              <a:srgbClr val="FFFFCC"/>
            </a:solidFill>
            <a:ln w="12700">
              <a:solidFill>
                <a:srgbClr val="000000"/>
              </a:solidFill>
              <a:prstDash val="solid"/>
            </a:ln>
          </c:spPr>
          <c:cat>
            <c:numRef>
              <c:f>'結果（SDGs評価あり）'!$T$24:$U$24</c:f>
              <c:numCache>
                <c:formatCode>General</c:formatCode>
                <c:ptCount val="2"/>
                <c:pt idx="0" formatCode="#,##0_);[Red]\(#,##0\)">
                  <c:v>57.516666666666673</c:v>
                </c:pt>
                <c:pt idx="1">
                  <c:v>0</c:v>
                </c:pt>
              </c:numCache>
            </c:numRef>
          </c:cat>
          <c:val>
            <c:numRef>
              <c:f>'結果（SDGs評価あり）'!$T$32:$Z$32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F416-481D-ABE7-C132EAE86441}"/>
            </c:ext>
          </c:extLst>
        </c:ser>
        <c:ser>
          <c:idx val="1"/>
          <c:order val="6"/>
          <c:tx>
            <c:strRef>
              <c:f>'結果（SDGs評価あり）'!$S$34</c:f>
              <c:strCache>
                <c:ptCount val="1"/>
                <c:pt idx="0">
                  <c:v>B-</c:v>
                </c:pt>
              </c:strCache>
            </c:strRef>
          </c:tx>
          <c:spPr>
            <a:solidFill>
              <a:srgbClr val="FFFFFF"/>
            </a:solidFill>
            <a:ln w="12700">
              <a:solidFill>
                <a:srgbClr val="000000"/>
              </a:solidFill>
              <a:prstDash val="solid"/>
            </a:ln>
          </c:spPr>
          <c:cat>
            <c:numRef>
              <c:f>'結果（SDGs評価あり）'!$T$24:$U$24</c:f>
              <c:numCache>
                <c:formatCode>General</c:formatCode>
                <c:ptCount val="2"/>
                <c:pt idx="0" formatCode="#,##0_);[Red]\(#,##0\)">
                  <c:v>57.516666666666673</c:v>
                </c:pt>
                <c:pt idx="1">
                  <c:v>0</c:v>
                </c:pt>
              </c:numCache>
            </c:numRef>
          </c:cat>
          <c:val>
            <c:numRef>
              <c:f>'結果（SDGs評価あり）'!$T$34:$Z$34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F416-481D-ABE7-C132EAE86441}"/>
            </c:ext>
          </c:extLst>
        </c:ser>
        <c:ser>
          <c:idx val="0"/>
          <c:order val="7"/>
          <c:tx>
            <c:strRef>
              <c:f>'結果（SDGs評価あり）'!$S$33</c:f>
              <c:strCache>
                <c:ptCount val="1"/>
                <c:pt idx="0">
                  <c:v>B</c:v>
                </c:pt>
              </c:strCache>
            </c:strRef>
          </c:tx>
          <c:spPr>
            <a:noFill/>
            <a:ln w="12700">
              <a:solidFill>
                <a:srgbClr val="000000"/>
              </a:solidFill>
              <a:prstDash val="solid"/>
            </a:ln>
          </c:spPr>
          <c:cat>
            <c:numRef>
              <c:f>'結果（SDGs評価あり）'!$T$24:$U$24</c:f>
              <c:numCache>
                <c:formatCode>General</c:formatCode>
                <c:ptCount val="2"/>
                <c:pt idx="0" formatCode="#,##0_);[Red]\(#,##0\)">
                  <c:v>57.516666666666673</c:v>
                </c:pt>
                <c:pt idx="1">
                  <c:v>0</c:v>
                </c:pt>
              </c:numCache>
            </c:numRef>
          </c:cat>
          <c:val>
            <c:numRef>
              <c:f>'結果（SDGs評価あり）'!$T$33:$Z$33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F416-481D-ABE7-C132EAE86441}"/>
            </c:ext>
          </c:extLst>
        </c:ser>
        <c:dLbls>
          <c:showLegendKey val="0"/>
          <c:showVal val="0"/>
          <c:showCatName val="0"/>
          <c:showSerName val="0"/>
          <c:showPercent val="0"/>
          <c:showBubbleSize val="0"/>
        </c:dLbls>
        <c:axId val="628920288"/>
        <c:axId val="628920680"/>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F416-481D-ABE7-C132EAE86441}"/>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16-481D-ABE7-C132EAE86441}"/>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16-481D-ABE7-C132EAE864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'結果（SDGs評価あり）'!$R$26:$U$26</c:f>
              <c:numCache>
                <c:formatCode>General</c:formatCode>
                <c:ptCount val="4"/>
                <c:pt idx="0">
                  <c:v>0</c:v>
                </c:pt>
                <c:pt idx="1">
                  <c:v>57.516666666666673</c:v>
                </c:pt>
                <c:pt idx="2" formatCode="#,##0_);[Red]\(#,##0\)">
                  <c:v>57.516666666666673</c:v>
                </c:pt>
                <c:pt idx="3">
                  <c:v>0.1</c:v>
                </c:pt>
              </c:numCache>
            </c:numRef>
          </c:xVal>
          <c:yVal>
            <c:numRef>
              <c:f>'結果（SDGs評価あり）'!$R$27:$U$27</c:f>
              <c:numCache>
                <c:formatCode>General</c:formatCode>
                <c:ptCount val="4"/>
                <c:pt idx="0">
                  <c:v>0</c:v>
                </c:pt>
                <c:pt idx="1">
                  <c:v>0</c:v>
                </c:pt>
                <c:pt idx="2">
                  <c:v>39.655000000000008</c:v>
                </c:pt>
                <c:pt idx="3" formatCode="#,##0_);[Red]\(#,##0\)">
                  <c:v>39.655000000000008</c:v>
                </c:pt>
              </c:numCache>
            </c:numRef>
          </c:yVal>
          <c:smooth val="0"/>
          <c:extLst>
            <c:ext xmlns:c16="http://schemas.microsoft.com/office/drawing/2014/chart" uri="{C3380CC4-5D6E-409C-BE32-E72D297353CC}">
              <c16:uniqueId val="{00000009-F416-481D-ABE7-C132EAE86441}"/>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F416-481D-ABE7-C132EAE86441}"/>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F416-481D-ABE7-C132EAE86441}"/>
              </c:ext>
            </c:extLst>
          </c:dPt>
          <c:xVal>
            <c:numRef>
              <c:f>'結果（SDGs評価あり）'!$R$26:$U$26</c:f>
              <c:numCache>
                <c:formatCode>General</c:formatCode>
                <c:ptCount val="4"/>
                <c:pt idx="0">
                  <c:v>0</c:v>
                </c:pt>
                <c:pt idx="1">
                  <c:v>57.516666666666673</c:v>
                </c:pt>
                <c:pt idx="2" formatCode="#,##0_);[Red]\(#,##0\)">
                  <c:v>57.516666666666673</c:v>
                </c:pt>
                <c:pt idx="3">
                  <c:v>0.1</c:v>
                </c:pt>
              </c:numCache>
            </c:numRef>
          </c:xVal>
          <c:yVal>
            <c:numRef>
              <c:f>'結果（SDGs評価あり）'!$R$27:$U$27</c:f>
              <c:numCache>
                <c:formatCode>General</c:formatCode>
                <c:ptCount val="4"/>
                <c:pt idx="0">
                  <c:v>0</c:v>
                </c:pt>
                <c:pt idx="1">
                  <c:v>0</c:v>
                </c:pt>
                <c:pt idx="2">
                  <c:v>39.655000000000008</c:v>
                </c:pt>
                <c:pt idx="3" formatCode="#,##0_);[Red]\(#,##0\)">
                  <c:v>39.655000000000008</c:v>
                </c:pt>
              </c:numCache>
            </c:numRef>
          </c:yVal>
          <c:smooth val="0"/>
          <c:extLst>
            <c:ext xmlns:c16="http://schemas.microsoft.com/office/drawing/2014/chart" uri="{C3380CC4-5D6E-409C-BE32-E72D297353CC}">
              <c16:uniqueId val="{0000000C-F416-481D-ABE7-C132EAE86441}"/>
            </c:ext>
          </c:extLst>
        </c:ser>
        <c:ser>
          <c:idx val="5"/>
          <c:order val="2"/>
          <c:tx>
            <c:strRef>
              <c:f>'結果（SDGs評価あり）'!$S$12</c:f>
              <c:strCache>
                <c:ptCount val="1"/>
                <c:pt idx="0">
                  <c:v>0.6</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F416-481D-ABE7-C132EAE86441}"/>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F416-481D-ABE7-C132EAE86441}"/>
              </c:ext>
            </c:extLst>
          </c:dPt>
          <c:dPt>
            <c:idx val="2"/>
            <c:bubble3D val="0"/>
            <c:spPr>
              <a:ln w="38100">
                <a:solidFill>
                  <a:srgbClr val="008000"/>
                </a:solidFill>
                <a:prstDash val="solid"/>
              </a:ln>
            </c:spPr>
            <c:extLst>
              <c:ext xmlns:c16="http://schemas.microsoft.com/office/drawing/2014/chart" uri="{C3380CC4-5D6E-409C-BE32-E72D297353CC}">
                <c16:uniqueId val="{00000011-F416-481D-ABE7-C132EAE86441}"/>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F416-481D-ABE7-C132EAE864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'結果（SDGs評価あり）'!$S$24:$U$24</c:f>
              <c:numCache>
                <c:formatCode>#,##0_);[Red]\(#,##0\)</c:formatCode>
                <c:ptCount val="3"/>
                <c:pt idx="1">
                  <c:v>57.516666666666673</c:v>
                </c:pt>
                <c:pt idx="2" formatCode="General">
                  <c:v>0</c:v>
                </c:pt>
              </c:numCache>
            </c:numRef>
          </c:xVal>
          <c:yVal>
            <c:numRef>
              <c:f>'結果（SDGs評価あり）'!$S$25:$U$25</c:f>
              <c:numCache>
                <c:formatCode>#,##0_);[Red]\(#,##0\)</c:formatCode>
                <c:ptCount val="3"/>
                <c:pt idx="1">
                  <c:v>39.655000000000008</c:v>
                </c:pt>
                <c:pt idx="2" formatCode="General">
                  <c:v>0</c:v>
                </c:pt>
              </c:numCache>
            </c:numRef>
          </c:yVal>
          <c:smooth val="0"/>
          <c:extLst>
            <c:ext xmlns:c16="http://schemas.microsoft.com/office/drawing/2014/chart" uri="{C3380CC4-5D6E-409C-BE32-E72D297353CC}">
              <c16:uniqueId val="{00000012-F416-481D-ABE7-C132EAE86441}"/>
            </c:ext>
          </c:extLst>
        </c:ser>
        <c:dLbls>
          <c:showLegendKey val="0"/>
          <c:showVal val="0"/>
          <c:showCatName val="0"/>
          <c:showSerName val="0"/>
          <c:showPercent val="0"/>
          <c:showBubbleSize val="0"/>
        </c:dLbls>
        <c:axId val="626338416"/>
        <c:axId val="626337632"/>
      </c:scatterChart>
      <c:catAx>
        <c:axId val="628920288"/>
        <c:scaling>
          <c:orientation val="minMax"/>
        </c:scaling>
        <c:delete val="0"/>
        <c:axPos val="b"/>
        <c:numFmt formatCode="#,##0_);[Red]\(#,##0\)" sourceLinked="1"/>
        <c:majorTickMark val="none"/>
        <c:minorTickMark val="none"/>
        <c:tickLblPos val="none"/>
        <c:spPr>
          <a:ln w="3175">
            <a:solidFill>
              <a:srgbClr val="000000"/>
            </a:solidFill>
            <a:prstDash val="solid"/>
          </a:ln>
        </c:spPr>
        <c:crossAx val="628920680"/>
        <c:crosses val="autoZero"/>
        <c:auto val="0"/>
        <c:lblAlgn val="ctr"/>
        <c:lblOffset val="100"/>
        <c:tickLblSkip val="50"/>
        <c:tickMarkSkip val="50"/>
        <c:noMultiLvlLbl val="0"/>
      </c:catAx>
      <c:valAx>
        <c:axId val="628920680"/>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28920288"/>
        <c:crosses val="autoZero"/>
        <c:crossBetween val="midCat"/>
        <c:majorUnit val="50"/>
      </c:valAx>
      <c:valAx>
        <c:axId val="626338416"/>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26337632"/>
        <c:crosses val="max"/>
        <c:crossBetween val="midCat"/>
        <c:majorUnit val="50"/>
      </c:valAx>
      <c:valAx>
        <c:axId val="626337632"/>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626338416"/>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'結果（SDGs評価あり）'!$S$39</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extLst>
              <c:ext xmlns:c16="http://schemas.microsoft.com/office/drawing/2014/chart" uri="{C3380CC4-5D6E-409C-BE32-E72D297353CC}">
                <c16:uniqueId val="{00000001-5DBA-4C74-85E2-5D23E0D3FE32}"/>
              </c:ext>
            </c:extLst>
          </c:dPt>
          <c:val>
            <c:numRef>
              <c:f>'結果（SDGs評価あり）'!$S$40:$S$43</c:f>
              <c:numCache>
                <c:formatCode>#,##0_);[Red]\(#,##0\)</c:formatCode>
                <c:ptCount val="4"/>
                <c:pt idx="0">
                  <c:v>19.584666666666667</c:v>
                </c:pt>
                <c:pt idx="1">
                  <c:v>19.584666666666667</c:v>
                </c:pt>
              </c:numCache>
            </c:numRef>
          </c:val>
          <c:extLst>
            <c:ext xmlns:c16="http://schemas.microsoft.com/office/drawing/2014/chart" uri="{C3380CC4-5D6E-409C-BE32-E72D297353CC}">
              <c16:uniqueId val="{00000002-5DBA-4C74-85E2-5D23E0D3FE32}"/>
            </c:ext>
          </c:extLst>
        </c:ser>
        <c:ser>
          <c:idx val="1"/>
          <c:order val="1"/>
          <c:tx>
            <c:strRef>
              <c:f>'結果（SDGs評価あり）'!$T$39</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extLst>
              <c:ext xmlns:c16="http://schemas.microsoft.com/office/drawing/2014/chart" uri="{C3380CC4-5D6E-409C-BE32-E72D297353CC}">
                <c16:uniqueId val="{00000004-5DBA-4C74-85E2-5D23E0D3FE32}"/>
              </c:ext>
            </c:extLst>
          </c:dPt>
          <c:val>
            <c:numRef>
              <c:f>'結果（SDGs評価あり）'!$T$40:$T$43</c:f>
              <c:numCache>
                <c:formatCode>#,##0_);[Red]\(#,##0\)</c:formatCode>
                <c:ptCount val="4"/>
                <c:pt idx="0">
                  <c:v>10.979333333333333</c:v>
                </c:pt>
                <c:pt idx="1">
                  <c:v>10.979333333333333</c:v>
                </c:pt>
              </c:numCache>
            </c:numRef>
          </c:val>
          <c:extLst>
            <c:ext xmlns:c16="http://schemas.microsoft.com/office/drawing/2014/chart" uri="{C3380CC4-5D6E-409C-BE32-E72D297353CC}">
              <c16:uniqueId val="{00000005-5DBA-4C74-85E2-5D23E0D3FE32}"/>
            </c:ext>
          </c:extLst>
        </c:ser>
        <c:ser>
          <c:idx val="2"/>
          <c:order val="2"/>
          <c:tx>
            <c:strRef>
              <c:f>'結果（SDGs評価あり）'!$U$39</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extLst>
              <c:ext xmlns:c16="http://schemas.microsoft.com/office/drawing/2014/chart" uri="{C3380CC4-5D6E-409C-BE32-E72D297353CC}">
                <c16:uniqueId val="{00000007-5DBA-4C74-85E2-5D23E0D3FE32}"/>
              </c:ext>
            </c:extLst>
          </c:dPt>
          <c:val>
            <c:numRef>
              <c:f>'結果（SDGs評価あり）'!$U$40:$U$43</c:f>
              <c:numCache>
                <c:formatCode>#,##0_);[Red]\(#,##0\)</c:formatCode>
                <c:ptCount val="4"/>
                <c:pt idx="0">
                  <c:v>41.050272198907102</c:v>
                </c:pt>
                <c:pt idx="1">
                  <c:v>39.991498159562845</c:v>
                </c:pt>
              </c:numCache>
            </c:numRef>
          </c:val>
          <c:extLst>
            <c:ext xmlns:c16="http://schemas.microsoft.com/office/drawing/2014/chart" uri="{C3380CC4-5D6E-409C-BE32-E72D297353CC}">
              <c16:uniqueId val="{00000008-5DBA-4C74-85E2-5D23E0D3FE32}"/>
            </c:ext>
          </c:extLst>
        </c:ser>
        <c:ser>
          <c:idx val="3"/>
          <c:order val="3"/>
          <c:tx>
            <c:strRef>
              <c:f>'結果（SDGs評価あり）'!$V$39</c:f>
              <c:strCache>
                <c:ptCount val="1"/>
                <c:pt idx="0">
                  <c:v>オンサイト</c:v>
                </c:pt>
              </c:strCache>
            </c:strRef>
          </c:tx>
          <c:spPr>
            <a:solidFill>
              <a:srgbClr val="C0C0C0"/>
            </a:solidFill>
            <a:ln w="12700">
              <a:solidFill>
                <a:srgbClr val="000000"/>
              </a:solidFill>
              <a:prstDash val="solid"/>
            </a:ln>
          </c:spPr>
          <c:invertIfNegative val="0"/>
          <c:val>
            <c:numRef>
              <c:f>'結果（SDGs評価あり）'!$V$40:$V$43</c:f>
              <c:numCache>
                <c:formatCode>General</c:formatCode>
                <c:ptCount val="4"/>
                <c:pt idx="2" formatCode="#,##0_);[Red]\(#,##0\)">
                  <c:v>70.555498159562845</c:v>
                </c:pt>
              </c:numCache>
            </c:numRef>
          </c:val>
          <c:extLst>
            <c:ext xmlns:c16="http://schemas.microsoft.com/office/drawing/2014/chart" uri="{C3380CC4-5D6E-409C-BE32-E72D297353CC}">
              <c16:uniqueId val="{00000009-5DBA-4C74-85E2-5D23E0D3FE32}"/>
            </c:ext>
          </c:extLst>
        </c:ser>
        <c:ser>
          <c:idx val="4"/>
          <c:order val="4"/>
          <c:tx>
            <c:strRef>
              <c:f>'結果（SDGs評価あり）'!$W$39</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'結果（SDGs評価あり）'!$W$40:$W$43</c:f>
              <c:numCache>
                <c:formatCode>General</c:formatCode>
                <c:ptCount val="4"/>
                <c:pt idx="3" formatCode="#,##0_);[Red]\(#,##0\)">
                  <c:v>70.555498159562845</c:v>
                </c:pt>
              </c:numCache>
            </c:numRef>
          </c:val>
          <c:extLst>
            <c:ext xmlns:c16="http://schemas.microsoft.com/office/drawing/2014/chart" uri="{C3380CC4-5D6E-409C-BE32-E72D297353CC}">
              <c16:uniqueId val="{0000000A-5DBA-4C74-85E2-5D23E0D3FE32}"/>
            </c:ext>
          </c:extLst>
        </c:ser>
        <c:dLbls>
          <c:showLegendKey val="0"/>
          <c:showVal val="0"/>
          <c:showCatName val="0"/>
          <c:showSerName val="0"/>
          <c:showPercent val="0"/>
          <c:showBubbleSize val="0"/>
        </c:dLbls>
        <c:gapWidth val="50"/>
        <c:overlap val="100"/>
        <c:axId val="626338808"/>
        <c:axId val="626336848"/>
      </c:barChart>
      <c:catAx>
        <c:axId val="626338808"/>
        <c:scaling>
          <c:orientation val="maxMin"/>
        </c:scaling>
        <c:delete val="1"/>
        <c:axPos val="l"/>
        <c:majorTickMark val="out"/>
        <c:minorTickMark val="none"/>
        <c:tickLblPos val="nextTo"/>
        <c:crossAx val="626336848"/>
        <c:crosses val="autoZero"/>
        <c:auto val="1"/>
        <c:lblAlgn val="ctr"/>
        <c:lblOffset val="100"/>
        <c:noMultiLvlLbl val="0"/>
      </c:catAx>
      <c:valAx>
        <c:axId val="626336848"/>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26338808"/>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F968-408D-BD6F-D62D759C94A9}"/>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F968-408D-BD6F-D62D759C94A9}"/>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F968-408D-BD6F-D62D759C94A9}"/>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F968-408D-BD6F-D62D759C94A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'結果（SDGs評価あり）'!$R$49:$R$52</c:f>
              <c:strCache>
                <c:ptCount val="4"/>
                <c:pt idx="0">
                  <c:v>音環境</c:v>
                </c:pt>
                <c:pt idx="1">
                  <c:v>温熱環境</c:v>
                </c:pt>
                <c:pt idx="2">
                  <c:v>光・視環境</c:v>
                </c:pt>
                <c:pt idx="3">
                  <c:v>空気質環境</c:v>
                </c:pt>
              </c:strCache>
            </c:strRef>
          </c:cat>
          <c:val>
            <c:numRef>
              <c:f>'結果（SDGs評価あり）'!$S$49:$S$52</c:f>
              <c:numCache>
                <c:formatCode>0.0;_Ā</c:formatCode>
                <c:ptCount val="4"/>
                <c:pt idx="0">
                  <c:v>3</c:v>
                </c:pt>
                <c:pt idx="1">
                  <c:v>3</c:v>
                </c:pt>
                <c:pt idx="2">
                  <c:v>2.8</c:v>
                </c:pt>
                <c:pt idx="3">
                  <c:v>3</c:v>
                </c:pt>
              </c:numCache>
            </c:numRef>
          </c:val>
          <c:extLst>
            <c:ext xmlns:c16="http://schemas.microsoft.com/office/drawing/2014/chart" uri="{C3380CC4-5D6E-409C-BE32-E72D297353CC}">
              <c16:uniqueId val="{00000004-2F4E-42FF-8951-C5C9A27D8354}"/>
            </c:ext>
          </c:extLst>
        </c:ser>
        <c:dLbls>
          <c:showLegendKey val="0"/>
          <c:showVal val="1"/>
          <c:showCatName val="0"/>
          <c:showSerName val="0"/>
          <c:showPercent val="0"/>
          <c:showBubbleSize val="0"/>
        </c:dLbls>
        <c:gapWidth val="40"/>
        <c:axId val="626336064"/>
        <c:axId val="626336456"/>
      </c:barChart>
      <c:catAx>
        <c:axId val="626336064"/>
        <c:scaling>
          <c:orientation val="minMax"/>
        </c:scaling>
        <c:delete val="0"/>
        <c:axPos val="b"/>
        <c:numFmt formatCode="General" sourceLinked="1"/>
        <c:majorTickMark val="none"/>
        <c:minorTickMark val="none"/>
        <c:tickLblPos val="none"/>
        <c:spPr>
          <a:ln w="3175">
            <a:solidFill>
              <a:srgbClr val="000000"/>
            </a:solidFill>
            <a:prstDash val="solid"/>
          </a:ln>
        </c:spPr>
        <c:crossAx val="626336456"/>
        <c:crossesAt val="0"/>
        <c:auto val="1"/>
        <c:lblAlgn val="ctr"/>
        <c:lblOffset val="100"/>
        <c:tickMarkSkip val="1"/>
        <c:noMultiLvlLbl val="0"/>
      </c:catAx>
      <c:valAx>
        <c:axId val="62633645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2633606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45C-4B80-A051-C43EC71BFEB3}"/>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45C-4B80-A051-C43EC71BFEB3}"/>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45C-4B80-A051-C43EC71BFEB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'結果（SDGs評価あり）'!$U$49:$U$51</c:f>
              <c:strCache>
                <c:ptCount val="3"/>
                <c:pt idx="0">
                  <c:v>機能性</c:v>
                </c:pt>
                <c:pt idx="1">
                  <c:v>耐用性・信頼性</c:v>
                </c:pt>
                <c:pt idx="2">
                  <c:v>対応性･更新性</c:v>
                </c:pt>
              </c:strCache>
            </c:strRef>
          </c:cat>
          <c:val>
            <c:numRef>
              <c:f>'結果（SDGs評価あり）'!$V$49:$V$51</c:f>
              <c:numCache>
                <c:formatCode>0.0_ </c:formatCode>
                <c:ptCount val="3"/>
                <c:pt idx="0">
                  <c:v>2.9</c:v>
                </c:pt>
                <c:pt idx="1">
                  <c:v>2.8</c:v>
                </c:pt>
                <c:pt idx="2">
                  <c:v>2.6</c:v>
                </c:pt>
              </c:numCache>
            </c:numRef>
          </c:val>
          <c:extLst>
            <c:ext xmlns:c16="http://schemas.microsoft.com/office/drawing/2014/chart" uri="{C3380CC4-5D6E-409C-BE32-E72D297353CC}">
              <c16:uniqueId val="{00000003-2925-479E-81FA-49F5E5E34060}"/>
            </c:ext>
          </c:extLst>
        </c:ser>
        <c:dLbls>
          <c:showLegendKey val="0"/>
          <c:showVal val="1"/>
          <c:showCatName val="0"/>
          <c:showSerName val="0"/>
          <c:showPercent val="0"/>
          <c:showBubbleSize val="0"/>
        </c:dLbls>
        <c:gapWidth val="70"/>
        <c:axId val="629462432"/>
        <c:axId val="629466352"/>
      </c:barChart>
      <c:catAx>
        <c:axId val="629462432"/>
        <c:scaling>
          <c:orientation val="minMax"/>
        </c:scaling>
        <c:delete val="0"/>
        <c:axPos val="b"/>
        <c:numFmt formatCode="General" sourceLinked="1"/>
        <c:majorTickMark val="none"/>
        <c:minorTickMark val="none"/>
        <c:tickLblPos val="none"/>
        <c:spPr>
          <a:ln w="3175">
            <a:solidFill>
              <a:srgbClr val="000000"/>
            </a:solidFill>
            <a:prstDash val="solid"/>
          </a:ln>
        </c:spPr>
        <c:crossAx val="629466352"/>
        <c:crossesAt val="0"/>
        <c:auto val="1"/>
        <c:lblAlgn val="ctr"/>
        <c:lblOffset val="100"/>
        <c:tickMarkSkip val="1"/>
        <c:noMultiLvlLbl val="0"/>
      </c:catAx>
      <c:valAx>
        <c:axId val="62946635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2946243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B5C-41D3-9478-0D4FBD041CC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B5C-41D3-9478-0D4FBD041CC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B5C-41D3-9478-0D4FBD041CC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'結果（SDGs評価あり）'!$X$49:$X$51</c:f>
              <c:strCache>
                <c:ptCount val="3"/>
                <c:pt idx="0">
                  <c:v>生物資源</c:v>
                </c:pt>
                <c:pt idx="1">
                  <c:v>まちなみ景観</c:v>
                </c:pt>
                <c:pt idx="2">
                  <c:v>地域性・文化</c:v>
                </c:pt>
              </c:strCache>
            </c:strRef>
          </c:cat>
          <c:val>
            <c:numRef>
              <c:f>'結果（SDGs評価あり）'!$Y$49:$Y$51</c:f>
              <c:numCache>
                <c:formatCode>0.0_ </c:formatCode>
                <c:ptCount val="3"/>
                <c:pt idx="0">
                  <c:v>1</c:v>
                </c:pt>
                <c:pt idx="1">
                  <c:v>2</c:v>
                </c:pt>
                <c:pt idx="2">
                  <c:v>2.5</c:v>
                </c:pt>
              </c:numCache>
            </c:numRef>
          </c:val>
          <c:extLst>
            <c:ext xmlns:c16="http://schemas.microsoft.com/office/drawing/2014/chart" uri="{C3380CC4-5D6E-409C-BE32-E72D297353CC}">
              <c16:uniqueId val="{00000003-CD42-4B9F-A974-E9B2AAA2DE14}"/>
            </c:ext>
          </c:extLst>
        </c:ser>
        <c:dLbls>
          <c:showLegendKey val="0"/>
          <c:showVal val="1"/>
          <c:showCatName val="0"/>
          <c:showSerName val="0"/>
          <c:showPercent val="0"/>
          <c:showBubbleSize val="0"/>
        </c:dLbls>
        <c:gapWidth val="70"/>
        <c:axId val="629467528"/>
        <c:axId val="646586904"/>
      </c:barChart>
      <c:catAx>
        <c:axId val="629467528"/>
        <c:scaling>
          <c:orientation val="minMax"/>
        </c:scaling>
        <c:delete val="0"/>
        <c:axPos val="b"/>
        <c:numFmt formatCode="General" sourceLinked="1"/>
        <c:majorTickMark val="none"/>
        <c:minorTickMark val="none"/>
        <c:tickLblPos val="none"/>
        <c:spPr>
          <a:ln w="3175">
            <a:solidFill>
              <a:srgbClr val="000000"/>
            </a:solidFill>
            <a:prstDash val="solid"/>
          </a:ln>
        </c:spPr>
        <c:crossAx val="646586904"/>
        <c:crossesAt val="0"/>
        <c:auto val="1"/>
        <c:lblAlgn val="ctr"/>
        <c:lblOffset val="100"/>
        <c:tickMarkSkip val="1"/>
        <c:noMultiLvlLbl val="0"/>
      </c:catAx>
      <c:valAx>
        <c:axId val="64658690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2946752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E9DC-4B30-973D-970B7BB7A413}"/>
              </c:ext>
            </c:extLst>
          </c:dPt>
          <c:cat>
            <c:strRef>
              <c:f>'結果（SDGs評価なし）'!$R$36</c:f>
              <c:strCache>
                <c:ptCount val="1"/>
                <c:pt idx="0">
                  <c:v>Rank(green star)</c:v>
                </c:pt>
              </c:strCache>
            </c:strRef>
          </c:cat>
          <c:val>
            <c:numRef>
              <c:f>'結果（SDGs評価なし）'!$S$36</c:f>
              <c:numCache>
                <c:formatCode>#,##0.0;[Red]\-#,##0.0</c:formatCode>
                <c:ptCount val="1"/>
                <c:pt idx="0">
                  <c:v>0.4</c:v>
                </c:pt>
              </c:numCache>
            </c:numRef>
          </c:val>
          <c:extLst>
            <c:ext xmlns:c16="http://schemas.microsoft.com/office/drawing/2014/chart" uri="{C3380CC4-5D6E-409C-BE32-E72D297353CC}">
              <c16:uniqueId val="{00000002-E9DC-4B30-973D-970B7BB7A413}"/>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'結果（SDGs評価なし）'!$R$36</c:f>
              <c:strCache>
                <c:ptCount val="1"/>
                <c:pt idx="0">
                  <c:v>Rank(green star)</c:v>
                </c:pt>
              </c:strCache>
            </c:strRef>
          </c:cat>
          <c:val>
            <c:numRef>
              <c:f>'結果（SDGs評価なし）'!$S$37</c:f>
              <c:numCache>
                <c:formatCode>#,##0.0;[Red]\-#,##0.0</c:formatCode>
                <c:ptCount val="1"/>
                <c:pt idx="0">
                  <c:v>0.6</c:v>
                </c:pt>
              </c:numCache>
            </c:numRef>
          </c:val>
          <c:extLst>
            <c:ext xmlns:c16="http://schemas.microsoft.com/office/drawing/2014/chart" uri="{C3380CC4-5D6E-409C-BE32-E72D297353CC}">
              <c16:uniqueId val="{00000003-E9DC-4B30-973D-970B7BB7A413}"/>
            </c:ext>
          </c:extLst>
        </c:ser>
        <c:dLbls>
          <c:showLegendKey val="0"/>
          <c:showVal val="0"/>
          <c:showCatName val="0"/>
          <c:showSerName val="0"/>
          <c:showPercent val="0"/>
          <c:showBubbleSize val="0"/>
        </c:dLbls>
        <c:gapWidth val="50"/>
        <c:overlap val="100"/>
        <c:axId val="659602864"/>
        <c:axId val="659598552"/>
      </c:barChart>
      <c:catAx>
        <c:axId val="659602864"/>
        <c:scaling>
          <c:orientation val="minMax"/>
        </c:scaling>
        <c:delete val="1"/>
        <c:axPos val="l"/>
        <c:numFmt formatCode="General" sourceLinked="1"/>
        <c:majorTickMark val="out"/>
        <c:minorTickMark val="none"/>
        <c:tickLblPos val="nextTo"/>
        <c:crossAx val="659598552"/>
        <c:crosses val="autoZero"/>
        <c:auto val="1"/>
        <c:lblAlgn val="ctr"/>
        <c:lblOffset val="100"/>
        <c:noMultiLvlLbl val="0"/>
      </c:catAx>
      <c:valAx>
        <c:axId val="659598552"/>
        <c:scaling>
          <c:orientation val="minMax"/>
        </c:scaling>
        <c:delete val="1"/>
        <c:axPos val="b"/>
        <c:numFmt formatCode="0%" sourceLinked="1"/>
        <c:majorTickMark val="out"/>
        <c:minorTickMark val="none"/>
        <c:tickLblPos val="nextTo"/>
        <c:crossAx val="65960286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087-462D-8169-4ECA9F27717A}"/>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087-462D-8169-4ECA9F27717A}"/>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087-462D-8169-4ECA9F27717A}"/>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A087-462D-8169-4ECA9F27717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'結果（SDGs評価あり）'!$R$60:$R$63</c:f>
              <c:strCache>
                <c:ptCount val="4"/>
                <c:pt idx="0">
                  <c:v>熱負荷抑制</c:v>
                </c:pt>
                <c:pt idx="1">
                  <c:v>自然ｴﾈﾙｷﾞｰ</c:v>
                </c:pt>
                <c:pt idx="2">
                  <c:v>設備の効率的利用</c:v>
                </c:pt>
                <c:pt idx="3">
                  <c:v>運用ﾏﾈｼﾞﾒﾝﾄ</c:v>
                </c:pt>
              </c:strCache>
            </c:strRef>
          </c:cat>
          <c:val>
            <c:numRef>
              <c:f>'結果（SDGs評価あり）'!$S$60:$S$63</c:f>
              <c:numCache>
                <c:formatCode>#,##0.0;[Red]\-#,##0.0</c:formatCode>
                <c:ptCount val="4"/>
                <c:pt idx="0">
                  <c:v>3.6</c:v>
                </c:pt>
                <c:pt idx="1">
                  <c:v>2.2999999999999998</c:v>
                </c:pt>
                <c:pt idx="2">
                  <c:v>1.3</c:v>
                </c:pt>
                <c:pt idx="3">
                  <c:v>3</c:v>
                </c:pt>
              </c:numCache>
            </c:numRef>
          </c:val>
          <c:extLst>
            <c:ext xmlns:c16="http://schemas.microsoft.com/office/drawing/2014/chart" uri="{C3380CC4-5D6E-409C-BE32-E72D297353CC}">
              <c16:uniqueId val="{00000004-4127-4ABB-BED8-F82DAE58AA45}"/>
            </c:ext>
          </c:extLst>
        </c:ser>
        <c:dLbls>
          <c:showLegendKey val="0"/>
          <c:showVal val="1"/>
          <c:showCatName val="0"/>
          <c:showSerName val="0"/>
          <c:showPercent val="0"/>
          <c:showBubbleSize val="0"/>
        </c:dLbls>
        <c:gapWidth val="40"/>
        <c:axId val="646589256"/>
        <c:axId val="646579848"/>
      </c:barChart>
      <c:catAx>
        <c:axId val="646589256"/>
        <c:scaling>
          <c:orientation val="minMax"/>
        </c:scaling>
        <c:delete val="0"/>
        <c:axPos val="b"/>
        <c:numFmt formatCode="General" sourceLinked="1"/>
        <c:majorTickMark val="none"/>
        <c:minorTickMark val="none"/>
        <c:tickLblPos val="none"/>
        <c:spPr>
          <a:ln w="3175">
            <a:solidFill>
              <a:srgbClr val="000000"/>
            </a:solidFill>
            <a:prstDash val="solid"/>
          </a:ln>
        </c:spPr>
        <c:crossAx val="646579848"/>
        <c:crossesAt val="0"/>
        <c:auto val="1"/>
        <c:lblAlgn val="ctr"/>
        <c:lblOffset val="100"/>
        <c:tickMarkSkip val="1"/>
        <c:noMultiLvlLbl val="0"/>
      </c:catAx>
      <c:valAx>
        <c:axId val="64657984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465892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5F1-42C1-8999-E78BF0D8D0B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5F1-42C1-8999-E78BF0D8D0B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5F1-42C1-8999-E78BF0D8D0B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'結果（SDGs評価あり）'!$U$60:$U$62</c:f>
              <c:strCache>
                <c:ptCount val="3"/>
                <c:pt idx="0">
                  <c:v>水資源</c:v>
                </c:pt>
                <c:pt idx="1">
                  <c:v>非再生性材料の削減</c:v>
                </c:pt>
                <c:pt idx="2">
                  <c:v>汚染物質回避</c:v>
                </c:pt>
              </c:strCache>
            </c:strRef>
          </c:cat>
          <c:val>
            <c:numRef>
              <c:f>'結果（SDGs評価あり）'!$V$60:$V$62</c:f>
              <c:numCache>
                <c:formatCode>0.0_ </c:formatCode>
                <c:ptCount val="3"/>
                <c:pt idx="0">
                  <c:v>3</c:v>
                </c:pt>
                <c:pt idx="1">
                  <c:v>3.1</c:v>
                </c:pt>
                <c:pt idx="2">
                  <c:v>3</c:v>
                </c:pt>
              </c:numCache>
            </c:numRef>
          </c:val>
          <c:extLst>
            <c:ext xmlns:c16="http://schemas.microsoft.com/office/drawing/2014/chart" uri="{C3380CC4-5D6E-409C-BE32-E72D297353CC}">
              <c16:uniqueId val="{00000003-8112-4A60-AC4D-C7E446ED05A3}"/>
            </c:ext>
          </c:extLst>
        </c:ser>
        <c:dLbls>
          <c:showLegendKey val="0"/>
          <c:showVal val="1"/>
          <c:showCatName val="0"/>
          <c:showSerName val="0"/>
          <c:showPercent val="0"/>
          <c:showBubbleSize val="0"/>
        </c:dLbls>
        <c:gapWidth val="70"/>
        <c:axId val="161733128"/>
        <c:axId val="472396720"/>
      </c:barChart>
      <c:catAx>
        <c:axId val="161733128"/>
        <c:scaling>
          <c:orientation val="minMax"/>
        </c:scaling>
        <c:delete val="0"/>
        <c:axPos val="b"/>
        <c:numFmt formatCode="General" sourceLinked="1"/>
        <c:majorTickMark val="none"/>
        <c:minorTickMark val="none"/>
        <c:tickLblPos val="none"/>
        <c:spPr>
          <a:ln w="3175">
            <a:solidFill>
              <a:srgbClr val="000000"/>
            </a:solidFill>
            <a:prstDash val="solid"/>
          </a:ln>
        </c:spPr>
        <c:crossAx val="472396720"/>
        <c:crossesAt val="0"/>
        <c:auto val="1"/>
        <c:lblAlgn val="ctr"/>
        <c:lblOffset val="100"/>
        <c:tickMarkSkip val="1"/>
        <c:noMultiLvlLbl val="0"/>
      </c:catAx>
      <c:valAx>
        <c:axId val="47239672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173312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5E1-497D-A497-BF9EE2CF9D26}"/>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5E1-497D-A497-BF9EE2CF9D26}"/>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5E1-497D-A497-BF9EE2CF9D2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'結果（SDGs評価あり）'!$X$60:$X$62</c:f>
              <c:strCache>
                <c:ptCount val="3"/>
                <c:pt idx="0">
                  <c:v>地球温暖化への配慮</c:v>
                </c:pt>
                <c:pt idx="1">
                  <c:v>地域環境への配慮</c:v>
                </c:pt>
                <c:pt idx="2">
                  <c:v>周辺環境への配慮</c:v>
                </c:pt>
              </c:strCache>
            </c:strRef>
          </c:cat>
          <c:val>
            <c:numRef>
              <c:f>'結果（SDGs評価あり）'!$Y$60:$Y$62</c:f>
              <c:numCache>
                <c:formatCode>0.0_ </c:formatCode>
                <c:ptCount val="3"/>
                <c:pt idx="0">
                  <c:v>3</c:v>
                </c:pt>
                <c:pt idx="1">
                  <c:v>3</c:v>
                </c:pt>
                <c:pt idx="2">
                  <c:v>3</c:v>
                </c:pt>
              </c:numCache>
            </c:numRef>
          </c:val>
          <c:extLst>
            <c:ext xmlns:c16="http://schemas.microsoft.com/office/drawing/2014/chart" uri="{C3380CC4-5D6E-409C-BE32-E72D297353CC}">
              <c16:uniqueId val="{00000003-3FA9-4AD1-94BF-A5C129DCD8A1}"/>
            </c:ext>
          </c:extLst>
        </c:ser>
        <c:dLbls>
          <c:showLegendKey val="0"/>
          <c:showVal val="1"/>
          <c:showCatName val="0"/>
          <c:showSerName val="0"/>
          <c:showPercent val="0"/>
          <c:showBubbleSize val="0"/>
        </c:dLbls>
        <c:gapWidth val="70"/>
        <c:axId val="614754744"/>
        <c:axId val="473959296"/>
      </c:barChart>
      <c:catAx>
        <c:axId val="614754744"/>
        <c:scaling>
          <c:orientation val="minMax"/>
        </c:scaling>
        <c:delete val="0"/>
        <c:axPos val="b"/>
        <c:numFmt formatCode="General" sourceLinked="1"/>
        <c:majorTickMark val="none"/>
        <c:minorTickMark val="none"/>
        <c:tickLblPos val="none"/>
        <c:spPr>
          <a:ln w="3175">
            <a:solidFill>
              <a:srgbClr val="000000"/>
            </a:solidFill>
            <a:prstDash val="solid"/>
          </a:ln>
        </c:spPr>
        <c:crossAx val="473959296"/>
        <c:crossesAt val="0"/>
        <c:auto val="1"/>
        <c:lblAlgn val="ctr"/>
        <c:lblOffset val="100"/>
        <c:tickMarkSkip val="1"/>
        <c:noMultiLvlLbl val="0"/>
      </c:catAx>
      <c:valAx>
        <c:axId val="47395929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47547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extLst>
              <c:ext xmlns:c16="http://schemas.microsoft.com/office/drawing/2014/chart" uri="{C3380CC4-5D6E-409C-BE32-E72D297353CC}">
                <c16:uniqueId val="{00000000-FE21-4413-802C-83733D3B24D0}"/>
              </c:ext>
            </c:extLst>
          </c:dPt>
          <c:cat>
            <c:strRef>
              <c:f>'結果（SDGs評価あり）'!$AH$44:$AJ$44</c:f>
              <c:strCache>
                <c:ptCount val="1"/>
                <c:pt idx="0">
                  <c:v>SDGsRank(Ring)</c:v>
                </c:pt>
              </c:strCache>
            </c:strRef>
          </c:cat>
          <c:val>
            <c:numRef>
              <c:f>'結果（SDGs評価あり）'!$AK$44</c:f>
              <c:numCache>
                <c:formatCode>0.00_ </c:formatCode>
                <c:ptCount val="1"/>
                <c:pt idx="0">
                  <c:v>0</c:v>
                </c:pt>
              </c:numCache>
            </c:numRef>
          </c:val>
          <c:extLst>
            <c:ext xmlns:c16="http://schemas.microsoft.com/office/drawing/2014/chart" uri="{C3380CC4-5D6E-409C-BE32-E72D297353CC}">
              <c16:uniqueId val="{00000001-FE21-4413-802C-83733D3B24D0}"/>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'結果（SDGs評価あり）'!$AH$44:$AJ$44</c:f>
              <c:strCache>
                <c:ptCount val="1"/>
                <c:pt idx="0">
                  <c:v>SDGsRank(Ring)</c:v>
                </c:pt>
              </c:strCache>
            </c:strRef>
          </c:cat>
          <c:val>
            <c:numRef>
              <c:f>'結果（SDGs評価あり）'!$AK$45</c:f>
              <c:numCache>
                <c:formatCode>0.00_ </c:formatCode>
                <c:ptCount val="1"/>
                <c:pt idx="0">
                  <c:v>1</c:v>
                </c:pt>
              </c:numCache>
            </c:numRef>
          </c:val>
          <c:extLst>
            <c:ext xmlns:c16="http://schemas.microsoft.com/office/drawing/2014/chart" uri="{C3380CC4-5D6E-409C-BE32-E72D297353CC}">
              <c16:uniqueId val="{00000002-FE21-4413-802C-83733D3B24D0}"/>
            </c:ext>
          </c:extLst>
        </c:ser>
        <c:dLbls>
          <c:showLegendKey val="0"/>
          <c:showVal val="0"/>
          <c:showCatName val="0"/>
          <c:showSerName val="0"/>
          <c:showPercent val="0"/>
          <c:showBubbleSize val="0"/>
        </c:dLbls>
        <c:gapWidth val="43"/>
        <c:overlap val="100"/>
        <c:axId val="659603648"/>
        <c:axId val="659593064"/>
      </c:barChart>
      <c:catAx>
        <c:axId val="659603648"/>
        <c:scaling>
          <c:orientation val="minMax"/>
        </c:scaling>
        <c:delete val="1"/>
        <c:axPos val="l"/>
        <c:numFmt formatCode="General" sourceLinked="1"/>
        <c:majorTickMark val="out"/>
        <c:minorTickMark val="none"/>
        <c:tickLblPos val="nextTo"/>
        <c:crossAx val="659593064"/>
        <c:crosses val="autoZero"/>
        <c:auto val="1"/>
        <c:lblAlgn val="ctr"/>
        <c:lblOffset val="100"/>
        <c:noMultiLvlLbl val="0"/>
      </c:catAx>
      <c:valAx>
        <c:axId val="659593064"/>
        <c:scaling>
          <c:orientation val="minMax"/>
        </c:scaling>
        <c:delete val="1"/>
        <c:axPos val="b"/>
        <c:numFmt formatCode="0%" sourceLinked="1"/>
        <c:majorTickMark val="out"/>
        <c:minorTickMark val="none"/>
        <c:tickLblPos val="nextTo"/>
        <c:crossAx val="65960364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64552062081378E-2"/>
          <c:y val="5.8544476200853235E-2"/>
          <c:w val="0.87281289836788878"/>
          <c:h val="0.85108414144546607"/>
        </c:manualLayout>
      </c:layout>
      <c:barChart>
        <c:barDir val="bar"/>
        <c:grouping val="clustered"/>
        <c:varyColors val="0"/>
        <c:ser>
          <c:idx val="0"/>
          <c:order val="0"/>
          <c:tx>
            <c:strRef>
              <c:f>'結果（SDGs評価あり）'!$AD$39</c:f>
              <c:strCache>
                <c:ptCount val="1"/>
                <c:pt idx="0">
                  <c:v>スコア</c:v>
                </c:pt>
              </c:strCache>
            </c:strRef>
          </c:tx>
          <c:spPr>
            <a:solidFill>
              <a:schemeClr val="accent1"/>
            </a:solidFill>
            <a:ln w="6350">
              <a:solidFill>
                <a:sysClr val="windowText" lastClr="000000"/>
              </a:solidFill>
            </a:ln>
            <a:effectLst/>
          </c:spPr>
          <c:invertIfNegative val="0"/>
          <c:dPt>
            <c:idx val="0"/>
            <c:invertIfNegative val="0"/>
            <c:bubble3D val="0"/>
            <c:spPr>
              <a:solidFill>
                <a:srgbClr val="4C9F38"/>
              </a:solidFill>
              <a:ln w="6350">
                <a:solidFill>
                  <a:sysClr val="windowText" lastClr="000000"/>
                </a:solidFill>
              </a:ln>
              <a:effectLst/>
            </c:spPr>
            <c:extLst>
              <c:ext xmlns:c16="http://schemas.microsoft.com/office/drawing/2014/chart" uri="{C3380CC4-5D6E-409C-BE32-E72D297353CC}">
                <c16:uniqueId val="{00000001-C9BB-4EC3-9E2F-3DAAC84ECA88}"/>
              </c:ext>
            </c:extLst>
          </c:dPt>
          <c:dPt>
            <c:idx val="1"/>
            <c:invertIfNegative val="0"/>
            <c:bubble3D val="0"/>
            <c:spPr>
              <a:solidFill>
                <a:srgbClr val="C5192D"/>
              </a:solidFill>
              <a:ln w="6350">
                <a:solidFill>
                  <a:sysClr val="windowText" lastClr="000000"/>
                </a:solidFill>
              </a:ln>
              <a:effectLst/>
            </c:spPr>
            <c:extLst>
              <c:ext xmlns:c16="http://schemas.microsoft.com/office/drawing/2014/chart" uri="{C3380CC4-5D6E-409C-BE32-E72D297353CC}">
                <c16:uniqueId val="{00000003-C9BB-4EC3-9E2F-3DAAC84ECA88}"/>
              </c:ext>
            </c:extLst>
          </c:dPt>
          <c:dPt>
            <c:idx val="2"/>
            <c:invertIfNegative val="0"/>
            <c:bubble3D val="0"/>
            <c:spPr>
              <a:solidFill>
                <a:srgbClr val="FF3A21"/>
              </a:solidFill>
              <a:ln w="6350">
                <a:solidFill>
                  <a:sysClr val="windowText" lastClr="000000"/>
                </a:solidFill>
              </a:ln>
              <a:effectLst/>
            </c:spPr>
            <c:extLst>
              <c:ext xmlns:c16="http://schemas.microsoft.com/office/drawing/2014/chart" uri="{C3380CC4-5D6E-409C-BE32-E72D297353CC}">
                <c16:uniqueId val="{00000005-C9BB-4EC3-9E2F-3DAAC84ECA88}"/>
              </c:ext>
            </c:extLst>
          </c:dPt>
          <c:dPt>
            <c:idx val="3"/>
            <c:invertIfNegative val="0"/>
            <c:bubble3D val="0"/>
            <c:spPr>
              <a:solidFill>
                <a:srgbClr val="26BDE2"/>
              </a:solidFill>
              <a:ln w="6350">
                <a:solidFill>
                  <a:sysClr val="windowText" lastClr="000000"/>
                </a:solidFill>
              </a:ln>
              <a:effectLst/>
            </c:spPr>
            <c:extLst>
              <c:ext xmlns:c16="http://schemas.microsoft.com/office/drawing/2014/chart" uri="{C3380CC4-5D6E-409C-BE32-E72D297353CC}">
                <c16:uniqueId val="{00000007-C9BB-4EC3-9E2F-3DAAC84ECA88}"/>
              </c:ext>
            </c:extLst>
          </c:dPt>
          <c:dPt>
            <c:idx val="4"/>
            <c:invertIfNegative val="0"/>
            <c:bubble3D val="0"/>
            <c:spPr>
              <a:solidFill>
                <a:srgbClr val="FCC30B"/>
              </a:solidFill>
              <a:ln w="6350">
                <a:solidFill>
                  <a:sysClr val="windowText" lastClr="000000"/>
                </a:solidFill>
              </a:ln>
              <a:effectLst/>
            </c:spPr>
            <c:extLst>
              <c:ext xmlns:c16="http://schemas.microsoft.com/office/drawing/2014/chart" uri="{C3380CC4-5D6E-409C-BE32-E72D297353CC}">
                <c16:uniqueId val="{00000009-C9BB-4EC3-9E2F-3DAAC84ECA88}"/>
              </c:ext>
            </c:extLst>
          </c:dPt>
          <c:dPt>
            <c:idx val="5"/>
            <c:invertIfNegative val="0"/>
            <c:bubble3D val="0"/>
            <c:spPr>
              <a:solidFill>
                <a:srgbClr val="A21942"/>
              </a:solidFill>
              <a:ln w="6350">
                <a:solidFill>
                  <a:sysClr val="windowText" lastClr="000000"/>
                </a:solidFill>
              </a:ln>
              <a:effectLst/>
            </c:spPr>
            <c:extLst>
              <c:ext xmlns:c16="http://schemas.microsoft.com/office/drawing/2014/chart" uri="{C3380CC4-5D6E-409C-BE32-E72D297353CC}">
                <c16:uniqueId val="{0000000B-C9BB-4EC3-9E2F-3DAAC84ECA88}"/>
              </c:ext>
            </c:extLst>
          </c:dPt>
          <c:dPt>
            <c:idx val="6"/>
            <c:invertIfNegative val="0"/>
            <c:bubble3D val="0"/>
            <c:spPr>
              <a:solidFill>
                <a:srgbClr val="FD6925"/>
              </a:solidFill>
              <a:ln w="6350">
                <a:solidFill>
                  <a:sysClr val="windowText" lastClr="000000"/>
                </a:solidFill>
              </a:ln>
              <a:effectLst/>
            </c:spPr>
            <c:extLst>
              <c:ext xmlns:c16="http://schemas.microsoft.com/office/drawing/2014/chart" uri="{C3380CC4-5D6E-409C-BE32-E72D297353CC}">
                <c16:uniqueId val="{0000000D-C9BB-4EC3-9E2F-3DAAC84ECA88}"/>
              </c:ext>
            </c:extLst>
          </c:dPt>
          <c:dPt>
            <c:idx val="7"/>
            <c:invertIfNegative val="0"/>
            <c:bubble3D val="0"/>
            <c:spPr>
              <a:solidFill>
                <a:srgbClr val="FD9D24"/>
              </a:solidFill>
              <a:ln w="6350">
                <a:solidFill>
                  <a:sysClr val="windowText" lastClr="000000"/>
                </a:solidFill>
              </a:ln>
              <a:effectLst/>
            </c:spPr>
            <c:extLst>
              <c:ext xmlns:c16="http://schemas.microsoft.com/office/drawing/2014/chart" uri="{C3380CC4-5D6E-409C-BE32-E72D297353CC}">
                <c16:uniqueId val="{0000000F-C9BB-4EC3-9E2F-3DAAC84ECA88}"/>
              </c:ext>
            </c:extLst>
          </c:dPt>
          <c:dPt>
            <c:idx val="8"/>
            <c:invertIfNegative val="0"/>
            <c:bubble3D val="0"/>
            <c:spPr>
              <a:solidFill>
                <a:srgbClr val="BF8B2E"/>
              </a:solidFill>
              <a:ln w="6350">
                <a:solidFill>
                  <a:sysClr val="windowText" lastClr="000000"/>
                </a:solidFill>
              </a:ln>
              <a:effectLst/>
            </c:spPr>
            <c:extLst>
              <c:ext xmlns:c16="http://schemas.microsoft.com/office/drawing/2014/chart" uri="{C3380CC4-5D6E-409C-BE32-E72D297353CC}">
                <c16:uniqueId val="{00000011-C9BB-4EC3-9E2F-3DAAC84ECA88}"/>
              </c:ext>
            </c:extLst>
          </c:dPt>
          <c:dPt>
            <c:idx val="9"/>
            <c:invertIfNegative val="0"/>
            <c:bubble3D val="0"/>
            <c:spPr>
              <a:solidFill>
                <a:srgbClr val="3F7E44"/>
              </a:solidFill>
              <a:ln w="6350">
                <a:solidFill>
                  <a:sysClr val="windowText" lastClr="000000"/>
                </a:solidFill>
              </a:ln>
              <a:effectLst/>
            </c:spPr>
            <c:extLst>
              <c:ext xmlns:c16="http://schemas.microsoft.com/office/drawing/2014/chart" uri="{C3380CC4-5D6E-409C-BE32-E72D297353CC}">
                <c16:uniqueId val="{00000013-C9BB-4EC3-9E2F-3DAAC84ECA88}"/>
              </c:ext>
            </c:extLst>
          </c:dPt>
          <c:dPt>
            <c:idx val="10"/>
            <c:invertIfNegative val="0"/>
            <c:bubble3D val="0"/>
            <c:spPr>
              <a:solidFill>
                <a:srgbClr val="56C02B"/>
              </a:solidFill>
              <a:ln w="6350">
                <a:solidFill>
                  <a:sysClr val="windowText" lastClr="000000"/>
                </a:solidFill>
              </a:ln>
              <a:effectLst/>
            </c:spPr>
            <c:extLst>
              <c:ext xmlns:c16="http://schemas.microsoft.com/office/drawing/2014/chart" uri="{C3380CC4-5D6E-409C-BE32-E72D297353CC}">
                <c16:uniqueId val="{00000015-C9BB-4EC3-9E2F-3DAAC84ECA88}"/>
              </c:ext>
            </c:extLst>
          </c:dPt>
          <c:dPt>
            <c:idx val="11"/>
            <c:invertIfNegative val="0"/>
            <c:bubble3D val="0"/>
            <c:spPr>
              <a:solidFill>
                <a:srgbClr val="19486A"/>
              </a:solidFill>
              <a:ln w="6350">
                <a:solidFill>
                  <a:sysClr val="windowText" lastClr="000000"/>
                </a:solidFill>
              </a:ln>
              <a:effectLst/>
            </c:spPr>
            <c:extLst>
              <c:ext xmlns:c16="http://schemas.microsoft.com/office/drawing/2014/chart" uri="{C3380CC4-5D6E-409C-BE32-E72D297353CC}">
                <c16:uniqueId val="{00000017-C9BB-4EC3-9E2F-3DAAC84ECA88}"/>
              </c:ext>
            </c:extLst>
          </c:dPt>
          <c:cat>
            <c:strRef>
              <c:f>'結果（SDGs評価あり）'!$AC$40:$AC$51</c:f>
              <c:strCache>
                <c:ptCount val="12"/>
                <c:pt idx="0">
                  <c:v>ゴール3</c:v>
                </c:pt>
                <c:pt idx="1">
                  <c:v>ゴール4</c:v>
                </c:pt>
                <c:pt idx="2">
                  <c:v>ゴール5</c:v>
                </c:pt>
                <c:pt idx="3">
                  <c:v>ゴール6</c:v>
                </c:pt>
                <c:pt idx="4">
                  <c:v>ゴール7</c:v>
                </c:pt>
                <c:pt idx="5">
                  <c:v>ゴール8</c:v>
                </c:pt>
                <c:pt idx="6">
                  <c:v>ゴール9</c:v>
                </c:pt>
                <c:pt idx="7">
                  <c:v>ゴール11</c:v>
                </c:pt>
                <c:pt idx="8">
                  <c:v>ゴール12</c:v>
                </c:pt>
                <c:pt idx="9">
                  <c:v>ゴール13</c:v>
                </c:pt>
                <c:pt idx="10">
                  <c:v>ゴール15</c:v>
                </c:pt>
                <c:pt idx="11">
                  <c:v>ゴール17</c:v>
                </c:pt>
              </c:strCache>
            </c:strRef>
          </c:cat>
          <c:val>
            <c:numRef>
              <c:f>'結果（SDGs評価あり）'!$AD$40:$AD$51</c:f>
              <c:numCache>
                <c:formatCode>0.0_);[Red]\(0.0\)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C9BB-4EC3-9E2F-3DAAC84ECA88}"/>
            </c:ext>
          </c:extLst>
        </c:ser>
        <c:dLbls>
          <c:showLegendKey val="0"/>
          <c:showVal val="0"/>
          <c:showCatName val="0"/>
          <c:showSerName val="0"/>
          <c:showPercent val="0"/>
          <c:showBubbleSize val="0"/>
        </c:dLbls>
        <c:gapWidth val="0"/>
        <c:axId val="659591888"/>
        <c:axId val="659593848"/>
      </c:barChart>
      <c:catAx>
        <c:axId val="659591888"/>
        <c:scaling>
          <c:orientation val="maxMin"/>
        </c:scaling>
        <c:delete val="1"/>
        <c:axPos val="l"/>
        <c:numFmt formatCode="General" sourceLinked="1"/>
        <c:majorTickMark val="none"/>
        <c:minorTickMark val="none"/>
        <c:tickLblPos val="nextTo"/>
        <c:crossAx val="659593848"/>
        <c:crosses val="autoZero"/>
        <c:auto val="1"/>
        <c:lblAlgn val="ctr"/>
        <c:lblOffset val="100"/>
        <c:noMultiLvlLbl val="0"/>
      </c:catAx>
      <c:valAx>
        <c:axId val="659593848"/>
        <c:scaling>
          <c:orientation val="minMax"/>
          <c:max val="3"/>
          <c:min val="1"/>
        </c:scaling>
        <c:delete val="0"/>
        <c:axPos val="t"/>
        <c:majorGridlines>
          <c:spPr>
            <a:ln w="6350" cap="flat" cmpd="sng" algn="ctr">
              <a:solidFill>
                <a:sysClr val="windowText" lastClr="000000"/>
              </a:solidFill>
              <a:prstDash val="dash"/>
              <a:round/>
            </a:ln>
            <a:effectLst/>
          </c:spPr>
        </c:majorGridlines>
        <c:numFmt formatCode="#,##0_);[Red]\(#,##0\)" sourceLinked="0"/>
        <c:majorTickMark val="out"/>
        <c:minorTickMark val="none"/>
        <c:tickLblPos val="high"/>
        <c:spPr>
          <a:noFill/>
          <a:ln>
            <a:noFill/>
          </a:ln>
          <a:effectLst/>
        </c:spPr>
        <c:txPr>
          <a:bodyPr rot="-60000000" spcFirstLastPara="1" vertOverflow="ellipsis" vert="horz" wrap="square" anchor="b"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ja-JP"/>
          </a:p>
        </c:txPr>
        <c:crossAx val="659591888"/>
        <c:crosses val="autoZero"/>
        <c:crossBetween val="between"/>
        <c:majorUnit val="1"/>
      </c:valAx>
      <c:spPr>
        <a:noFill/>
        <a:ln w="9525">
          <a:solidFill>
            <a:sysClr val="windowText" lastClr="000000"/>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'結果（SDGs評価なし）'!$S$30</c:f>
              <c:strCache>
                <c:ptCount val="1"/>
                <c:pt idx="0">
                  <c:v>S</c:v>
                </c:pt>
              </c:strCache>
            </c:strRef>
          </c:tx>
          <c:spPr>
            <a:pattFill prst="pct70">
              <a:fgClr>
                <a:srgbClr val="339966"/>
              </a:fgClr>
              <a:bgClr>
                <a:srgbClr val="FFFFFF"/>
              </a:bgClr>
            </a:pattFill>
            <a:ln w="12700">
              <a:solidFill>
                <a:srgbClr val="000000"/>
              </a:solidFill>
              <a:prstDash val="solid"/>
            </a:ln>
          </c:spPr>
          <c:cat>
            <c:numRef>
              <c:f>'結果（SDGs評価なし）'!$T$24:$U$24</c:f>
              <c:numCache>
                <c:formatCode>General</c:formatCode>
                <c:ptCount val="2"/>
                <c:pt idx="0" formatCode="#,##0_);[Red]\(#,##0\)">
                  <c:v>57.516666666666673</c:v>
                </c:pt>
                <c:pt idx="1">
                  <c:v>0</c:v>
                </c:pt>
              </c:numCache>
            </c:numRef>
          </c:cat>
          <c:val>
            <c:numRef>
              <c:f>'結果（SDGs評価なし）'!$T$30:$Z$30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A8DE-4309-928B-59C5953E0A8E}"/>
            </c:ext>
          </c:extLst>
        </c:ser>
        <c:ser>
          <c:idx val="3"/>
          <c:order val="4"/>
          <c:tx>
            <c:strRef>
              <c:f>'結果（SDGs評価なし）'!$S$31</c:f>
              <c:strCache>
                <c:ptCount val="1"/>
                <c:pt idx="0">
                  <c:v>A</c:v>
                </c:pt>
              </c:strCache>
            </c:strRef>
          </c:tx>
          <c:spPr>
            <a:pattFill prst="pct90">
              <a:fgClr>
                <a:srgbClr val="CCFFCC"/>
              </a:fgClr>
              <a:bgClr>
                <a:srgbClr val="FFFFFF"/>
              </a:bgClr>
            </a:pattFill>
            <a:ln w="12700">
              <a:solidFill>
                <a:srgbClr val="000000"/>
              </a:solidFill>
              <a:prstDash val="solid"/>
            </a:ln>
          </c:spPr>
          <c:cat>
            <c:numRef>
              <c:f>'結果（SDGs評価なし）'!$T$24:$U$24</c:f>
              <c:numCache>
                <c:formatCode>General</c:formatCode>
                <c:ptCount val="2"/>
                <c:pt idx="0" formatCode="#,##0_);[Red]\(#,##0\)">
                  <c:v>57.516666666666673</c:v>
                </c:pt>
                <c:pt idx="1">
                  <c:v>0</c:v>
                </c:pt>
              </c:numCache>
            </c:numRef>
          </c:cat>
          <c:val>
            <c:numRef>
              <c:f>'結果（SDGs評価なし）'!$T$31:$Z$31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A8DE-4309-928B-59C5953E0A8E}"/>
            </c:ext>
          </c:extLst>
        </c:ser>
        <c:ser>
          <c:idx val="2"/>
          <c:order val="5"/>
          <c:tx>
            <c:strRef>
              <c:f>'結果（SDGs評価なし）'!$S$32</c:f>
              <c:strCache>
                <c:ptCount val="1"/>
                <c:pt idx="0">
                  <c:v>B+</c:v>
                </c:pt>
              </c:strCache>
            </c:strRef>
          </c:tx>
          <c:spPr>
            <a:solidFill>
              <a:srgbClr val="FFFFCC"/>
            </a:solidFill>
            <a:ln w="12700">
              <a:solidFill>
                <a:srgbClr val="000000"/>
              </a:solidFill>
              <a:prstDash val="solid"/>
            </a:ln>
          </c:spPr>
          <c:cat>
            <c:numRef>
              <c:f>'結果（SDGs評価なし）'!$T$24:$U$24</c:f>
              <c:numCache>
                <c:formatCode>General</c:formatCode>
                <c:ptCount val="2"/>
                <c:pt idx="0" formatCode="#,##0_);[Red]\(#,##0\)">
                  <c:v>57.516666666666673</c:v>
                </c:pt>
                <c:pt idx="1">
                  <c:v>0</c:v>
                </c:pt>
              </c:numCache>
            </c:numRef>
          </c:cat>
          <c:val>
            <c:numRef>
              <c:f>'結果（SDGs評価なし）'!$T$32:$Z$32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A8DE-4309-928B-59C5953E0A8E}"/>
            </c:ext>
          </c:extLst>
        </c:ser>
        <c:ser>
          <c:idx val="1"/>
          <c:order val="6"/>
          <c:tx>
            <c:strRef>
              <c:f>'結果（SDGs評価なし）'!$S$34</c:f>
              <c:strCache>
                <c:ptCount val="1"/>
                <c:pt idx="0">
                  <c:v>B-</c:v>
                </c:pt>
              </c:strCache>
            </c:strRef>
          </c:tx>
          <c:spPr>
            <a:solidFill>
              <a:srgbClr val="FFFFFF"/>
            </a:solidFill>
            <a:ln w="12700">
              <a:solidFill>
                <a:srgbClr val="000000"/>
              </a:solidFill>
              <a:prstDash val="solid"/>
            </a:ln>
          </c:spPr>
          <c:cat>
            <c:numRef>
              <c:f>'結果（SDGs評価なし）'!$T$24:$U$24</c:f>
              <c:numCache>
                <c:formatCode>General</c:formatCode>
                <c:ptCount val="2"/>
                <c:pt idx="0" formatCode="#,##0_);[Red]\(#,##0\)">
                  <c:v>57.516666666666673</c:v>
                </c:pt>
                <c:pt idx="1">
                  <c:v>0</c:v>
                </c:pt>
              </c:numCache>
            </c:numRef>
          </c:cat>
          <c:val>
            <c:numRef>
              <c:f>'結果（SDGs評価なし）'!$T$34:$Z$34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A8DE-4309-928B-59C5953E0A8E}"/>
            </c:ext>
          </c:extLst>
        </c:ser>
        <c:ser>
          <c:idx val="0"/>
          <c:order val="7"/>
          <c:tx>
            <c:strRef>
              <c:f>'結果（SDGs評価なし）'!$S$33</c:f>
              <c:strCache>
                <c:ptCount val="1"/>
                <c:pt idx="0">
                  <c:v>B</c:v>
                </c:pt>
              </c:strCache>
            </c:strRef>
          </c:tx>
          <c:spPr>
            <a:noFill/>
            <a:ln w="12700">
              <a:solidFill>
                <a:srgbClr val="000000"/>
              </a:solidFill>
              <a:prstDash val="solid"/>
            </a:ln>
          </c:spPr>
          <c:cat>
            <c:numRef>
              <c:f>'結果（SDGs評価なし）'!$T$24:$U$24</c:f>
              <c:numCache>
                <c:formatCode>General</c:formatCode>
                <c:ptCount val="2"/>
                <c:pt idx="0" formatCode="#,##0_);[Red]\(#,##0\)">
                  <c:v>57.516666666666673</c:v>
                </c:pt>
                <c:pt idx="1">
                  <c:v>0</c:v>
                </c:pt>
              </c:numCache>
            </c:numRef>
          </c:cat>
          <c:val>
            <c:numRef>
              <c:f>'結果（SDGs評価なし）'!$T$33:$Z$33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A8DE-4309-928B-59C5953E0A8E}"/>
            </c:ext>
          </c:extLst>
        </c:ser>
        <c:dLbls>
          <c:showLegendKey val="0"/>
          <c:showVal val="0"/>
          <c:showCatName val="0"/>
          <c:showSerName val="0"/>
          <c:showPercent val="0"/>
          <c:showBubbleSize val="0"/>
        </c:dLbls>
        <c:axId val="659600120"/>
        <c:axId val="659593456"/>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A8DE-4309-928B-59C5953E0A8E}"/>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DE-4309-928B-59C5953E0A8E}"/>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DE-4309-928B-59C5953E0A8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'結果（SDGs評価なし）'!$R$26:$U$26</c:f>
              <c:numCache>
                <c:formatCode>General</c:formatCode>
                <c:ptCount val="4"/>
                <c:pt idx="0">
                  <c:v>0</c:v>
                </c:pt>
                <c:pt idx="1">
                  <c:v>57.516666666666673</c:v>
                </c:pt>
                <c:pt idx="2" formatCode="#,##0_);[Red]\(#,##0\)">
                  <c:v>57.516666666666673</c:v>
                </c:pt>
                <c:pt idx="3">
                  <c:v>0.1</c:v>
                </c:pt>
              </c:numCache>
            </c:numRef>
          </c:xVal>
          <c:yVal>
            <c:numRef>
              <c:f>'結果（SDGs評価なし）'!$R$27:$U$27</c:f>
              <c:numCache>
                <c:formatCode>General</c:formatCode>
                <c:ptCount val="4"/>
                <c:pt idx="0">
                  <c:v>0</c:v>
                </c:pt>
                <c:pt idx="1">
                  <c:v>0</c:v>
                </c:pt>
                <c:pt idx="2">
                  <c:v>39.655000000000008</c:v>
                </c:pt>
                <c:pt idx="3" formatCode="#,##0_);[Red]\(#,##0\)">
                  <c:v>39.655000000000008</c:v>
                </c:pt>
              </c:numCache>
            </c:numRef>
          </c:yVal>
          <c:smooth val="0"/>
          <c:extLst>
            <c:ext xmlns:c16="http://schemas.microsoft.com/office/drawing/2014/chart" uri="{C3380CC4-5D6E-409C-BE32-E72D297353CC}">
              <c16:uniqueId val="{00000009-A8DE-4309-928B-59C5953E0A8E}"/>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A8DE-4309-928B-59C5953E0A8E}"/>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A8DE-4309-928B-59C5953E0A8E}"/>
              </c:ext>
            </c:extLst>
          </c:dPt>
          <c:xVal>
            <c:numRef>
              <c:f>'結果（SDGs評価なし）'!$R$26:$U$26</c:f>
              <c:numCache>
                <c:formatCode>General</c:formatCode>
                <c:ptCount val="4"/>
                <c:pt idx="0">
                  <c:v>0</c:v>
                </c:pt>
                <c:pt idx="1">
                  <c:v>57.516666666666673</c:v>
                </c:pt>
                <c:pt idx="2" formatCode="#,##0_);[Red]\(#,##0\)">
                  <c:v>57.516666666666673</c:v>
                </c:pt>
                <c:pt idx="3">
                  <c:v>0.1</c:v>
                </c:pt>
              </c:numCache>
            </c:numRef>
          </c:xVal>
          <c:yVal>
            <c:numRef>
              <c:f>'結果（SDGs評価なし）'!$R$27:$U$27</c:f>
              <c:numCache>
                <c:formatCode>General</c:formatCode>
                <c:ptCount val="4"/>
                <c:pt idx="0">
                  <c:v>0</c:v>
                </c:pt>
                <c:pt idx="1">
                  <c:v>0</c:v>
                </c:pt>
                <c:pt idx="2">
                  <c:v>39.655000000000008</c:v>
                </c:pt>
                <c:pt idx="3" formatCode="#,##0_);[Red]\(#,##0\)">
                  <c:v>39.655000000000008</c:v>
                </c:pt>
              </c:numCache>
            </c:numRef>
          </c:yVal>
          <c:smooth val="0"/>
          <c:extLst>
            <c:ext xmlns:c16="http://schemas.microsoft.com/office/drawing/2014/chart" uri="{C3380CC4-5D6E-409C-BE32-E72D297353CC}">
              <c16:uniqueId val="{0000000C-A8DE-4309-928B-59C5953E0A8E}"/>
            </c:ext>
          </c:extLst>
        </c:ser>
        <c:ser>
          <c:idx val="5"/>
          <c:order val="2"/>
          <c:tx>
            <c:strRef>
              <c:f>'結果（SDGs評価なし）'!$S$12</c:f>
              <c:strCache>
                <c:ptCount val="1"/>
                <c:pt idx="0">
                  <c:v>0.6</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A8DE-4309-928B-59C5953E0A8E}"/>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A8DE-4309-928B-59C5953E0A8E}"/>
              </c:ext>
            </c:extLst>
          </c:dPt>
          <c:dPt>
            <c:idx val="2"/>
            <c:bubble3D val="0"/>
            <c:spPr>
              <a:ln w="38100">
                <a:solidFill>
                  <a:srgbClr val="008000"/>
                </a:solidFill>
                <a:prstDash val="solid"/>
              </a:ln>
            </c:spPr>
            <c:extLst>
              <c:ext xmlns:c16="http://schemas.microsoft.com/office/drawing/2014/chart" uri="{C3380CC4-5D6E-409C-BE32-E72D297353CC}">
                <c16:uniqueId val="{00000011-A8DE-4309-928B-59C5953E0A8E}"/>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A8DE-4309-928B-59C5953E0A8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'結果（SDGs評価なし）'!$S$24:$U$24</c:f>
              <c:numCache>
                <c:formatCode>#,##0_);[Red]\(#,##0\)</c:formatCode>
                <c:ptCount val="3"/>
                <c:pt idx="1">
                  <c:v>57.516666666666673</c:v>
                </c:pt>
                <c:pt idx="2" formatCode="General">
                  <c:v>0</c:v>
                </c:pt>
              </c:numCache>
            </c:numRef>
          </c:xVal>
          <c:yVal>
            <c:numRef>
              <c:f>'結果（SDGs評価なし）'!$S$25:$U$25</c:f>
              <c:numCache>
                <c:formatCode>#,##0_);[Red]\(#,##0\)</c:formatCode>
                <c:ptCount val="3"/>
                <c:pt idx="1">
                  <c:v>39.655000000000008</c:v>
                </c:pt>
                <c:pt idx="2" formatCode="General">
                  <c:v>0</c:v>
                </c:pt>
              </c:numCache>
            </c:numRef>
          </c:yVal>
          <c:smooth val="0"/>
          <c:extLst>
            <c:ext xmlns:c16="http://schemas.microsoft.com/office/drawing/2014/chart" uri="{C3380CC4-5D6E-409C-BE32-E72D297353CC}">
              <c16:uniqueId val="{00000012-A8DE-4309-928B-59C5953E0A8E}"/>
            </c:ext>
          </c:extLst>
        </c:ser>
        <c:dLbls>
          <c:showLegendKey val="0"/>
          <c:showVal val="0"/>
          <c:showCatName val="0"/>
          <c:showSerName val="0"/>
          <c:showPercent val="0"/>
          <c:showBubbleSize val="0"/>
        </c:dLbls>
        <c:axId val="659596984"/>
        <c:axId val="659595808"/>
      </c:scatterChart>
      <c:catAx>
        <c:axId val="659600120"/>
        <c:scaling>
          <c:orientation val="minMax"/>
        </c:scaling>
        <c:delete val="0"/>
        <c:axPos val="b"/>
        <c:numFmt formatCode="#,##0_);[Red]\(#,##0\)" sourceLinked="1"/>
        <c:majorTickMark val="none"/>
        <c:minorTickMark val="none"/>
        <c:tickLblPos val="none"/>
        <c:spPr>
          <a:ln w="3175">
            <a:solidFill>
              <a:srgbClr val="000000"/>
            </a:solidFill>
            <a:prstDash val="solid"/>
          </a:ln>
        </c:spPr>
        <c:crossAx val="659593456"/>
        <c:crosses val="autoZero"/>
        <c:auto val="0"/>
        <c:lblAlgn val="ctr"/>
        <c:lblOffset val="100"/>
        <c:tickLblSkip val="50"/>
        <c:tickMarkSkip val="50"/>
        <c:noMultiLvlLbl val="0"/>
      </c:catAx>
      <c:valAx>
        <c:axId val="659593456"/>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59600120"/>
        <c:crosses val="autoZero"/>
        <c:crossBetween val="midCat"/>
        <c:majorUnit val="50"/>
      </c:valAx>
      <c:valAx>
        <c:axId val="659596984"/>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59595808"/>
        <c:crosses val="max"/>
        <c:crossBetween val="midCat"/>
        <c:majorUnit val="50"/>
      </c:valAx>
      <c:valAx>
        <c:axId val="6595958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659596984"/>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'結果（SDGs評価なし）'!$S$39</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extLst>
              <c:ext xmlns:c16="http://schemas.microsoft.com/office/drawing/2014/chart" uri="{C3380CC4-5D6E-409C-BE32-E72D297353CC}">
                <c16:uniqueId val="{00000001-360D-482A-981F-5741A522B593}"/>
              </c:ext>
            </c:extLst>
          </c:dPt>
          <c:val>
            <c:numRef>
              <c:f>'結果（SDGs評価なし）'!$S$40:$S$43</c:f>
              <c:numCache>
                <c:formatCode>#,##0_);[Red]\(#,##0\)</c:formatCode>
                <c:ptCount val="4"/>
                <c:pt idx="0">
                  <c:v>19.584666666666667</c:v>
                </c:pt>
                <c:pt idx="1">
                  <c:v>19.584666666666667</c:v>
                </c:pt>
              </c:numCache>
            </c:numRef>
          </c:val>
          <c:extLst>
            <c:ext xmlns:c16="http://schemas.microsoft.com/office/drawing/2014/chart" uri="{C3380CC4-5D6E-409C-BE32-E72D297353CC}">
              <c16:uniqueId val="{00000002-360D-482A-981F-5741A522B593}"/>
            </c:ext>
          </c:extLst>
        </c:ser>
        <c:ser>
          <c:idx val="1"/>
          <c:order val="1"/>
          <c:tx>
            <c:strRef>
              <c:f>'結果（SDGs評価なし）'!$T$39</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extLst>
              <c:ext xmlns:c16="http://schemas.microsoft.com/office/drawing/2014/chart" uri="{C3380CC4-5D6E-409C-BE32-E72D297353CC}">
                <c16:uniqueId val="{00000004-360D-482A-981F-5741A522B593}"/>
              </c:ext>
            </c:extLst>
          </c:dPt>
          <c:val>
            <c:numRef>
              <c:f>'結果（SDGs評価なし）'!$T$40:$T$43</c:f>
              <c:numCache>
                <c:formatCode>#,##0_);[Red]\(#,##0\)</c:formatCode>
                <c:ptCount val="4"/>
                <c:pt idx="0">
                  <c:v>10.979333333333333</c:v>
                </c:pt>
                <c:pt idx="1">
                  <c:v>10.979333333333333</c:v>
                </c:pt>
              </c:numCache>
            </c:numRef>
          </c:val>
          <c:extLst>
            <c:ext xmlns:c16="http://schemas.microsoft.com/office/drawing/2014/chart" uri="{C3380CC4-5D6E-409C-BE32-E72D297353CC}">
              <c16:uniqueId val="{00000005-360D-482A-981F-5741A522B593}"/>
            </c:ext>
          </c:extLst>
        </c:ser>
        <c:ser>
          <c:idx val="2"/>
          <c:order val="2"/>
          <c:tx>
            <c:strRef>
              <c:f>'結果（SDGs評価なし）'!$U$39</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extLst>
              <c:ext xmlns:c16="http://schemas.microsoft.com/office/drawing/2014/chart" uri="{C3380CC4-5D6E-409C-BE32-E72D297353CC}">
                <c16:uniqueId val="{00000007-360D-482A-981F-5741A522B593}"/>
              </c:ext>
            </c:extLst>
          </c:dPt>
          <c:val>
            <c:numRef>
              <c:f>'結果（SDGs評価なし）'!$U$40:$U$43</c:f>
              <c:numCache>
                <c:formatCode>#,##0_);[Red]\(#,##0\)</c:formatCode>
                <c:ptCount val="4"/>
                <c:pt idx="0">
                  <c:v>41.050272198907102</c:v>
                </c:pt>
                <c:pt idx="1">
                  <c:v>39.991498159562845</c:v>
                </c:pt>
              </c:numCache>
            </c:numRef>
          </c:val>
          <c:extLst>
            <c:ext xmlns:c16="http://schemas.microsoft.com/office/drawing/2014/chart" uri="{C3380CC4-5D6E-409C-BE32-E72D297353CC}">
              <c16:uniqueId val="{00000008-360D-482A-981F-5741A522B593}"/>
            </c:ext>
          </c:extLst>
        </c:ser>
        <c:ser>
          <c:idx val="3"/>
          <c:order val="3"/>
          <c:tx>
            <c:strRef>
              <c:f>'結果（SDGs評価なし）'!$V$39</c:f>
              <c:strCache>
                <c:ptCount val="1"/>
                <c:pt idx="0">
                  <c:v>オンサイト</c:v>
                </c:pt>
              </c:strCache>
            </c:strRef>
          </c:tx>
          <c:spPr>
            <a:solidFill>
              <a:srgbClr val="C0C0C0"/>
            </a:solidFill>
            <a:ln w="12700">
              <a:solidFill>
                <a:srgbClr val="000000"/>
              </a:solidFill>
              <a:prstDash val="solid"/>
            </a:ln>
          </c:spPr>
          <c:invertIfNegative val="0"/>
          <c:val>
            <c:numRef>
              <c:f>'結果（SDGs評価なし）'!$V$40:$V$43</c:f>
              <c:numCache>
                <c:formatCode>General</c:formatCode>
                <c:ptCount val="4"/>
                <c:pt idx="2" formatCode="#,##0_);[Red]\(#,##0\)">
                  <c:v>70.555498159562845</c:v>
                </c:pt>
              </c:numCache>
            </c:numRef>
          </c:val>
          <c:extLst>
            <c:ext xmlns:c16="http://schemas.microsoft.com/office/drawing/2014/chart" uri="{C3380CC4-5D6E-409C-BE32-E72D297353CC}">
              <c16:uniqueId val="{00000009-360D-482A-981F-5741A522B593}"/>
            </c:ext>
          </c:extLst>
        </c:ser>
        <c:ser>
          <c:idx val="4"/>
          <c:order val="4"/>
          <c:tx>
            <c:strRef>
              <c:f>'結果（SDGs評価なし）'!$W$39</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'結果（SDGs評価なし）'!$W$40:$W$43</c:f>
              <c:numCache>
                <c:formatCode>General</c:formatCode>
                <c:ptCount val="4"/>
                <c:pt idx="3" formatCode="#,##0_);[Red]\(#,##0\)">
                  <c:v>70.555498159562845</c:v>
                </c:pt>
              </c:numCache>
            </c:numRef>
          </c:val>
          <c:extLst>
            <c:ext xmlns:c16="http://schemas.microsoft.com/office/drawing/2014/chart" uri="{C3380CC4-5D6E-409C-BE32-E72D297353CC}">
              <c16:uniqueId val="{0000000A-360D-482A-981F-5741A522B593}"/>
            </c:ext>
          </c:extLst>
        </c:ser>
        <c:dLbls>
          <c:showLegendKey val="0"/>
          <c:showVal val="0"/>
          <c:showCatName val="0"/>
          <c:showSerName val="0"/>
          <c:showPercent val="0"/>
          <c:showBubbleSize val="0"/>
        </c:dLbls>
        <c:gapWidth val="50"/>
        <c:overlap val="100"/>
        <c:axId val="659592280"/>
        <c:axId val="659598944"/>
      </c:barChart>
      <c:catAx>
        <c:axId val="659592280"/>
        <c:scaling>
          <c:orientation val="maxMin"/>
        </c:scaling>
        <c:delete val="1"/>
        <c:axPos val="l"/>
        <c:majorTickMark val="out"/>
        <c:minorTickMark val="none"/>
        <c:tickLblPos val="nextTo"/>
        <c:crossAx val="659598944"/>
        <c:crosses val="autoZero"/>
        <c:auto val="1"/>
        <c:lblAlgn val="ctr"/>
        <c:lblOffset val="100"/>
        <c:noMultiLvlLbl val="0"/>
      </c:catAx>
      <c:valAx>
        <c:axId val="659598944"/>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59592280"/>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5"/>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A-68A1-48EF-A51F-AEF137ADD00C}"/>
            </c:ext>
          </c:extLst>
        </c:ser>
        <c:ser>
          <c:idx val="6"/>
          <c:order val="1"/>
          <c:spPr>
            <a:no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B-68A1-48EF-A51F-AEF137ADD00C}"/>
            </c:ext>
          </c:extLst>
        </c:ser>
        <c:ser>
          <c:idx val="7"/>
          <c:order val="2"/>
          <c:spPr>
            <a:no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C-68A1-48EF-A51F-AEF137ADD00C}"/>
            </c:ext>
          </c:extLst>
        </c:ser>
        <c:ser>
          <c:idx val="8"/>
          <c:order val="3"/>
          <c:spPr>
            <a:pattFill prst="pct50">
              <a:fgClr>
                <a:srgbClr val="CCCCFF"/>
              </a:fgClr>
              <a:bgClr>
                <a:srgbClr val="FFFFFF"/>
              </a:bgClr>
            </a:patt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'結果（SDGs評価なし）'!$Z$8:$Z$13</c:f>
              <c:numCache>
                <c:formatCode>General</c:formatCode>
                <c:ptCount val="6"/>
                <c:pt idx="0">
                  <c:v>2.8</c:v>
                </c:pt>
                <c:pt idx="1">
                  <c:v>1.8</c:v>
                </c:pt>
                <c:pt idx="2">
                  <c:v>3</c:v>
                </c:pt>
                <c:pt idx="3">
                  <c:v>3</c:v>
                </c:pt>
                <c:pt idx="4">
                  <c:v>2.2000000000000002</c:v>
                </c:pt>
                <c:pt idx="5">
                  <c:v>2.9</c:v>
                </c:pt>
              </c:numCache>
            </c:numRef>
          </c:val>
          <c:extLst>
            <c:ext xmlns:c16="http://schemas.microsoft.com/office/drawing/2014/chart" uri="{C3380CC4-5D6E-409C-BE32-E72D297353CC}">
              <c16:uniqueId val="{0000000D-68A1-48EF-A51F-AEF137ADD00C}"/>
            </c:ext>
          </c:extLst>
        </c:ser>
        <c:ser>
          <c:idx val="9"/>
          <c:order val="4"/>
          <c:spPr>
            <a:noFill/>
            <a:ln w="12700">
              <a:solidFill>
                <a:srgbClr val="FF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E-68A1-48EF-A51F-AEF137ADD00C}"/>
            </c:ext>
          </c:extLst>
        </c:ser>
        <c:ser>
          <c:idx val="0"/>
          <c:order val="5"/>
          <c:spPr>
            <a:blipFill dpi="0" rotWithShape="0">
              <a:blip xmlns:r="http://schemas.openxmlformats.org/officeDocument/2006/relationships" r:embed="rId1"/>
              <a:srcRect/>
              <a:stretch>
                <a:fillRect/>
              </a:stretch>
            </a:blip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1-68A1-48EF-A51F-AEF137ADD00C}"/>
            </c:ext>
          </c:extLst>
        </c:ser>
        <c:ser>
          <c:idx val="1"/>
          <c:order val="6"/>
          <c:spPr>
            <a:no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3-68A1-48EF-A51F-AEF137ADD00C}"/>
            </c:ext>
          </c:extLst>
        </c:ser>
        <c:ser>
          <c:idx val="2"/>
          <c:order val="7"/>
          <c:spPr>
            <a:no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5-68A1-48EF-A51F-AEF137ADD00C}"/>
            </c:ext>
          </c:extLst>
        </c:ser>
        <c:ser>
          <c:idx val="3"/>
          <c:order val="8"/>
          <c:spPr>
            <a:pattFill prst="pct50">
              <a:fgClr>
                <a:srgbClr val="CCCCFF"/>
              </a:fgClr>
              <a:bgClr>
                <a:srgbClr val="FFFFFF"/>
              </a:bgClr>
            </a:pattFill>
            <a:ln w="12700">
              <a:solidFill>
                <a:srgbClr val="00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'結果（SDGs評価なし）'!$Z$8:$Z$13</c:f>
              <c:numCache>
                <c:formatCode>General</c:formatCode>
                <c:ptCount val="6"/>
                <c:pt idx="0">
                  <c:v>2.8</c:v>
                </c:pt>
                <c:pt idx="1">
                  <c:v>1.8</c:v>
                </c:pt>
                <c:pt idx="2">
                  <c:v>3</c:v>
                </c:pt>
                <c:pt idx="3">
                  <c:v>3</c:v>
                </c:pt>
                <c:pt idx="4">
                  <c:v>2.2000000000000002</c:v>
                </c:pt>
                <c:pt idx="5">
                  <c:v>2.9</c:v>
                </c:pt>
              </c:numCache>
            </c:numRef>
          </c:val>
          <c:extLst>
            <c:ext xmlns:c16="http://schemas.microsoft.com/office/drawing/2014/chart" uri="{C3380CC4-5D6E-409C-BE32-E72D297353CC}">
              <c16:uniqueId val="{00000007-68A1-48EF-A51F-AEF137ADD00C}"/>
            </c:ext>
          </c:extLst>
        </c:ser>
        <c:ser>
          <c:idx val="4"/>
          <c:order val="9"/>
          <c:spPr>
            <a:noFill/>
            <a:ln w="12700">
              <a:solidFill>
                <a:srgbClr val="FF0000"/>
              </a:solidFill>
              <a:prstDash val="solid"/>
            </a:ln>
          </c:spPr>
          <c:cat>
            <c:strRef>
              <c:f>'結果（SDGs評価なし）'!$V$8:$V$13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'結果（SDGs評価なし）'!$AA$8:$AA$13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9-68A1-48EF-A51F-AEF137ADD00C}"/>
            </c:ext>
          </c:extLst>
        </c:ser>
        <c:dLbls>
          <c:showLegendKey val="0"/>
          <c:showVal val="0"/>
          <c:showCatName val="0"/>
          <c:showSerName val="0"/>
          <c:showPercent val="0"/>
          <c:showBubbleSize val="0"/>
        </c:dLbls>
        <c:axId val="659596200"/>
        <c:axId val="659592672"/>
      </c:radarChart>
      <c:catAx>
        <c:axId val="659596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659592672"/>
        <c:crosses val="autoZero"/>
        <c:auto val="0"/>
        <c:lblAlgn val="ctr"/>
        <c:lblOffset val="100"/>
        <c:noMultiLvlLbl val="0"/>
      </c:catAx>
      <c:valAx>
        <c:axId val="659592672"/>
        <c:scaling>
          <c:orientation val="minMax"/>
          <c:max val="5"/>
          <c:min val="0.9"/>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659596200"/>
        <c:crosses val="autoZero"/>
        <c:crossBetween val="between"/>
        <c:majorUnit val="0.9"/>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2DA6-4DB6-82F7-2C68CC5F648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2DA6-4DB6-82F7-2C68CC5F648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2DA6-4DB6-82F7-2C68CC5F648D}"/>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2DA6-4DB6-82F7-2C68CC5F648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'結果（SDGs評価なし）'!$R$49:$R$52</c:f>
              <c:strCache>
                <c:ptCount val="4"/>
                <c:pt idx="0">
                  <c:v>音環境</c:v>
                </c:pt>
                <c:pt idx="1">
                  <c:v>温熱環境</c:v>
                </c:pt>
                <c:pt idx="2">
                  <c:v>光・視環境</c:v>
                </c:pt>
                <c:pt idx="3">
                  <c:v>空気質環境</c:v>
                </c:pt>
              </c:strCache>
            </c:strRef>
          </c:cat>
          <c:val>
            <c:numRef>
              <c:f>'結果（SDGs評価なし）'!$S$49:$S$52</c:f>
              <c:numCache>
                <c:formatCode>0.0;_Ā</c:formatCode>
                <c:ptCount val="4"/>
                <c:pt idx="0">
                  <c:v>3</c:v>
                </c:pt>
                <c:pt idx="1">
                  <c:v>3</c:v>
                </c:pt>
                <c:pt idx="2">
                  <c:v>2.8</c:v>
                </c:pt>
                <c:pt idx="3">
                  <c:v>3</c:v>
                </c:pt>
              </c:numCache>
            </c:numRef>
          </c:val>
          <c:extLst>
            <c:ext xmlns:c16="http://schemas.microsoft.com/office/drawing/2014/chart" uri="{C3380CC4-5D6E-409C-BE32-E72D297353CC}">
              <c16:uniqueId val="{00000004-405E-47B9-A2D6-4659CA624BB6}"/>
            </c:ext>
          </c:extLst>
        </c:ser>
        <c:dLbls>
          <c:showLegendKey val="0"/>
          <c:showVal val="1"/>
          <c:showCatName val="0"/>
          <c:showSerName val="0"/>
          <c:showPercent val="0"/>
          <c:showBubbleSize val="0"/>
        </c:dLbls>
        <c:gapWidth val="40"/>
        <c:axId val="659594240"/>
        <c:axId val="659596592"/>
      </c:barChart>
      <c:catAx>
        <c:axId val="659594240"/>
        <c:scaling>
          <c:orientation val="minMax"/>
        </c:scaling>
        <c:delete val="0"/>
        <c:axPos val="b"/>
        <c:numFmt formatCode="General" sourceLinked="1"/>
        <c:majorTickMark val="none"/>
        <c:minorTickMark val="none"/>
        <c:tickLblPos val="none"/>
        <c:spPr>
          <a:ln w="3175">
            <a:solidFill>
              <a:srgbClr val="000000"/>
            </a:solidFill>
            <a:prstDash val="solid"/>
          </a:ln>
        </c:spPr>
        <c:crossAx val="659596592"/>
        <c:crossesAt val="0"/>
        <c:auto val="1"/>
        <c:lblAlgn val="ctr"/>
        <c:lblOffset val="100"/>
        <c:tickMarkSkip val="1"/>
        <c:noMultiLvlLbl val="0"/>
      </c:catAx>
      <c:valAx>
        <c:axId val="65959659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595942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3D3-4AED-B184-7CB1477865FA}"/>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3D3-4AED-B184-7CB1477865FA}"/>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3D3-4AED-B184-7CB1477865F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'結果（SDGs評価なし）'!$U$49:$U$51</c:f>
              <c:strCache>
                <c:ptCount val="3"/>
                <c:pt idx="0">
                  <c:v>機能性</c:v>
                </c:pt>
                <c:pt idx="1">
                  <c:v>耐用性・信頼性</c:v>
                </c:pt>
                <c:pt idx="2">
                  <c:v>対応性･更新性</c:v>
                </c:pt>
              </c:strCache>
            </c:strRef>
          </c:cat>
          <c:val>
            <c:numRef>
              <c:f>'結果（SDGs評価なし）'!$V$49:$V$51</c:f>
              <c:numCache>
                <c:formatCode>0.0_ </c:formatCode>
                <c:ptCount val="3"/>
                <c:pt idx="0">
                  <c:v>2.9</c:v>
                </c:pt>
                <c:pt idx="1">
                  <c:v>2.8</c:v>
                </c:pt>
                <c:pt idx="2">
                  <c:v>2.6</c:v>
                </c:pt>
              </c:numCache>
            </c:numRef>
          </c:val>
          <c:extLst>
            <c:ext xmlns:c16="http://schemas.microsoft.com/office/drawing/2014/chart" uri="{C3380CC4-5D6E-409C-BE32-E72D297353CC}">
              <c16:uniqueId val="{00000003-6165-49E8-80D1-BCE8CE6D7210}"/>
            </c:ext>
          </c:extLst>
        </c:ser>
        <c:dLbls>
          <c:showLegendKey val="0"/>
          <c:showVal val="1"/>
          <c:showCatName val="0"/>
          <c:showSerName val="0"/>
          <c:showPercent val="0"/>
          <c:showBubbleSize val="0"/>
        </c:dLbls>
        <c:gapWidth val="70"/>
        <c:axId val="659599728"/>
        <c:axId val="659595024"/>
      </c:barChart>
      <c:catAx>
        <c:axId val="659599728"/>
        <c:scaling>
          <c:orientation val="minMax"/>
        </c:scaling>
        <c:delete val="0"/>
        <c:axPos val="b"/>
        <c:numFmt formatCode="General" sourceLinked="1"/>
        <c:majorTickMark val="none"/>
        <c:minorTickMark val="none"/>
        <c:tickLblPos val="none"/>
        <c:spPr>
          <a:ln w="3175">
            <a:solidFill>
              <a:srgbClr val="000000"/>
            </a:solidFill>
            <a:prstDash val="solid"/>
          </a:ln>
        </c:spPr>
        <c:crossAx val="659595024"/>
        <c:crossesAt val="0"/>
        <c:auto val="1"/>
        <c:lblAlgn val="ctr"/>
        <c:lblOffset val="100"/>
        <c:tickMarkSkip val="1"/>
        <c:noMultiLvlLbl val="0"/>
      </c:catAx>
      <c:valAx>
        <c:axId val="6595950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5959972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976B-4363-A70B-610D29CA86E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976B-4363-A70B-610D29CA86E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976B-4363-A70B-610D29CA86E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'結果（SDGs評価なし）'!$X$49:$X$51</c:f>
              <c:strCache>
                <c:ptCount val="3"/>
                <c:pt idx="0">
                  <c:v>生物資源</c:v>
                </c:pt>
                <c:pt idx="1">
                  <c:v>まちなみ景観</c:v>
                </c:pt>
                <c:pt idx="2">
                  <c:v>地域性・文化</c:v>
                </c:pt>
              </c:strCache>
            </c:strRef>
          </c:cat>
          <c:val>
            <c:numRef>
              <c:f>'結果（SDGs評価なし）'!$Y$49:$Y$51</c:f>
              <c:numCache>
                <c:formatCode>0.0_ </c:formatCode>
                <c:ptCount val="3"/>
                <c:pt idx="0">
                  <c:v>1</c:v>
                </c:pt>
                <c:pt idx="1">
                  <c:v>2</c:v>
                </c:pt>
                <c:pt idx="2">
                  <c:v>2.5</c:v>
                </c:pt>
              </c:numCache>
            </c:numRef>
          </c:val>
          <c:extLst>
            <c:ext xmlns:c16="http://schemas.microsoft.com/office/drawing/2014/chart" uri="{C3380CC4-5D6E-409C-BE32-E72D297353CC}">
              <c16:uniqueId val="{00000003-F9F5-4C38-9702-E05E90AB7917}"/>
            </c:ext>
          </c:extLst>
        </c:ser>
        <c:dLbls>
          <c:showLegendKey val="0"/>
          <c:showVal val="1"/>
          <c:showCatName val="0"/>
          <c:showSerName val="0"/>
          <c:showPercent val="0"/>
          <c:showBubbleSize val="0"/>
        </c:dLbls>
        <c:gapWidth val="70"/>
        <c:axId val="659603256"/>
        <c:axId val="659609920"/>
      </c:barChart>
      <c:catAx>
        <c:axId val="659603256"/>
        <c:scaling>
          <c:orientation val="minMax"/>
        </c:scaling>
        <c:delete val="0"/>
        <c:axPos val="b"/>
        <c:numFmt formatCode="General" sourceLinked="1"/>
        <c:majorTickMark val="none"/>
        <c:minorTickMark val="none"/>
        <c:tickLblPos val="none"/>
        <c:spPr>
          <a:ln w="3175">
            <a:solidFill>
              <a:srgbClr val="000000"/>
            </a:solidFill>
            <a:prstDash val="solid"/>
          </a:ln>
        </c:spPr>
        <c:crossAx val="659609920"/>
        <c:crossesAt val="0"/>
        <c:auto val="1"/>
        <c:lblAlgn val="ctr"/>
        <c:lblOffset val="100"/>
        <c:tickMarkSkip val="1"/>
        <c:noMultiLvlLbl val="0"/>
      </c:catAx>
      <c:valAx>
        <c:axId val="65960992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596032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DE82-4CA6-BE7E-A4F5CB37F59A}"/>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DE82-4CA6-BE7E-A4F5CB37F59A}"/>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DE82-4CA6-BE7E-A4F5CB37F59A}"/>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DE82-4CA6-BE7E-A4F5CB37F59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'結果（SDGs評価なし）'!$R$60:$R$63</c:f>
              <c:strCache>
                <c:ptCount val="4"/>
                <c:pt idx="0">
                  <c:v>熱負荷抑制</c:v>
                </c:pt>
                <c:pt idx="1">
                  <c:v>自然ｴﾈﾙｷﾞｰ</c:v>
                </c:pt>
                <c:pt idx="2">
                  <c:v>設備の効率的利用</c:v>
                </c:pt>
                <c:pt idx="3">
                  <c:v>運用ﾏﾈｼﾞﾒﾝﾄ</c:v>
                </c:pt>
              </c:strCache>
            </c:strRef>
          </c:cat>
          <c:val>
            <c:numRef>
              <c:f>'結果（SDGs評価なし）'!$S$60:$S$63</c:f>
              <c:numCache>
                <c:formatCode>#,##0.0;[Red]\-#,##0.0</c:formatCode>
                <c:ptCount val="4"/>
                <c:pt idx="0">
                  <c:v>3.6</c:v>
                </c:pt>
                <c:pt idx="1">
                  <c:v>2.2999999999999998</c:v>
                </c:pt>
                <c:pt idx="2">
                  <c:v>1.3</c:v>
                </c:pt>
                <c:pt idx="3">
                  <c:v>3</c:v>
                </c:pt>
              </c:numCache>
            </c:numRef>
          </c:val>
          <c:extLst>
            <c:ext xmlns:c16="http://schemas.microsoft.com/office/drawing/2014/chart" uri="{C3380CC4-5D6E-409C-BE32-E72D297353CC}">
              <c16:uniqueId val="{00000004-78D1-4A53-ADE6-7CBB0B3152F8}"/>
            </c:ext>
          </c:extLst>
        </c:ser>
        <c:dLbls>
          <c:showLegendKey val="0"/>
          <c:showVal val="1"/>
          <c:showCatName val="0"/>
          <c:showSerName val="0"/>
          <c:showPercent val="0"/>
          <c:showBubbleSize val="0"/>
        </c:dLbls>
        <c:gapWidth val="40"/>
        <c:axId val="659604824"/>
        <c:axId val="659607176"/>
      </c:barChart>
      <c:catAx>
        <c:axId val="659604824"/>
        <c:scaling>
          <c:orientation val="minMax"/>
        </c:scaling>
        <c:delete val="0"/>
        <c:axPos val="b"/>
        <c:numFmt formatCode="General" sourceLinked="1"/>
        <c:majorTickMark val="none"/>
        <c:minorTickMark val="none"/>
        <c:tickLblPos val="none"/>
        <c:spPr>
          <a:ln w="3175">
            <a:solidFill>
              <a:srgbClr val="000000"/>
            </a:solidFill>
            <a:prstDash val="solid"/>
          </a:ln>
        </c:spPr>
        <c:crossAx val="659607176"/>
        <c:crossesAt val="0"/>
        <c:auto val="1"/>
        <c:lblAlgn val="ctr"/>
        <c:lblOffset val="100"/>
        <c:tickMarkSkip val="1"/>
        <c:noMultiLvlLbl val="0"/>
      </c:catAx>
      <c:valAx>
        <c:axId val="65960717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5960482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Q$3" lockText="1"/>
</file>

<file path=xl/ctrlProps/ctrlProp10.xml><?xml version="1.0" encoding="utf-8"?>
<formControlPr xmlns="http://schemas.microsoft.com/office/spreadsheetml/2009/9/main" objectType="CheckBox" fmlaLink="$AK$19" lockText="1" noThreeD="1"/>
</file>

<file path=xl/ctrlProps/ctrlProp100.xml><?xml version="1.0" encoding="utf-8"?>
<formControlPr xmlns="http://schemas.microsoft.com/office/spreadsheetml/2009/9/main" objectType="CheckBox" fmlaLink="$AK$134" lockText="1" noThreeD="1"/>
</file>

<file path=xl/ctrlProps/ctrlProp101.xml><?xml version="1.0" encoding="utf-8"?>
<formControlPr xmlns="http://schemas.microsoft.com/office/spreadsheetml/2009/9/main" objectType="CheckBox" fmlaLink="$AK$135" lockText="1" noThreeD="1"/>
</file>

<file path=xl/ctrlProps/ctrlProp102.xml><?xml version="1.0" encoding="utf-8"?>
<formControlPr xmlns="http://schemas.microsoft.com/office/spreadsheetml/2009/9/main" objectType="CheckBox" fmlaLink="$AK$136" lockText="1" noThreeD="1"/>
</file>

<file path=xl/ctrlProps/ctrlProp103.xml><?xml version="1.0" encoding="utf-8"?>
<formControlPr xmlns="http://schemas.microsoft.com/office/spreadsheetml/2009/9/main" objectType="CheckBox" fmlaLink="$AK$138" lockText="1" noThreeD="1"/>
</file>

<file path=xl/ctrlProps/ctrlProp104.xml><?xml version="1.0" encoding="utf-8"?>
<formControlPr xmlns="http://schemas.microsoft.com/office/spreadsheetml/2009/9/main" objectType="CheckBox" fmlaLink="$AK$139" lockText="1" noThreeD="1"/>
</file>

<file path=xl/ctrlProps/ctrlProp105.xml><?xml version="1.0" encoding="utf-8"?>
<formControlPr xmlns="http://schemas.microsoft.com/office/spreadsheetml/2009/9/main" objectType="CheckBox" fmlaLink="$AK$140" lockText="1" noThreeD="1"/>
</file>

<file path=xl/ctrlProps/ctrlProp106.xml><?xml version="1.0" encoding="utf-8"?>
<formControlPr xmlns="http://schemas.microsoft.com/office/spreadsheetml/2009/9/main" objectType="CheckBox" fmlaLink="$AK$141" lockText="1" noThreeD="1"/>
</file>

<file path=xl/ctrlProps/ctrlProp107.xml><?xml version="1.0" encoding="utf-8"?>
<formControlPr xmlns="http://schemas.microsoft.com/office/spreadsheetml/2009/9/main" objectType="CheckBox" fmlaLink="$AK$142" lockText="1" noThreeD="1"/>
</file>

<file path=xl/ctrlProps/ctrlProp108.xml><?xml version="1.0" encoding="utf-8"?>
<formControlPr xmlns="http://schemas.microsoft.com/office/spreadsheetml/2009/9/main" objectType="CheckBox" fmlaLink="$AK$143" lockText="1" noThreeD="1"/>
</file>

<file path=xl/ctrlProps/ctrlProp109.xml><?xml version="1.0" encoding="utf-8"?>
<formControlPr xmlns="http://schemas.microsoft.com/office/spreadsheetml/2009/9/main" objectType="CheckBox" fmlaLink="$AK$144" lockText="1" noThreeD="1"/>
</file>

<file path=xl/ctrlProps/ctrlProp11.xml><?xml version="1.0" encoding="utf-8"?>
<formControlPr xmlns="http://schemas.microsoft.com/office/spreadsheetml/2009/9/main" objectType="CheckBox" fmlaLink="$AK$20" lockText="1" noThreeD="1"/>
</file>

<file path=xl/ctrlProps/ctrlProp110.xml><?xml version="1.0" encoding="utf-8"?>
<formControlPr xmlns="http://schemas.microsoft.com/office/spreadsheetml/2009/9/main" objectType="CheckBox" fmlaLink="$AK$145" lockText="1" noThreeD="1"/>
</file>

<file path=xl/ctrlProps/ctrlProp111.xml><?xml version="1.0" encoding="utf-8"?>
<formControlPr xmlns="http://schemas.microsoft.com/office/spreadsheetml/2009/9/main" objectType="CheckBox" fmlaLink="$AK$148" lockText="1" noThreeD="1"/>
</file>

<file path=xl/ctrlProps/ctrlProp112.xml><?xml version="1.0" encoding="utf-8"?>
<formControlPr xmlns="http://schemas.microsoft.com/office/spreadsheetml/2009/9/main" objectType="CheckBox" fmlaLink="$AK$149" lockText="1" noThreeD="1"/>
</file>

<file path=xl/ctrlProps/ctrlProp113.xml><?xml version="1.0" encoding="utf-8"?>
<formControlPr xmlns="http://schemas.microsoft.com/office/spreadsheetml/2009/9/main" objectType="CheckBox" fmlaLink="$AK$150" lockText="1" noThreeD="1"/>
</file>

<file path=xl/ctrlProps/ctrlProp114.xml><?xml version="1.0" encoding="utf-8"?>
<formControlPr xmlns="http://schemas.microsoft.com/office/spreadsheetml/2009/9/main" objectType="CheckBox" fmlaLink="$AK$151" lockText="1" noThreeD="1"/>
</file>

<file path=xl/ctrlProps/ctrlProp115.xml><?xml version="1.0" encoding="utf-8"?>
<formControlPr xmlns="http://schemas.microsoft.com/office/spreadsheetml/2009/9/main" objectType="CheckBox" fmlaLink="$AK$152" lockText="1" noThreeD="1"/>
</file>

<file path=xl/ctrlProps/ctrlProp116.xml><?xml version="1.0" encoding="utf-8"?>
<formControlPr xmlns="http://schemas.microsoft.com/office/spreadsheetml/2009/9/main" objectType="CheckBox" fmlaLink="$AK$153" lockText="1" noThreeD="1"/>
</file>

<file path=xl/ctrlProps/ctrlProp117.xml><?xml version="1.0" encoding="utf-8"?>
<formControlPr xmlns="http://schemas.microsoft.com/office/spreadsheetml/2009/9/main" objectType="CheckBox" fmlaLink="$AK$164" lockText="1" noThreeD="1"/>
</file>

<file path=xl/ctrlProps/ctrlProp118.xml><?xml version="1.0" encoding="utf-8"?>
<formControlPr xmlns="http://schemas.microsoft.com/office/spreadsheetml/2009/9/main" objectType="CheckBox" fmlaLink="$AK$165" lockText="1" noThreeD="1"/>
</file>

<file path=xl/ctrlProps/ctrlProp119.xml><?xml version="1.0" encoding="utf-8"?>
<formControlPr xmlns="http://schemas.microsoft.com/office/spreadsheetml/2009/9/main" objectType="CheckBox" fmlaLink="$AK$166" lockText="1" noThreeD="1"/>
</file>

<file path=xl/ctrlProps/ctrlProp12.xml><?xml version="1.0" encoding="utf-8"?>
<formControlPr xmlns="http://schemas.microsoft.com/office/spreadsheetml/2009/9/main" objectType="CheckBox" fmlaLink="$AK$21" lockText="1" noThreeD="1"/>
</file>

<file path=xl/ctrlProps/ctrlProp120.xml><?xml version="1.0" encoding="utf-8"?>
<formControlPr xmlns="http://schemas.microsoft.com/office/spreadsheetml/2009/9/main" objectType="CheckBox" fmlaLink="$AK$154" lockText="1" noThreeD="1"/>
</file>

<file path=xl/ctrlProps/ctrlProp121.xml><?xml version="1.0" encoding="utf-8"?>
<formControlPr xmlns="http://schemas.microsoft.com/office/spreadsheetml/2009/9/main" objectType="CheckBox" fmlaLink="$AK$155" lockText="1" noThreeD="1"/>
</file>

<file path=xl/ctrlProps/ctrlProp122.xml><?xml version="1.0" encoding="utf-8"?>
<formControlPr xmlns="http://schemas.microsoft.com/office/spreadsheetml/2009/9/main" objectType="CheckBox" fmlaLink="$AK$156" lockText="1" noThreeD="1"/>
</file>

<file path=xl/ctrlProps/ctrlProp123.xml><?xml version="1.0" encoding="utf-8"?>
<formControlPr xmlns="http://schemas.microsoft.com/office/spreadsheetml/2009/9/main" objectType="CheckBox" fmlaLink="$AK$157" lockText="1" noThreeD="1"/>
</file>

<file path=xl/ctrlProps/ctrlProp124.xml><?xml version="1.0" encoding="utf-8"?>
<formControlPr xmlns="http://schemas.microsoft.com/office/spreadsheetml/2009/9/main" objectType="CheckBox" fmlaLink="$AK$158" lockText="1" noThreeD="1"/>
</file>

<file path=xl/ctrlProps/ctrlProp125.xml><?xml version="1.0" encoding="utf-8"?>
<formControlPr xmlns="http://schemas.microsoft.com/office/spreadsheetml/2009/9/main" objectType="CheckBox" fmlaLink="$AK$159" lockText="1" noThreeD="1"/>
</file>

<file path=xl/ctrlProps/ctrlProp126.xml><?xml version="1.0" encoding="utf-8"?>
<formControlPr xmlns="http://schemas.microsoft.com/office/spreadsheetml/2009/9/main" objectType="CheckBox" fmlaLink="$AK$160" lockText="1" noThreeD="1"/>
</file>

<file path=xl/ctrlProps/ctrlProp127.xml><?xml version="1.0" encoding="utf-8"?>
<formControlPr xmlns="http://schemas.microsoft.com/office/spreadsheetml/2009/9/main" objectType="CheckBox" fmlaLink="$AK$161" lockText="1" noThreeD="1"/>
</file>

<file path=xl/ctrlProps/ctrlProp128.xml><?xml version="1.0" encoding="utf-8"?>
<formControlPr xmlns="http://schemas.microsoft.com/office/spreadsheetml/2009/9/main" objectType="CheckBox" fmlaLink="$AK$162" lockText="1" noThreeD="1"/>
</file>

<file path=xl/ctrlProps/ctrlProp129.xml><?xml version="1.0" encoding="utf-8"?>
<formControlPr xmlns="http://schemas.microsoft.com/office/spreadsheetml/2009/9/main" objectType="CheckBox" fmlaLink="$AK$163" lockText="1" noThreeD="1"/>
</file>

<file path=xl/ctrlProps/ctrlProp13.xml><?xml version="1.0" encoding="utf-8"?>
<formControlPr xmlns="http://schemas.microsoft.com/office/spreadsheetml/2009/9/main" objectType="CheckBox" fmlaLink="$AK$22" lockText="1" noThreeD="1"/>
</file>

<file path=xl/ctrlProps/ctrlProp130.xml><?xml version="1.0" encoding="utf-8"?>
<formControlPr xmlns="http://schemas.microsoft.com/office/spreadsheetml/2009/9/main" objectType="CheckBox" fmlaLink="$AK$167" lockText="1" noThreeD="1"/>
</file>

<file path=xl/ctrlProps/ctrlProp131.xml><?xml version="1.0" encoding="utf-8"?>
<formControlPr xmlns="http://schemas.microsoft.com/office/spreadsheetml/2009/9/main" objectType="CheckBox" fmlaLink="$AK$168" lockText="1" noThreeD="1"/>
</file>

<file path=xl/ctrlProps/ctrlProp132.xml><?xml version="1.0" encoding="utf-8"?>
<formControlPr xmlns="http://schemas.microsoft.com/office/spreadsheetml/2009/9/main" objectType="CheckBox" fmlaLink="$AK$170" lockText="1" noThreeD="1"/>
</file>

<file path=xl/ctrlProps/ctrlProp133.xml><?xml version="1.0" encoding="utf-8"?>
<formControlPr xmlns="http://schemas.microsoft.com/office/spreadsheetml/2009/9/main" objectType="CheckBox" fmlaLink="$AK$171" lockText="1" noThreeD="1"/>
</file>

<file path=xl/ctrlProps/ctrlProp134.xml><?xml version="1.0" encoding="utf-8"?>
<formControlPr xmlns="http://schemas.microsoft.com/office/spreadsheetml/2009/9/main" objectType="CheckBox" fmlaLink="$AK$174" lockText="1" noThreeD="1"/>
</file>

<file path=xl/ctrlProps/ctrlProp135.xml><?xml version="1.0" encoding="utf-8"?>
<formControlPr xmlns="http://schemas.microsoft.com/office/spreadsheetml/2009/9/main" objectType="CheckBox" fmlaLink="$AK$175" lockText="1" noThreeD="1"/>
</file>

<file path=xl/ctrlProps/ctrlProp136.xml><?xml version="1.0" encoding="utf-8"?>
<formControlPr xmlns="http://schemas.microsoft.com/office/spreadsheetml/2009/9/main" objectType="CheckBox" fmlaLink="$AK$176" lockText="1" noThreeD="1"/>
</file>

<file path=xl/ctrlProps/ctrlProp137.xml><?xml version="1.0" encoding="utf-8"?>
<formControlPr xmlns="http://schemas.microsoft.com/office/spreadsheetml/2009/9/main" objectType="CheckBox" fmlaLink="$AK$178" lockText="1" noThreeD="1"/>
</file>

<file path=xl/ctrlProps/ctrlProp138.xml><?xml version="1.0" encoding="utf-8"?>
<formControlPr xmlns="http://schemas.microsoft.com/office/spreadsheetml/2009/9/main" objectType="CheckBox" fmlaLink="$AK$179" lockText="1" noThreeD="1"/>
</file>

<file path=xl/ctrlProps/ctrlProp139.xml><?xml version="1.0" encoding="utf-8"?>
<formControlPr xmlns="http://schemas.microsoft.com/office/spreadsheetml/2009/9/main" objectType="CheckBox" fmlaLink="$AK$180" lockText="1" noThreeD="1"/>
</file>

<file path=xl/ctrlProps/ctrlProp14.xml><?xml version="1.0" encoding="utf-8"?>
<formControlPr xmlns="http://schemas.microsoft.com/office/spreadsheetml/2009/9/main" objectType="CheckBox" fmlaLink="$AK$23" lockText="1" noThreeD="1"/>
</file>

<file path=xl/ctrlProps/ctrlProp140.xml><?xml version="1.0" encoding="utf-8"?>
<formControlPr xmlns="http://schemas.microsoft.com/office/spreadsheetml/2009/9/main" objectType="CheckBox" fmlaLink="$AK$181" lockText="1" noThreeD="1"/>
</file>

<file path=xl/ctrlProps/ctrlProp141.xml><?xml version="1.0" encoding="utf-8"?>
<formControlPr xmlns="http://schemas.microsoft.com/office/spreadsheetml/2009/9/main" objectType="CheckBox" fmlaLink="$AK$182" lockText="1" noThreeD="1"/>
</file>

<file path=xl/ctrlProps/ctrlProp142.xml><?xml version="1.0" encoding="utf-8"?>
<formControlPr xmlns="http://schemas.microsoft.com/office/spreadsheetml/2009/9/main" objectType="CheckBox" fmlaLink="$AK$183" lockText="1" noThreeD="1"/>
</file>

<file path=xl/ctrlProps/ctrlProp143.xml><?xml version="1.0" encoding="utf-8"?>
<formControlPr xmlns="http://schemas.microsoft.com/office/spreadsheetml/2009/9/main" objectType="CheckBox" fmlaLink="$AK$173" lockText="1" noThreeD="1"/>
</file>

<file path=xl/ctrlProps/ctrlProp144.xml><?xml version="1.0" encoding="utf-8"?>
<formControlPr xmlns="http://schemas.microsoft.com/office/spreadsheetml/2009/9/main" objectType="CheckBox" fmlaLink="$AK$185" lockText="1" noThreeD="1"/>
</file>

<file path=xl/ctrlProps/ctrlProp145.xml><?xml version="1.0" encoding="utf-8"?>
<formControlPr xmlns="http://schemas.microsoft.com/office/spreadsheetml/2009/9/main" objectType="CheckBox" fmlaLink="$AK$186" lockText="1" noThreeD="1"/>
</file>

<file path=xl/ctrlProps/ctrlProp146.xml><?xml version="1.0" encoding="utf-8"?>
<formControlPr xmlns="http://schemas.microsoft.com/office/spreadsheetml/2009/9/main" objectType="CheckBox" fmlaLink="$AK$187" lockText="1" noThreeD="1"/>
</file>

<file path=xl/ctrlProps/ctrlProp147.xml><?xml version="1.0" encoding="utf-8"?>
<formControlPr xmlns="http://schemas.microsoft.com/office/spreadsheetml/2009/9/main" objectType="CheckBox" fmlaLink="$AK$189" lockText="1" noThreeD="1"/>
</file>

<file path=xl/ctrlProps/ctrlProp148.xml><?xml version="1.0" encoding="utf-8"?>
<formControlPr xmlns="http://schemas.microsoft.com/office/spreadsheetml/2009/9/main" objectType="CheckBox" fmlaLink="$AK$193" lockText="1" noThreeD="1"/>
</file>

<file path=xl/ctrlProps/ctrlProp149.xml><?xml version="1.0" encoding="utf-8"?>
<formControlPr xmlns="http://schemas.microsoft.com/office/spreadsheetml/2009/9/main" objectType="Radio" firstButton="1" fmlaLink="$AB$22" lockText="1" noThreeD="1"/>
</file>

<file path=xl/ctrlProps/ctrlProp15.xml><?xml version="1.0" encoding="utf-8"?>
<formControlPr xmlns="http://schemas.microsoft.com/office/spreadsheetml/2009/9/main" objectType="CheckBox" fmlaLink="$AK$24"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checked="Checked"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checked="Checked" firstButton="1" fmlaLink="$AB$24"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checked="Checked" firstButton="1" fmlaLink="$AB$33"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AK$25"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checked="Checked" firstButton="1" fmlaLink="$AB$40"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fmlaLink="$AB$41" lockText="1" noThreeD="1"/>
</file>

<file path=xl/ctrlProps/ctrlProp166.xml><?xml version="1.0" encoding="utf-8"?>
<formControlPr xmlns="http://schemas.microsoft.com/office/spreadsheetml/2009/9/main" objectType="Radio" checked="Checked"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K$28" lockText="1" noThreeD="1"/>
</file>

<file path=xl/ctrlProps/ctrlProp170.xml><?xml version="1.0" encoding="utf-8"?>
<formControlPr xmlns="http://schemas.microsoft.com/office/spreadsheetml/2009/9/main" objectType="Radio" checked="Checked" firstButton="1" fmlaLink="$AB$42"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firstButton="1" fmlaLink="$AB$44" lockText="1" noThreeD="1"/>
</file>

<file path=xl/ctrlProps/ctrlProp175.xml><?xml version="1.0" encoding="utf-8"?>
<formControlPr xmlns="http://schemas.microsoft.com/office/spreadsheetml/2009/9/main" objectType="Radio" checked="Checked"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checked="Checked" firstButton="1" fmlaLink="$AB$47"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AK$30"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fmlaLink="$AB$59" lockText="1" noThreeD="1"/>
</file>

<file path=xl/ctrlProps/ctrlProp183.xml><?xml version="1.0" encoding="utf-8"?>
<formControlPr xmlns="http://schemas.microsoft.com/office/spreadsheetml/2009/9/main" objectType="Radio" checked="Checked"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fmlaLink="$AB$60" lockText="1" noThreeD="1"/>
</file>

<file path=xl/ctrlProps/ctrlProp187.xml><?xml version="1.0" encoding="utf-8"?>
<formControlPr xmlns="http://schemas.microsoft.com/office/spreadsheetml/2009/9/main" objectType="Radio" checked="Checked"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fmlaLink="$AK$31" lockText="1" noThreeD="1"/>
</file>

<file path=xl/ctrlProps/ctrlProp190.xml><?xml version="1.0" encoding="utf-8"?>
<formControlPr xmlns="http://schemas.microsoft.com/office/spreadsheetml/2009/9/main" objectType="Radio" firstButton="1" fmlaLink="$AB$61" lockText="1" noThreeD="1"/>
</file>

<file path=xl/ctrlProps/ctrlProp191.xml><?xml version="1.0" encoding="utf-8"?>
<formControlPr xmlns="http://schemas.microsoft.com/office/spreadsheetml/2009/9/main" objectType="Radio" checked="Checked"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checked="Checked" firstButton="1" fmlaLink="$AB$85"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fmlaLink="$AB$86"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file>

<file path=xl/ctrlProps/ctrlProp20.xml><?xml version="1.0" encoding="utf-8"?>
<formControlPr xmlns="http://schemas.microsoft.com/office/spreadsheetml/2009/9/main" objectType="CheckBox" fmlaLink="$AK$32" lockText="1"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checked="Checked" firstButton="1" fmlaLink="$AB$88"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checked="Checked" firstButton="1" fmlaLink="$AB$89"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fmlaLink="$AK$33" lockText="1" noThreeD="1"/>
</file>

<file path=xl/ctrlProps/ctrlProp210.xml><?xml version="1.0" encoding="utf-8"?>
<formControlPr xmlns="http://schemas.microsoft.com/office/spreadsheetml/2009/9/main" objectType="Radio" firstButton="1" fmlaLink="$AB$100" lockText="1" noThreeD="1"/>
</file>

<file path=xl/ctrlProps/ctrlProp211.xml><?xml version="1.0" encoding="utf-8"?>
<formControlPr xmlns="http://schemas.microsoft.com/office/spreadsheetml/2009/9/main" objectType="Radio" checked="Checked"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fmlaLink="$AB$136"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checked="Checked"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AB$154"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34" lockText="1" noThreeD="1"/>
</file>

<file path=xl/ctrlProps/ctrlProp220.xml><?xml version="1.0" encoding="utf-8"?>
<formControlPr xmlns="http://schemas.microsoft.com/office/spreadsheetml/2009/9/main" objectType="Radio" checked="Checked"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checked="Checked" firstButton="1" fmlaLink="$AB$189"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CheckBox" fmlaLink="$AK$13" lockText="1" noThreeD="1"/>
</file>

<file path=xl/ctrlProps/ctrlProp227.xml><?xml version="1.0" encoding="utf-8"?>
<formControlPr xmlns="http://schemas.microsoft.com/office/spreadsheetml/2009/9/main" objectType="CheckBox" fmlaLink="$AK$14" lockText="1" noThreeD="1"/>
</file>

<file path=xl/ctrlProps/ctrlProp228.xml><?xml version="1.0" encoding="utf-8"?>
<formControlPr xmlns="http://schemas.microsoft.com/office/spreadsheetml/2009/9/main" objectType="CheckBox" fmlaLink="$AK$15" lockText="1" noThreeD="1"/>
</file>

<file path=xl/ctrlProps/ctrlProp229.xml><?xml version="1.0" encoding="utf-8"?>
<formControlPr xmlns="http://schemas.microsoft.com/office/spreadsheetml/2009/9/main" objectType="CheckBox" fmlaLink="$AK$16" lockText="1" noThreeD="1"/>
</file>

<file path=xl/ctrlProps/ctrlProp23.xml><?xml version="1.0" encoding="utf-8"?>
<formControlPr xmlns="http://schemas.microsoft.com/office/spreadsheetml/2009/9/main" objectType="CheckBox" fmlaLink="$AK$35" lockText="1" noThreeD="1"/>
</file>

<file path=xl/ctrlProps/ctrlProp230.xml><?xml version="1.0" encoding="utf-8"?>
<formControlPr xmlns="http://schemas.microsoft.com/office/spreadsheetml/2009/9/main" objectType="CheckBox" fmlaLink="$AK$17" lockText="1" noThreeD="1"/>
</file>

<file path=xl/ctrlProps/ctrlProp231.xml><?xml version="1.0" encoding="utf-8"?>
<formControlPr xmlns="http://schemas.microsoft.com/office/spreadsheetml/2009/9/main" objectType="CheckBox" fmlaLink="$AK$45" lockText="1" noThreeD="1"/>
</file>

<file path=xl/ctrlProps/ctrlProp232.xml><?xml version="1.0" encoding="utf-8"?>
<formControlPr xmlns="http://schemas.microsoft.com/office/spreadsheetml/2009/9/main" objectType="CheckBox" fmlaLink="$AK$46" lockText="1" noThreeD="1"/>
</file>

<file path=xl/ctrlProps/ctrlProp233.xml><?xml version="1.0" encoding="utf-8"?>
<formControlPr xmlns="http://schemas.microsoft.com/office/spreadsheetml/2009/9/main" objectType="Radio" firstButton="1" fmlaLink="$AB$46"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checked="Checked"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CheckBox" fmlaLink="$AK$54" lockText="1" noThreeD="1"/>
</file>

<file path=xl/ctrlProps/ctrlProp238.xml><?xml version="1.0" encoding="utf-8"?>
<formControlPr xmlns="http://schemas.microsoft.com/office/spreadsheetml/2009/9/main" objectType="CheckBox" fmlaLink="$AK$53" lockText="1" noThreeD="1"/>
</file>

<file path=xl/ctrlProps/ctrlProp239.xml><?xml version="1.0" encoding="utf-8"?>
<formControlPr xmlns="http://schemas.microsoft.com/office/spreadsheetml/2009/9/main" objectType="CheckBox" fmlaLink="$AK$51" lockText="1" noThreeD="1"/>
</file>

<file path=xl/ctrlProps/ctrlProp24.xml><?xml version="1.0" encoding="utf-8"?>
<formControlPr xmlns="http://schemas.microsoft.com/office/spreadsheetml/2009/9/main" objectType="CheckBox" fmlaLink="$AK$36" lockText="1" noThreeD="1"/>
</file>

<file path=xl/ctrlProps/ctrlProp240.xml><?xml version="1.0" encoding="utf-8"?>
<formControlPr xmlns="http://schemas.microsoft.com/office/spreadsheetml/2009/9/main" objectType="Radio" checked="Checked" firstButton="1" fmlaLink="$AB$51"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CheckBox" fmlaLink="$AK$53" lockText="1" noThreeD="1"/>
</file>

<file path=xl/ctrlProps/ctrlProp245.xml><?xml version="1.0" encoding="utf-8"?>
<formControlPr xmlns="http://schemas.microsoft.com/office/spreadsheetml/2009/9/main" objectType="CheckBox" fmlaLink="$AK$52" lockText="1" noThreeD="1"/>
</file>

<file path=xl/ctrlProps/ctrlProp246.xml><?xml version="1.0" encoding="utf-8"?>
<formControlPr xmlns="http://schemas.microsoft.com/office/spreadsheetml/2009/9/main" objectType="Radio" checked="Checked" firstButton="1" fmlaLink="$AB$52"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fmlaLink="$AK$37" lockText="1" noThreeD="1"/>
</file>

<file path=xl/ctrlProps/ctrlProp250.xml><?xml version="1.0" encoding="utf-8"?>
<formControlPr xmlns="http://schemas.microsoft.com/office/spreadsheetml/2009/9/main" objectType="CheckBox" fmlaLink="$AK$66" lockText="1" noThreeD="1"/>
</file>

<file path=xl/ctrlProps/ctrlProp251.xml><?xml version="1.0" encoding="utf-8"?>
<formControlPr xmlns="http://schemas.microsoft.com/office/spreadsheetml/2009/9/main" objectType="Radio" firstButton="1" fmlaLink="$AB$66"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checked="Checked" lockText="1"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CheckBox" fmlaLink="$AK$82" lockText="1" noThreeD="1"/>
</file>

<file path=xl/ctrlProps/ctrlProp256.xml><?xml version="1.0" encoding="utf-8"?>
<formControlPr xmlns="http://schemas.microsoft.com/office/spreadsheetml/2009/9/main" objectType="CheckBox" fmlaLink="$AK$83" lockText="1" noThreeD="1"/>
</file>

<file path=xl/ctrlProps/ctrlProp257.xml><?xml version="1.0" encoding="utf-8"?>
<formControlPr xmlns="http://schemas.microsoft.com/office/spreadsheetml/2009/9/main" objectType="CheckBox" fmlaLink="$AK$84" lockText="1" noThreeD="1"/>
</file>

<file path=xl/ctrlProps/ctrlProp258.xml><?xml version="1.0" encoding="utf-8"?>
<formControlPr xmlns="http://schemas.microsoft.com/office/spreadsheetml/2009/9/main" objectType="CheckBox" fmlaLink="$AK$92" lockText="1" noThreeD="1"/>
</file>

<file path=xl/ctrlProps/ctrlProp259.xml><?xml version="1.0" encoding="utf-8"?>
<formControlPr xmlns="http://schemas.microsoft.com/office/spreadsheetml/2009/9/main" objectType="CheckBox" fmlaLink="$AK$132" lockText="1" noThreeD="1"/>
</file>

<file path=xl/ctrlProps/ctrlProp26.xml><?xml version="1.0" encoding="utf-8"?>
<formControlPr xmlns="http://schemas.microsoft.com/office/spreadsheetml/2009/9/main" objectType="CheckBox" fmlaLink="$AK$38" lockText="1" noThreeD="1"/>
</file>

<file path=xl/ctrlProps/ctrlProp260.xml><?xml version="1.0" encoding="utf-8"?>
<formControlPr xmlns="http://schemas.microsoft.com/office/spreadsheetml/2009/9/main" objectType="CheckBox" fmlaLink="$AK$146" lockText="1" noThreeD="1"/>
</file>

<file path=xl/ctrlProps/ctrlProp261.xml><?xml version="1.0" encoding="utf-8"?>
<formControlPr xmlns="http://schemas.microsoft.com/office/spreadsheetml/2009/9/main" objectType="CheckBox" fmlaLink="$AK$147" lockText="1" noThreeD="1"/>
</file>

<file path=xl/ctrlProps/ctrlProp262.xml><?xml version="1.0" encoding="utf-8"?>
<formControlPr xmlns="http://schemas.microsoft.com/office/spreadsheetml/2009/9/main" objectType="CheckBox" fmlaLink="$AK$91" lockText="1" noThreeD="1"/>
</file>

<file path=xl/ctrlProps/ctrlProp263.xml><?xml version="1.0" encoding="utf-8"?>
<formControlPr xmlns="http://schemas.microsoft.com/office/spreadsheetml/2009/9/main" objectType="CheckBox" fmlaLink="$AK$172" lockText="1" noThreeD="1"/>
</file>

<file path=xl/ctrlProps/ctrlProp264.xml><?xml version="1.0" encoding="utf-8"?>
<formControlPr xmlns="http://schemas.microsoft.com/office/spreadsheetml/2009/9/main" objectType="CheckBox" fmlaLink="$AK$108" lockText="1" noThreeD="1"/>
</file>

<file path=xl/ctrlProps/ctrlProp265.xml><?xml version="1.0" encoding="utf-8"?>
<formControlPr xmlns="http://schemas.microsoft.com/office/spreadsheetml/2009/9/main" objectType="CheckBox" fmlaLink="$AK$64" lockText="1" noThreeD="1"/>
</file>

<file path=xl/ctrlProps/ctrlProp266.xml><?xml version="1.0" encoding="utf-8"?>
<formControlPr xmlns="http://schemas.microsoft.com/office/spreadsheetml/2009/9/main" objectType="CheckBox" fmlaLink="$AK$169" lockText="1" noThreeD="1"/>
</file>

<file path=xl/ctrlProps/ctrlProp267.xml><?xml version="1.0" encoding="utf-8"?>
<formControlPr xmlns="http://schemas.microsoft.com/office/spreadsheetml/2009/9/main" objectType="CheckBox" fmlaLink="$AK$191" lockText="1" noThreeD="1"/>
</file>

<file path=xl/ctrlProps/ctrlProp268.xml><?xml version="1.0" encoding="utf-8"?>
<formControlPr xmlns="http://schemas.microsoft.com/office/spreadsheetml/2009/9/main" objectType="CheckBox" fmlaLink="$AK$195" lockText="1" noThreeD="1"/>
</file>

<file path=xl/ctrlProps/ctrlProp269.xml><?xml version="1.0" encoding="utf-8"?>
<formControlPr xmlns="http://schemas.microsoft.com/office/spreadsheetml/2009/9/main" objectType="CheckBox" fmlaLink="$AK$196" lockText="1" noThreeD="1"/>
</file>

<file path=xl/ctrlProps/ctrlProp27.xml><?xml version="1.0" encoding="utf-8"?>
<formControlPr xmlns="http://schemas.microsoft.com/office/spreadsheetml/2009/9/main" objectType="CheckBox" fmlaLink="$AK$39" lockText="1" noThreeD="1"/>
</file>

<file path=xl/ctrlProps/ctrlProp270.xml><?xml version="1.0" encoding="utf-8"?>
<formControlPr xmlns="http://schemas.microsoft.com/office/spreadsheetml/2009/9/main" objectType="Radio" firstButton="1" fmlaLink="$AB$196"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checked="Checked"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CheckBox" fmlaLink="$AK$197" lockText="1" noThreeD="1"/>
</file>

<file path=xl/ctrlProps/ctrlProp275.xml><?xml version="1.0" encoding="utf-8"?>
<formControlPr xmlns="http://schemas.microsoft.com/office/spreadsheetml/2009/9/main" objectType="Radio" firstButton="1" fmlaLink="$AB$197"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checked="Checked" lockText="1"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Radio" firstButton="1" fmlaLink="$AB$195" lockText="1" noThreeD="1"/>
</file>

<file path=xl/ctrlProps/ctrlProp28.xml><?xml version="1.0" encoding="utf-8"?>
<formControlPr xmlns="http://schemas.microsoft.com/office/spreadsheetml/2009/9/main" objectType="CheckBox" fmlaLink="$AK$40"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checked="Checked" lockText="1"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fmlaLink="$AB$172" lockText="1" noThreeD="1"/>
</file>

<file path=xl/ctrlProps/ctrlProp286.xml><?xml version="1.0" encoding="utf-8"?>
<formControlPr xmlns="http://schemas.microsoft.com/office/spreadsheetml/2009/9/main" objectType="Radio" checked="Checked"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fmlaLink="$AB$169" lockText="1" noThreeD="1"/>
</file>

<file path=xl/ctrlProps/ctrlProp29.xml><?xml version="1.0" encoding="utf-8"?>
<formControlPr xmlns="http://schemas.microsoft.com/office/spreadsheetml/2009/9/main" objectType="CheckBox" fmlaLink="$AK$41"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checked="Checked" lockText="1"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Radio" firstButton="1" fmlaLink="$AB$108"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checked="Checked" lockText="1"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CheckBox" fmlaLink="$AK$188" lockText="1" noThreeD="1"/>
</file>

<file path=xl/ctrlProps/ctrlProp299.xml><?xml version="1.0" encoding="utf-8"?>
<formControlPr xmlns="http://schemas.microsoft.com/office/spreadsheetml/2009/9/main" objectType="CheckBox" fmlaLink="$AK$137" lockText="1" noThreeD="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CheckBox" fmlaLink="$AK$42" lockText="1" noThreeD="1"/>
</file>

<file path=xl/ctrlProps/ctrlProp300.xml><?xml version="1.0" encoding="utf-8"?>
<formControlPr xmlns="http://schemas.microsoft.com/office/spreadsheetml/2009/9/main" objectType="CheckBox" fmlaLink="$AK$192" lockText="1" noThreeD="1"/>
</file>

<file path=xl/ctrlProps/ctrlProp301.xml><?xml version="1.0" encoding="utf-8"?>
<formControlPr xmlns="http://schemas.microsoft.com/office/spreadsheetml/2009/9/main" objectType="Radio" checked="Checked" firstButton="1" fmlaLink="$AB$99"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AB$91"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checked="Checked" lockText="1"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Radio" checked="Checked" firstButton="1" fmlaLink="$AB$64" lockText="1" noThreeD="1"/>
</file>

<file path=xl/ctrlProps/ctrlProp31.xml><?xml version="1.0" encoding="utf-8"?>
<formControlPr xmlns="http://schemas.microsoft.com/office/spreadsheetml/2009/9/main" objectType="CheckBox" fmlaLink="$AK$43"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CheckBox" fmlaLink="$AK$194" lockText="1" noThreeD="1"/>
</file>

<file path=xl/ctrlProps/ctrlProp32.xml><?xml version="1.0" encoding="utf-8"?>
<formControlPr xmlns="http://schemas.microsoft.com/office/spreadsheetml/2009/9/main" objectType="CheckBox" fmlaLink="$AK$44" lockText="1" noThreeD="1"/>
</file>

<file path=xl/ctrlProps/ctrlProp33.xml><?xml version="1.0" encoding="utf-8"?>
<formControlPr xmlns="http://schemas.microsoft.com/office/spreadsheetml/2009/9/main" objectType="CheckBox" fmlaLink="$AK$47" lockText="1" noThreeD="1"/>
</file>

<file path=xl/ctrlProps/ctrlProp34.xml><?xml version="1.0" encoding="utf-8"?>
<formControlPr xmlns="http://schemas.microsoft.com/office/spreadsheetml/2009/9/main" objectType="CheckBox" fmlaLink="$AK$48" lockText="1" noThreeD="1"/>
</file>

<file path=xl/ctrlProps/ctrlProp35.xml><?xml version="1.0" encoding="utf-8"?>
<formControlPr xmlns="http://schemas.microsoft.com/office/spreadsheetml/2009/9/main" objectType="CheckBox" fmlaLink="$AK$49" lockText="1" noThreeD="1"/>
</file>

<file path=xl/ctrlProps/ctrlProp36.xml><?xml version="1.0" encoding="utf-8"?>
<formControlPr xmlns="http://schemas.microsoft.com/office/spreadsheetml/2009/9/main" objectType="CheckBox" fmlaLink="$AK$50" lockText="1" noThreeD="1"/>
</file>

<file path=xl/ctrlProps/ctrlProp37.xml><?xml version="1.0" encoding="utf-8"?>
<formControlPr xmlns="http://schemas.microsoft.com/office/spreadsheetml/2009/9/main" objectType="CheckBox" fmlaLink="$AK$53" lockText="1" noThreeD="1"/>
</file>

<file path=xl/ctrlProps/ctrlProp38.xml><?xml version="1.0" encoding="utf-8"?>
<formControlPr xmlns="http://schemas.microsoft.com/office/spreadsheetml/2009/9/main" objectType="CheckBox" fmlaLink="$AK$54" lockText="1" noThreeD="1"/>
</file>

<file path=xl/ctrlProps/ctrlProp39.xml><?xml version="1.0" encoding="utf-8"?>
<formControlPr xmlns="http://schemas.microsoft.com/office/spreadsheetml/2009/9/main" objectType="CheckBox" fmlaLink="$AK$55" lockText="1" noThreeD="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CheckBox" fmlaLink="$AK$56" lockText="1" noThreeD="1"/>
</file>

<file path=xl/ctrlProps/ctrlProp41.xml><?xml version="1.0" encoding="utf-8"?>
<formControlPr xmlns="http://schemas.microsoft.com/office/spreadsheetml/2009/9/main" objectType="CheckBox" fmlaLink="$AK$57" lockText="1" noThreeD="1"/>
</file>

<file path=xl/ctrlProps/ctrlProp42.xml><?xml version="1.0" encoding="utf-8"?>
<formControlPr xmlns="http://schemas.microsoft.com/office/spreadsheetml/2009/9/main" objectType="CheckBox" fmlaLink="$AK$58" lockText="1" noThreeD="1"/>
</file>

<file path=xl/ctrlProps/ctrlProp43.xml><?xml version="1.0" encoding="utf-8"?>
<formControlPr xmlns="http://schemas.microsoft.com/office/spreadsheetml/2009/9/main" objectType="CheckBox" fmlaLink="$AK$59" lockText="1" noThreeD="1"/>
</file>

<file path=xl/ctrlProps/ctrlProp44.xml><?xml version="1.0" encoding="utf-8"?>
<formControlPr xmlns="http://schemas.microsoft.com/office/spreadsheetml/2009/9/main" objectType="CheckBox" fmlaLink="$AK$60" lockText="1" noThreeD="1"/>
</file>

<file path=xl/ctrlProps/ctrlProp45.xml><?xml version="1.0" encoding="utf-8"?>
<formControlPr xmlns="http://schemas.microsoft.com/office/spreadsheetml/2009/9/main" objectType="CheckBox" fmlaLink="$AK$61" lockText="1" noThreeD="1"/>
</file>

<file path=xl/ctrlProps/ctrlProp46.xml><?xml version="1.0" encoding="utf-8"?>
<formControlPr xmlns="http://schemas.microsoft.com/office/spreadsheetml/2009/9/main" objectType="CheckBox" fmlaLink="$AK$62" lockText="1" noThreeD="1"/>
</file>

<file path=xl/ctrlProps/ctrlProp47.xml><?xml version="1.0" encoding="utf-8"?>
<formControlPr xmlns="http://schemas.microsoft.com/office/spreadsheetml/2009/9/main" objectType="CheckBox" fmlaLink="$AK$63" lockText="1" noThreeD="1"/>
</file>

<file path=xl/ctrlProps/ctrlProp48.xml><?xml version="1.0" encoding="utf-8"?>
<formControlPr xmlns="http://schemas.microsoft.com/office/spreadsheetml/2009/9/main" objectType="CheckBox" fmlaLink="$AK$65" lockText="1" noThreeD="1"/>
</file>

<file path=xl/ctrlProps/ctrlProp49.xml><?xml version="1.0" encoding="utf-8"?>
<formControlPr xmlns="http://schemas.microsoft.com/office/spreadsheetml/2009/9/main" objectType="CheckBox" fmlaLink="$AK$67" lockText="1" noThreeD="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CheckBox" fmlaLink="$AK$68" lockText="1" noThreeD="1"/>
</file>

<file path=xl/ctrlProps/ctrlProp51.xml><?xml version="1.0" encoding="utf-8"?>
<formControlPr xmlns="http://schemas.microsoft.com/office/spreadsheetml/2009/9/main" objectType="CheckBox" fmlaLink="$AK$69" lockText="1" noThreeD="1"/>
</file>

<file path=xl/ctrlProps/ctrlProp52.xml><?xml version="1.0" encoding="utf-8"?>
<formControlPr xmlns="http://schemas.microsoft.com/office/spreadsheetml/2009/9/main" objectType="CheckBox" fmlaLink="$AK$70" lockText="1" noThreeD="1"/>
</file>

<file path=xl/ctrlProps/ctrlProp53.xml><?xml version="1.0" encoding="utf-8"?>
<formControlPr xmlns="http://schemas.microsoft.com/office/spreadsheetml/2009/9/main" objectType="CheckBox" fmlaLink="$AK$71" lockText="1" noThreeD="1"/>
</file>

<file path=xl/ctrlProps/ctrlProp54.xml><?xml version="1.0" encoding="utf-8"?>
<formControlPr xmlns="http://schemas.microsoft.com/office/spreadsheetml/2009/9/main" objectType="CheckBox" fmlaLink="$AK$72" lockText="1" noThreeD="1"/>
</file>

<file path=xl/ctrlProps/ctrlProp55.xml><?xml version="1.0" encoding="utf-8"?>
<formControlPr xmlns="http://schemas.microsoft.com/office/spreadsheetml/2009/9/main" objectType="CheckBox" fmlaLink="$AK$73" lockText="1" noThreeD="1"/>
</file>

<file path=xl/ctrlProps/ctrlProp56.xml><?xml version="1.0" encoding="utf-8"?>
<formControlPr xmlns="http://schemas.microsoft.com/office/spreadsheetml/2009/9/main" objectType="CheckBox" fmlaLink="$AK$74" lockText="1" noThreeD="1"/>
</file>

<file path=xl/ctrlProps/ctrlProp57.xml><?xml version="1.0" encoding="utf-8"?>
<formControlPr xmlns="http://schemas.microsoft.com/office/spreadsheetml/2009/9/main" objectType="CheckBox" fmlaLink="$AK$75" lockText="1" noThreeD="1"/>
</file>

<file path=xl/ctrlProps/ctrlProp58.xml><?xml version="1.0" encoding="utf-8"?>
<formControlPr xmlns="http://schemas.microsoft.com/office/spreadsheetml/2009/9/main" objectType="CheckBox" fmlaLink="$AK$76" lockText="1" noThreeD="1"/>
</file>

<file path=xl/ctrlProps/ctrlProp59.xml><?xml version="1.0" encoding="utf-8"?>
<formControlPr xmlns="http://schemas.microsoft.com/office/spreadsheetml/2009/9/main" objectType="CheckBox" fmlaLink="$AK$77" lockText="1" noThreeD="1"/>
</file>

<file path=xl/ctrlProps/ctrlProp6.xml><?xml version="1.0" encoding="utf-8"?>
<formControlPr xmlns="http://schemas.microsoft.com/office/spreadsheetml/2009/9/main" objectType="CheckBox" fmlaLink="$AK$9" lockText="1" noThreeD="1"/>
</file>

<file path=xl/ctrlProps/ctrlProp60.xml><?xml version="1.0" encoding="utf-8"?>
<formControlPr xmlns="http://schemas.microsoft.com/office/spreadsheetml/2009/9/main" objectType="CheckBox" fmlaLink="$AK$78" lockText="1" noThreeD="1"/>
</file>

<file path=xl/ctrlProps/ctrlProp61.xml><?xml version="1.0" encoding="utf-8"?>
<formControlPr xmlns="http://schemas.microsoft.com/office/spreadsheetml/2009/9/main" objectType="CheckBox" fmlaLink="$AK$79" lockText="1" noThreeD="1"/>
</file>

<file path=xl/ctrlProps/ctrlProp62.xml><?xml version="1.0" encoding="utf-8"?>
<formControlPr xmlns="http://schemas.microsoft.com/office/spreadsheetml/2009/9/main" objectType="CheckBox" fmlaLink="$AK$80" lockText="1" noThreeD="1"/>
</file>

<file path=xl/ctrlProps/ctrlProp63.xml><?xml version="1.0" encoding="utf-8"?>
<formControlPr xmlns="http://schemas.microsoft.com/office/spreadsheetml/2009/9/main" objectType="CheckBox" fmlaLink="$AK$81" lockText="1" noThreeD="1"/>
</file>

<file path=xl/ctrlProps/ctrlProp64.xml><?xml version="1.0" encoding="utf-8"?>
<formControlPr xmlns="http://schemas.microsoft.com/office/spreadsheetml/2009/9/main" objectType="CheckBox" fmlaLink="$AK$85" lockText="1" noThreeD="1"/>
</file>

<file path=xl/ctrlProps/ctrlProp65.xml><?xml version="1.0" encoding="utf-8"?>
<formControlPr xmlns="http://schemas.microsoft.com/office/spreadsheetml/2009/9/main" objectType="CheckBox" fmlaLink="$AK$86" lockText="1" noThreeD="1"/>
</file>

<file path=xl/ctrlProps/ctrlProp66.xml><?xml version="1.0" encoding="utf-8"?>
<formControlPr xmlns="http://schemas.microsoft.com/office/spreadsheetml/2009/9/main" objectType="CheckBox" fmlaLink="$AK$87" lockText="1" noThreeD="1"/>
</file>

<file path=xl/ctrlProps/ctrlProp67.xml><?xml version="1.0" encoding="utf-8"?>
<formControlPr xmlns="http://schemas.microsoft.com/office/spreadsheetml/2009/9/main" objectType="CheckBox" fmlaLink="$AK$88" lockText="1" noThreeD="1"/>
</file>

<file path=xl/ctrlProps/ctrlProp68.xml><?xml version="1.0" encoding="utf-8"?>
<formControlPr xmlns="http://schemas.microsoft.com/office/spreadsheetml/2009/9/main" objectType="CheckBox" fmlaLink="$AK$89" lockText="1" noThreeD="1"/>
</file>

<file path=xl/ctrlProps/ctrlProp69.xml><?xml version="1.0" encoding="utf-8"?>
<formControlPr xmlns="http://schemas.microsoft.com/office/spreadsheetml/2009/9/main" objectType="CheckBox" fmlaLink="$AK$90" lockText="1" noThreeD="1"/>
</file>

<file path=xl/ctrlProps/ctrlProp7.xml><?xml version="1.0" encoding="utf-8"?>
<formControlPr xmlns="http://schemas.microsoft.com/office/spreadsheetml/2009/9/main" objectType="CheckBox" fmlaLink="$AK$10" lockText="1" noThreeD="1"/>
</file>

<file path=xl/ctrlProps/ctrlProp70.xml><?xml version="1.0" encoding="utf-8"?>
<formControlPr xmlns="http://schemas.microsoft.com/office/spreadsheetml/2009/9/main" objectType="CheckBox" fmlaLink="$AK$93" lockText="1" noThreeD="1"/>
</file>

<file path=xl/ctrlProps/ctrlProp71.xml><?xml version="1.0" encoding="utf-8"?>
<formControlPr xmlns="http://schemas.microsoft.com/office/spreadsheetml/2009/9/main" objectType="CheckBox" fmlaLink="$AK$94" lockText="1" noThreeD="1"/>
</file>

<file path=xl/ctrlProps/ctrlProp72.xml><?xml version="1.0" encoding="utf-8"?>
<formControlPr xmlns="http://schemas.microsoft.com/office/spreadsheetml/2009/9/main" objectType="CheckBox" fmlaLink="$AK$95" lockText="1" noThreeD="1"/>
</file>

<file path=xl/ctrlProps/ctrlProp73.xml><?xml version="1.0" encoding="utf-8"?>
<formControlPr xmlns="http://schemas.microsoft.com/office/spreadsheetml/2009/9/main" objectType="CheckBox" fmlaLink="$AK$96" lockText="1" noThreeD="1"/>
</file>

<file path=xl/ctrlProps/ctrlProp74.xml><?xml version="1.0" encoding="utf-8"?>
<formControlPr xmlns="http://schemas.microsoft.com/office/spreadsheetml/2009/9/main" objectType="CheckBox" fmlaLink="$AK$97" lockText="1" noThreeD="1"/>
</file>

<file path=xl/ctrlProps/ctrlProp75.xml><?xml version="1.0" encoding="utf-8"?>
<formControlPr xmlns="http://schemas.microsoft.com/office/spreadsheetml/2009/9/main" objectType="CheckBox" fmlaLink="$AK$98" lockText="1" noThreeD="1"/>
</file>

<file path=xl/ctrlProps/ctrlProp76.xml><?xml version="1.0" encoding="utf-8"?>
<formControlPr xmlns="http://schemas.microsoft.com/office/spreadsheetml/2009/9/main" objectType="CheckBox" fmlaLink="$AK$99" lockText="1" noThreeD="1"/>
</file>

<file path=xl/ctrlProps/ctrlProp77.xml><?xml version="1.0" encoding="utf-8"?>
<formControlPr xmlns="http://schemas.microsoft.com/office/spreadsheetml/2009/9/main" objectType="CheckBox" fmlaLink="$AK$100" lockText="1" noThreeD="1"/>
</file>

<file path=xl/ctrlProps/ctrlProp78.xml><?xml version="1.0" encoding="utf-8"?>
<formControlPr xmlns="http://schemas.microsoft.com/office/spreadsheetml/2009/9/main" objectType="CheckBox" fmlaLink="$AK$102" lockText="1" noThreeD="1"/>
</file>

<file path=xl/ctrlProps/ctrlProp79.xml><?xml version="1.0" encoding="utf-8"?>
<formControlPr xmlns="http://schemas.microsoft.com/office/spreadsheetml/2009/9/main" objectType="CheckBox" fmlaLink="$AK$109" lockText="1" noThreeD="1"/>
</file>

<file path=xl/ctrlProps/ctrlProp8.xml><?xml version="1.0" encoding="utf-8"?>
<formControlPr xmlns="http://schemas.microsoft.com/office/spreadsheetml/2009/9/main" objectType="CheckBox" fmlaLink="$AK$11" lockText="1" noThreeD="1"/>
</file>

<file path=xl/ctrlProps/ctrlProp80.xml><?xml version="1.0" encoding="utf-8"?>
<formControlPr xmlns="http://schemas.microsoft.com/office/spreadsheetml/2009/9/main" objectType="CheckBox" fmlaLink="$AK$110" lockText="1" noThreeD="1"/>
</file>

<file path=xl/ctrlProps/ctrlProp81.xml><?xml version="1.0" encoding="utf-8"?>
<formControlPr xmlns="http://schemas.microsoft.com/office/spreadsheetml/2009/9/main" objectType="CheckBox" fmlaLink="$AK$111" lockText="1" noThreeD="1"/>
</file>

<file path=xl/ctrlProps/ctrlProp82.xml><?xml version="1.0" encoding="utf-8"?>
<formControlPr xmlns="http://schemas.microsoft.com/office/spreadsheetml/2009/9/main" objectType="CheckBox" fmlaLink="$AK$112" lockText="1" noThreeD="1"/>
</file>

<file path=xl/ctrlProps/ctrlProp83.xml><?xml version="1.0" encoding="utf-8"?>
<formControlPr xmlns="http://schemas.microsoft.com/office/spreadsheetml/2009/9/main" objectType="CheckBox" fmlaLink="$AK$113" lockText="1" noThreeD="1"/>
</file>

<file path=xl/ctrlProps/ctrlProp84.xml><?xml version="1.0" encoding="utf-8"?>
<formControlPr xmlns="http://schemas.microsoft.com/office/spreadsheetml/2009/9/main" objectType="CheckBox" fmlaLink="$AK$114" lockText="1" noThreeD="1"/>
</file>

<file path=xl/ctrlProps/ctrlProp85.xml><?xml version="1.0" encoding="utf-8"?>
<formControlPr xmlns="http://schemas.microsoft.com/office/spreadsheetml/2009/9/main" objectType="CheckBox" fmlaLink="$AK$115" lockText="1" noThreeD="1"/>
</file>

<file path=xl/ctrlProps/ctrlProp86.xml><?xml version="1.0" encoding="utf-8"?>
<formControlPr xmlns="http://schemas.microsoft.com/office/spreadsheetml/2009/9/main" objectType="CheckBox" fmlaLink="$AK$116" lockText="1" noThreeD="1"/>
</file>

<file path=xl/ctrlProps/ctrlProp87.xml><?xml version="1.0" encoding="utf-8"?>
<formControlPr xmlns="http://schemas.microsoft.com/office/spreadsheetml/2009/9/main" objectType="CheckBox" fmlaLink="$AK$117" lockText="1" noThreeD="1"/>
</file>

<file path=xl/ctrlProps/ctrlProp88.xml><?xml version="1.0" encoding="utf-8"?>
<formControlPr xmlns="http://schemas.microsoft.com/office/spreadsheetml/2009/9/main" objectType="CheckBox" fmlaLink="$AK$118" lockText="1" noThreeD="1"/>
</file>

<file path=xl/ctrlProps/ctrlProp89.xml><?xml version="1.0" encoding="utf-8"?>
<formControlPr xmlns="http://schemas.microsoft.com/office/spreadsheetml/2009/9/main" objectType="CheckBox" fmlaLink="$AK$119" lockText="1" noThreeD="1"/>
</file>

<file path=xl/ctrlProps/ctrlProp9.xml><?xml version="1.0" encoding="utf-8"?>
<formControlPr xmlns="http://schemas.microsoft.com/office/spreadsheetml/2009/9/main" objectType="CheckBox" fmlaLink="$AK$18" lockText="1" noThreeD="1"/>
</file>

<file path=xl/ctrlProps/ctrlProp90.xml><?xml version="1.0" encoding="utf-8"?>
<formControlPr xmlns="http://schemas.microsoft.com/office/spreadsheetml/2009/9/main" objectType="CheckBox" fmlaLink="$AK$120" lockText="1" noThreeD="1"/>
</file>

<file path=xl/ctrlProps/ctrlProp91.xml><?xml version="1.0" encoding="utf-8"?>
<formControlPr xmlns="http://schemas.microsoft.com/office/spreadsheetml/2009/9/main" objectType="CheckBox" fmlaLink="$AK$121" lockText="1" noThreeD="1"/>
</file>

<file path=xl/ctrlProps/ctrlProp92.xml><?xml version="1.0" encoding="utf-8"?>
<formControlPr xmlns="http://schemas.microsoft.com/office/spreadsheetml/2009/9/main" objectType="CheckBox" fmlaLink="$AK$122" lockText="1" noThreeD="1"/>
</file>

<file path=xl/ctrlProps/ctrlProp93.xml><?xml version="1.0" encoding="utf-8"?>
<formControlPr xmlns="http://schemas.microsoft.com/office/spreadsheetml/2009/9/main" objectType="CheckBox" fmlaLink="$AK$123" lockText="1" noThreeD="1"/>
</file>

<file path=xl/ctrlProps/ctrlProp94.xml><?xml version="1.0" encoding="utf-8"?>
<formControlPr xmlns="http://schemas.microsoft.com/office/spreadsheetml/2009/9/main" objectType="CheckBox" fmlaLink="$AK$124" lockText="1" noThreeD="1"/>
</file>

<file path=xl/ctrlProps/ctrlProp95.xml><?xml version="1.0" encoding="utf-8"?>
<formControlPr xmlns="http://schemas.microsoft.com/office/spreadsheetml/2009/9/main" objectType="CheckBox" fmlaLink="$AK$125" lockText="1" noThreeD="1"/>
</file>

<file path=xl/ctrlProps/ctrlProp96.xml><?xml version="1.0" encoding="utf-8"?>
<formControlPr xmlns="http://schemas.microsoft.com/office/spreadsheetml/2009/9/main" objectType="CheckBox" fmlaLink="$AK$128" lockText="1" noThreeD="1"/>
</file>

<file path=xl/ctrlProps/ctrlProp97.xml><?xml version="1.0" encoding="utf-8"?>
<formControlPr xmlns="http://schemas.microsoft.com/office/spreadsheetml/2009/9/main" objectType="CheckBox" fmlaLink="$AK$130" lockText="1" noThreeD="1"/>
</file>

<file path=xl/ctrlProps/ctrlProp98.xml><?xml version="1.0" encoding="utf-8"?>
<formControlPr xmlns="http://schemas.microsoft.com/office/spreadsheetml/2009/9/main" objectType="CheckBox" fmlaLink="$AK$131" lockText="1" noThreeD="1"/>
</file>

<file path=xl/ctrlProps/ctrlProp99.xml><?xml version="1.0" encoding="utf-8"?>
<formControlPr xmlns="http://schemas.microsoft.com/office/spreadsheetml/2009/9/main" objectType="CheckBox" fmlaLink="$AK$1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image" Target="../media/image10.png"/><Relationship Id="rId18" Type="http://schemas.openxmlformats.org/officeDocument/2006/relationships/image" Target="../media/image15.png"/><Relationship Id="rId26" Type="http://schemas.openxmlformats.org/officeDocument/2006/relationships/image" Target="../media/image22.png"/><Relationship Id="rId3" Type="http://schemas.openxmlformats.org/officeDocument/2006/relationships/chart" Target="../charts/chart14.xml"/><Relationship Id="rId21" Type="http://schemas.openxmlformats.org/officeDocument/2006/relationships/image" Target="../media/image18.png"/><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image" Target="../media/image14.png"/><Relationship Id="rId25" Type="http://schemas.openxmlformats.org/officeDocument/2006/relationships/chart" Target="../charts/chart24.xml"/><Relationship Id="rId2" Type="http://schemas.openxmlformats.org/officeDocument/2006/relationships/chart" Target="../charts/chart13.xml"/><Relationship Id="rId16" Type="http://schemas.openxmlformats.org/officeDocument/2006/relationships/image" Target="../media/image13.png"/><Relationship Id="rId20" Type="http://schemas.openxmlformats.org/officeDocument/2006/relationships/image" Target="../media/image17.png"/><Relationship Id="rId1" Type="http://schemas.openxmlformats.org/officeDocument/2006/relationships/image" Target="../media/image2.emf"/><Relationship Id="rId6" Type="http://schemas.openxmlformats.org/officeDocument/2006/relationships/chart" Target="../charts/chart17.xml"/><Relationship Id="rId11" Type="http://schemas.openxmlformats.org/officeDocument/2006/relationships/chart" Target="../charts/chart22.xml"/><Relationship Id="rId24" Type="http://schemas.openxmlformats.org/officeDocument/2006/relationships/image" Target="../media/image21.png"/><Relationship Id="rId5" Type="http://schemas.openxmlformats.org/officeDocument/2006/relationships/chart" Target="../charts/chart16.xml"/><Relationship Id="rId15" Type="http://schemas.openxmlformats.org/officeDocument/2006/relationships/image" Target="../media/image12.png"/><Relationship Id="rId23" Type="http://schemas.openxmlformats.org/officeDocument/2006/relationships/image" Target="../media/image20.png"/><Relationship Id="rId10" Type="http://schemas.openxmlformats.org/officeDocument/2006/relationships/chart" Target="../charts/chart21.xml"/><Relationship Id="rId19" Type="http://schemas.openxmlformats.org/officeDocument/2006/relationships/image" Target="../media/image16.png"/><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image" Target="../media/image11.png"/><Relationship Id="rId22" Type="http://schemas.openxmlformats.org/officeDocument/2006/relationships/image" Target="../media/image19.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2.emf"/><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image" Target="../media/image1.png"/></Relationships>
</file>

<file path=xl/drawings/_rels/drawing22.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3" Type="http://schemas.openxmlformats.org/officeDocument/2006/relationships/image" Target="../media/image25.png"/><Relationship Id="rId7" Type="http://schemas.openxmlformats.org/officeDocument/2006/relationships/image" Target="../media/image29.png"/><Relationship Id="rId12" Type="http://schemas.openxmlformats.org/officeDocument/2006/relationships/image" Target="../media/image34.png"/><Relationship Id="rId17" Type="http://schemas.openxmlformats.org/officeDocument/2006/relationships/image" Target="../media/image39.png"/><Relationship Id="rId2" Type="http://schemas.openxmlformats.org/officeDocument/2006/relationships/image" Target="../media/image24.png"/><Relationship Id="rId16" Type="http://schemas.openxmlformats.org/officeDocument/2006/relationships/image" Target="../media/image38.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5" Type="http://schemas.openxmlformats.org/officeDocument/2006/relationships/image" Target="../media/image3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 Id="rId14"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xdr:from>
      <xdr:col>4</xdr:col>
      <xdr:colOff>11874</xdr:colOff>
      <xdr:row>2</xdr:row>
      <xdr:rowOff>48849</xdr:rowOff>
    </xdr:from>
    <xdr:to>
      <xdr:col>5</xdr:col>
      <xdr:colOff>663885</xdr:colOff>
      <xdr:row>3</xdr:row>
      <xdr:rowOff>60722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42086" y="466484"/>
          <a:ext cx="1707087" cy="33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en-US" altLang="ja-JP" sz="1200" b="1">
              <a:solidFill>
                <a:srgbClr val="FF0000"/>
              </a:solidFill>
              <a:latin typeface="Arial" panose="020B0604020202020204" pitchFamily="34" charset="0"/>
              <a:cs typeface="Arial" panose="020B0604020202020204" pitchFamily="34" charset="0"/>
            </a:rPr>
            <a:t>2025</a:t>
          </a:r>
          <a:r>
            <a:rPr kumimoji="1" lang="ja-JP" altLang="en-US" sz="1200" b="1">
              <a:solidFill>
                <a:srgbClr val="FF0000"/>
              </a:solidFill>
              <a:latin typeface="Arial" panose="020B0604020202020204" pitchFamily="34" charset="0"/>
              <a:cs typeface="Arial" panose="020B0604020202020204" pitchFamily="34" charset="0"/>
            </a:rPr>
            <a:t>年対応版</a:t>
          </a:r>
        </a:p>
      </xdr:txBody>
    </xdr:sp>
    <xdr:clientData/>
  </xdr:twoCellAnchor>
  <xdr:twoCellAnchor editAs="oneCell">
    <xdr:from>
      <xdr:col>2</xdr:col>
      <xdr:colOff>205154</xdr:colOff>
      <xdr:row>1</xdr:row>
      <xdr:rowOff>0</xdr:rowOff>
    </xdr:from>
    <xdr:to>
      <xdr:col>3</xdr:col>
      <xdr:colOff>1395894</xdr:colOff>
      <xdr:row>2</xdr:row>
      <xdr:rowOff>238496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985596" y="95250"/>
          <a:ext cx="2341067" cy="560881"/>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SDGs評価なし）'!$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SDGs評価なし）'!$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SDGs評価なし）'!$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結果（SDGs評価なし）'!$Z$60">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SDGs評価なし）'!$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結果（SDGs評価なし）'!$Z$62">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2" name="Picture 38">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619125</xdr:colOff>
      <xdr:row>23</xdr:row>
      <xdr:rowOff>0</xdr:rowOff>
    </xdr:from>
    <xdr:to>
      <xdr:col>6</xdr:col>
      <xdr:colOff>485775</xdr:colOff>
      <xdr:row>27</xdr:row>
      <xdr:rowOff>9525</xdr:rowOff>
    </xdr:to>
    <xdr:graphicFrame macro="">
      <xdr:nvGraphicFramePr>
        <xdr:cNvPr id="3" name="Chart 12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 name="Text Box 39">
          <a:extLst>
            <a:ext uri="{FF2B5EF4-FFF2-40B4-BE49-F238E27FC236}">
              <a16:creationId xmlns:a16="http://schemas.microsoft.com/office/drawing/2014/main" id="{00000000-0008-0000-0300-000004000000}"/>
            </a:ext>
          </a:extLst>
        </xdr:cNvPr>
        <xdr:cNvSpPr txBox="1">
          <a:spLocks noChangeArrowheads="1"/>
        </xdr:cNvSpPr>
      </xdr:nvSpPr>
      <xdr:spPr bwMode="auto">
        <a:xfrm>
          <a:off x="47625" y="38766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25</xdr:row>
      <xdr:rowOff>180975</xdr:rowOff>
    </xdr:from>
    <xdr:to>
      <xdr:col>7</xdr:col>
      <xdr:colOff>9525</xdr:colOff>
      <xdr:row>27</xdr:row>
      <xdr:rowOff>19050</xdr:rowOff>
    </xdr:to>
    <xdr:sp macro="" textlink="">
      <xdr:nvSpPr>
        <xdr:cNvPr id="5" name="Text Box 129">
          <a:extLst>
            <a:ext uri="{FF2B5EF4-FFF2-40B4-BE49-F238E27FC236}">
              <a16:creationId xmlns:a16="http://schemas.microsoft.com/office/drawing/2014/main" id="{00000000-0008-0000-0300-000005000000}"/>
            </a:ext>
          </a:extLst>
        </xdr:cNvPr>
        <xdr:cNvSpPr txBox="1">
          <a:spLocks noChangeArrowheads="1"/>
        </xdr:cNvSpPr>
      </xdr:nvSpPr>
      <xdr:spPr bwMode="auto">
        <a:xfrm>
          <a:off x="133350" y="42576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47625</xdr:colOff>
      <xdr:row>26</xdr:row>
      <xdr:rowOff>0</xdr:rowOff>
    </xdr:from>
    <xdr:to>
      <xdr:col>11</xdr:col>
      <xdr:colOff>123825</xdr:colOff>
      <xdr:row>27</xdr:row>
      <xdr:rowOff>28575</xdr:rowOff>
    </xdr:to>
    <xdr:sp macro="" textlink="">
      <xdr:nvSpPr>
        <xdr:cNvPr id="6" name="Text Box 129">
          <a:extLst>
            <a:ext uri="{FF2B5EF4-FFF2-40B4-BE49-F238E27FC236}">
              <a16:creationId xmlns:a16="http://schemas.microsoft.com/office/drawing/2014/main" id="{00000000-0008-0000-0300-000006000000}"/>
            </a:ext>
          </a:extLst>
        </xdr:cNvPr>
        <xdr:cNvSpPr txBox="1">
          <a:spLocks noChangeArrowheads="1"/>
        </xdr:cNvSpPr>
      </xdr:nvSpPr>
      <xdr:spPr bwMode="auto">
        <a:xfrm>
          <a:off x="3409950" y="42672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22</xdr:row>
      <xdr:rowOff>219075</xdr:rowOff>
    </xdr:from>
    <xdr:to>
      <xdr:col>10</xdr:col>
      <xdr:colOff>485775</xdr:colOff>
      <xdr:row>26</xdr:row>
      <xdr:rowOff>171450</xdr:rowOff>
    </xdr:to>
    <xdr:graphicFrame macro="">
      <xdr:nvGraphicFramePr>
        <xdr:cNvPr id="7" name="Chart 123">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xdr:col>
      <xdr:colOff>57150</xdr:colOff>
      <xdr:row>26</xdr:row>
      <xdr:rowOff>123825</xdr:rowOff>
    </xdr:from>
    <xdr:to>
      <xdr:col>6</xdr:col>
      <xdr:colOff>200025</xdr:colOff>
      <xdr:row>39</xdr:row>
      <xdr:rowOff>66675</xdr:rowOff>
    </xdr:to>
    <xdr:graphicFrame macro="">
      <xdr:nvGraphicFramePr>
        <xdr:cNvPr id="8" name="Chart 1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27</xdr:row>
      <xdr:rowOff>47625</xdr:rowOff>
    </xdr:from>
    <xdr:to>
      <xdr:col>10</xdr:col>
      <xdr:colOff>857250</xdr:colOff>
      <xdr:row>36</xdr:row>
      <xdr:rowOff>47625</xdr:rowOff>
    </xdr:to>
    <xdr:graphicFrame macro="">
      <xdr:nvGraphicFramePr>
        <xdr:cNvPr id="9" name="Chart 130">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28</xdr:row>
      <xdr:rowOff>38100</xdr:rowOff>
    </xdr:from>
    <xdr:to>
      <xdr:col>8</xdr:col>
      <xdr:colOff>209550</xdr:colOff>
      <xdr:row>29</xdr:row>
      <xdr:rowOff>76200</xdr:rowOff>
    </xdr:to>
    <xdr:sp macro="" textlink="">
      <xdr:nvSpPr>
        <xdr:cNvPr id="10" name="Text Box 131">
          <a:extLst>
            <a:ext uri="{FF2B5EF4-FFF2-40B4-BE49-F238E27FC236}">
              <a16:creationId xmlns:a16="http://schemas.microsoft.com/office/drawing/2014/main" id="{00000000-0008-0000-0300-00000A000000}"/>
            </a:ext>
          </a:extLst>
        </xdr:cNvPr>
        <xdr:cNvSpPr txBox="1">
          <a:spLocks noChangeArrowheads="1"/>
        </xdr:cNvSpPr>
      </xdr:nvSpPr>
      <xdr:spPr bwMode="auto">
        <a:xfrm>
          <a:off x="3362325" y="46863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29</xdr:row>
      <xdr:rowOff>161925</xdr:rowOff>
    </xdr:from>
    <xdr:to>
      <xdr:col>8</xdr:col>
      <xdr:colOff>276225</xdr:colOff>
      <xdr:row>31</xdr:row>
      <xdr:rowOff>9525</xdr:rowOff>
    </xdr:to>
    <xdr:sp macro="" textlink="">
      <xdr:nvSpPr>
        <xdr:cNvPr id="11" name="Text Box 46">
          <a:extLst>
            <a:ext uri="{FF2B5EF4-FFF2-40B4-BE49-F238E27FC236}">
              <a16:creationId xmlns:a16="http://schemas.microsoft.com/office/drawing/2014/main" id="{00000000-0008-0000-0300-00000B000000}"/>
            </a:ext>
          </a:extLst>
        </xdr:cNvPr>
        <xdr:cNvSpPr txBox="1">
          <a:spLocks noChangeArrowheads="1"/>
        </xdr:cNvSpPr>
      </xdr:nvSpPr>
      <xdr:spPr bwMode="auto">
        <a:xfrm>
          <a:off x="3352800" y="50006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31</xdr:row>
      <xdr:rowOff>47625</xdr:rowOff>
    </xdr:from>
    <xdr:to>
      <xdr:col>8</xdr:col>
      <xdr:colOff>276225</xdr:colOff>
      <xdr:row>32</xdr:row>
      <xdr:rowOff>152400</xdr:rowOff>
    </xdr:to>
    <xdr:sp macro="" textlink="">
      <xdr:nvSpPr>
        <xdr:cNvPr id="12" name="Text Box 47">
          <a:extLst>
            <a:ext uri="{FF2B5EF4-FFF2-40B4-BE49-F238E27FC236}">
              <a16:creationId xmlns:a16="http://schemas.microsoft.com/office/drawing/2014/main" id="{00000000-0008-0000-0300-00000C000000}"/>
            </a:ext>
          </a:extLst>
        </xdr:cNvPr>
        <xdr:cNvSpPr txBox="1">
          <a:spLocks noChangeArrowheads="1"/>
        </xdr:cNvSpPr>
      </xdr:nvSpPr>
      <xdr:spPr bwMode="auto">
        <a:xfrm>
          <a:off x="3352800" y="52673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32</xdr:row>
      <xdr:rowOff>180975</xdr:rowOff>
    </xdr:from>
    <xdr:to>
      <xdr:col>8</xdr:col>
      <xdr:colOff>276225</xdr:colOff>
      <xdr:row>34</xdr:row>
      <xdr:rowOff>95250</xdr:rowOff>
    </xdr:to>
    <xdr:sp macro="" textlink="">
      <xdr:nvSpPr>
        <xdr:cNvPr id="13" name="Text Box 49">
          <a:extLst>
            <a:ext uri="{FF2B5EF4-FFF2-40B4-BE49-F238E27FC236}">
              <a16:creationId xmlns:a16="http://schemas.microsoft.com/office/drawing/2014/main" id="{00000000-0008-0000-0300-00000D000000}"/>
            </a:ext>
          </a:extLst>
        </xdr:cNvPr>
        <xdr:cNvSpPr txBox="1">
          <a:spLocks noChangeArrowheads="1"/>
        </xdr:cNvSpPr>
      </xdr:nvSpPr>
      <xdr:spPr bwMode="auto">
        <a:xfrm>
          <a:off x="3352800" y="55911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35</xdr:row>
      <xdr:rowOff>114300</xdr:rowOff>
    </xdr:from>
    <xdr:to>
      <xdr:col>11</xdr:col>
      <xdr:colOff>47625</xdr:colOff>
      <xdr:row>36</xdr:row>
      <xdr:rowOff>133350</xdr:rowOff>
    </xdr:to>
    <xdr:sp macro="" textlink="">
      <xdr:nvSpPr>
        <xdr:cNvPr id="14" name="Text Box 45">
          <a:extLst>
            <a:ext uri="{FF2B5EF4-FFF2-40B4-BE49-F238E27FC236}">
              <a16:creationId xmlns:a16="http://schemas.microsoft.com/office/drawing/2014/main" id="{00000000-0008-0000-0300-00000E000000}"/>
            </a:ext>
          </a:extLst>
        </xdr:cNvPr>
        <xdr:cNvSpPr txBox="1">
          <a:spLocks noChangeArrowheads="1"/>
        </xdr:cNvSpPr>
      </xdr:nvSpPr>
      <xdr:spPr bwMode="auto">
        <a:xfrm>
          <a:off x="5800725" y="60960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16" name="Chart 4">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17" name="Chart 15">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209550</xdr:colOff>
      <xdr:row>42</xdr:row>
      <xdr:rowOff>104775</xdr:rowOff>
    </xdr:from>
    <xdr:to>
      <xdr:col>14</xdr:col>
      <xdr:colOff>714375</xdr:colOff>
      <xdr:row>50</xdr:row>
      <xdr:rowOff>161925</xdr:rowOff>
    </xdr:to>
    <xdr:graphicFrame macro="">
      <xdr:nvGraphicFramePr>
        <xdr:cNvPr id="18" name="Chart 15">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19" name="Chart 4">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20" name="Chart 15">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219075</xdr:colOff>
      <xdr:row>54</xdr:row>
      <xdr:rowOff>0</xdr:rowOff>
    </xdr:from>
    <xdr:to>
      <xdr:col>14</xdr:col>
      <xdr:colOff>723900</xdr:colOff>
      <xdr:row>62</xdr:row>
      <xdr:rowOff>0</xdr:rowOff>
    </xdr:to>
    <xdr:graphicFrame macro="">
      <xdr:nvGraphicFramePr>
        <xdr:cNvPr id="21" name="Chart 15">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22" name="Text Box 20">
          <a:extLst>
            <a:ext uri="{FF2B5EF4-FFF2-40B4-BE49-F238E27FC236}">
              <a16:creationId xmlns:a16="http://schemas.microsoft.com/office/drawing/2014/main" id="{00000000-0008-0000-0300-000016000000}"/>
            </a:ext>
          </a:extLst>
        </xdr:cNvPr>
        <xdr:cNvSpPr txBox="1">
          <a:spLocks noChangeArrowheads="1"/>
        </xdr:cNvSpPr>
      </xdr:nvSpPr>
      <xdr:spPr bwMode="auto">
        <a:xfrm>
          <a:off x="438150" y="88963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23" name="Text Box 21">
          <a:extLst>
            <a:ext uri="{FF2B5EF4-FFF2-40B4-BE49-F238E27FC236}">
              <a16:creationId xmlns:a16="http://schemas.microsoft.com/office/drawing/2014/main" id="{00000000-0008-0000-0300-000017000000}"/>
            </a:ext>
          </a:extLst>
        </xdr:cNvPr>
        <xdr:cNvSpPr txBox="1">
          <a:spLocks noChangeArrowheads="1"/>
        </xdr:cNvSpPr>
      </xdr:nvSpPr>
      <xdr:spPr bwMode="auto">
        <a:xfrm>
          <a:off x="4143375" y="88963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561975</xdr:colOff>
      <xdr:row>49</xdr:row>
      <xdr:rowOff>171450</xdr:rowOff>
    </xdr:from>
    <xdr:ext cx="419100" cy="133350"/>
    <xdr:sp macro="" textlink="">
      <xdr:nvSpPr>
        <xdr:cNvPr id="24" name="Text Box 22">
          <a:extLst>
            <a:ext uri="{FF2B5EF4-FFF2-40B4-BE49-F238E27FC236}">
              <a16:creationId xmlns:a16="http://schemas.microsoft.com/office/drawing/2014/main" id="{00000000-0008-0000-0300-000018000000}"/>
            </a:ext>
          </a:extLst>
        </xdr:cNvPr>
        <xdr:cNvSpPr txBox="1">
          <a:spLocks noChangeArrowheads="1"/>
        </xdr:cNvSpPr>
      </xdr:nvSpPr>
      <xdr:spPr bwMode="auto">
        <a:xfrm>
          <a:off x="7277100" y="890587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25" name="Text Box 107">
          <a:extLst>
            <a:ext uri="{FF2B5EF4-FFF2-40B4-BE49-F238E27FC236}">
              <a16:creationId xmlns:a16="http://schemas.microsoft.com/office/drawing/2014/main" id="{00000000-0008-0000-0300-000019000000}"/>
            </a:ext>
          </a:extLst>
        </xdr:cNvPr>
        <xdr:cNvSpPr txBox="1">
          <a:spLocks noChangeArrowheads="1"/>
        </xdr:cNvSpPr>
      </xdr:nvSpPr>
      <xdr:spPr bwMode="auto">
        <a:xfrm>
          <a:off x="4972050" y="88487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26" name="Text Box 108">
          <a:extLst>
            <a:ext uri="{FF2B5EF4-FFF2-40B4-BE49-F238E27FC236}">
              <a16:creationId xmlns:a16="http://schemas.microsoft.com/office/drawing/2014/main" id="{00000000-0008-0000-0300-00001A000000}"/>
            </a:ext>
          </a:extLst>
        </xdr:cNvPr>
        <xdr:cNvSpPr txBox="1">
          <a:spLocks noChangeArrowheads="1"/>
        </xdr:cNvSpPr>
      </xdr:nvSpPr>
      <xdr:spPr bwMode="auto">
        <a:xfrm>
          <a:off x="5876925" y="88487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495300</xdr:colOff>
      <xdr:row>49</xdr:row>
      <xdr:rowOff>114300</xdr:rowOff>
    </xdr:from>
    <xdr:to>
      <xdr:col>13</xdr:col>
      <xdr:colOff>142875</xdr:colOff>
      <xdr:row>51</xdr:row>
      <xdr:rowOff>0</xdr:rowOff>
    </xdr:to>
    <xdr:sp macro="" textlink="">
      <xdr:nvSpPr>
        <xdr:cNvPr id="27" name="Text Box 109">
          <a:extLst>
            <a:ext uri="{FF2B5EF4-FFF2-40B4-BE49-F238E27FC236}">
              <a16:creationId xmlns:a16="http://schemas.microsoft.com/office/drawing/2014/main" id="{00000000-0008-0000-0300-00001B000000}"/>
            </a:ext>
          </a:extLst>
        </xdr:cNvPr>
        <xdr:cNvSpPr txBox="1">
          <a:spLocks noChangeArrowheads="1"/>
        </xdr:cNvSpPr>
      </xdr:nvSpPr>
      <xdr:spPr bwMode="auto">
        <a:xfrm>
          <a:off x="8115300" y="8848725"/>
          <a:ext cx="5429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523875</xdr:colOff>
      <xdr:row>49</xdr:row>
      <xdr:rowOff>114300</xdr:rowOff>
    </xdr:from>
    <xdr:to>
      <xdr:col>14</xdr:col>
      <xdr:colOff>342900</xdr:colOff>
      <xdr:row>51</xdr:row>
      <xdr:rowOff>0</xdr:rowOff>
    </xdr:to>
    <xdr:sp macro="" textlink="">
      <xdr:nvSpPr>
        <xdr:cNvPr id="28" name="Text Box 110">
          <a:extLst>
            <a:ext uri="{FF2B5EF4-FFF2-40B4-BE49-F238E27FC236}">
              <a16:creationId xmlns:a16="http://schemas.microsoft.com/office/drawing/2014/main" id="{00000000-0008-0000-0300-00001C000000}"/>
            </a:ext>
          </a:extLst>
        </xdr:cNvPr>
        <xdr:cNvSpPr txBox="1">
          <a:spLocks noChangeArrowheads="1"/>
        </xdr:cNvSpPr>
      </xdr:nvSpPr>
      <xdr:spPr bwMode="auto">
        <a:xfrm>
          <a:off x="9039225" y="8848725"/>
          <a:ext cx="4762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42</xdr:row>
      <xdr:rowOff>9525</xdr:rowOff>
    </xdr:from>
    <xdr:ext cx="779957" cy="201850"/>
    <xdr:sp macro="" textlink="">
      <xdr:nvSpPr>
        <xdr:cNvPr id="29" name="Text Box 135">
          <a:extLst>
            <a:ext uri="{FF2B5EF4-FFF2-40B4-BE49-F238E27FC236}">
              <a16:creationId xmlns:a16="http://schemas.microsoft.com/office/drawing/2014/main" id="{00000000-0008-0000-0300-00001D000000}"/>
            </a:ext>
          </a:extLst>
        </xdr:cNvPr>
        <xdr:cNvSpPr txBox="1">
          <a:spLocks noChangeArrowheads="1"/>
        </xdr:cNvSpPr>
      </xdr:nvSpPr>
      <xdr:spPr bwMode="auto">
        <a:xfrm>
          <a:off x="8601075" y="74104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30" name="Text Box 138">
          <a:extLst>
            <a:ext uri="{FF2B5EF4-FFF2-40B4-BE49-F238E27FC236}">
              <a16:creationId xmlns:a16="http://schemas.microsoft.com/office/drawing/2014/main" id="{00000000-0008-0000-0300-00001E000000}"/>
            </a:ext>
          </a:extLst>
        </xdr:cNvPr>
        <xdr:cNvSpPr txBox="1">
          <a:spLocks noChangeArrowheads="1"/>
        </xdr:cNvSpPr>
      </xdr:nvSpPr>
      <xdr:spPr bwMode="auto">
        <a:xfrm>
          <a:off x="4943475" y="73818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31" name="Text Box 139">
          <a:extLst>
            <a:ext uri="{FF2B5EF4-FFF2-40B4-BE49-F238E27FC236}">
              <a16:creationId xmlns:a16="http://schemas.microsoft.com/office/drawing/2014/main" id="{00000000-0008-0000-0300-00001F000000}"/>
            </a:ext>
          </a:extLst>
        </xdr:cNvPr>
        <xdr:cNvSpPr txBox="1">
          <a:spLocks noChangeArrowheads="1"/>
        </xdr:cNvSpPr>
      </xdr:nvSpPr>
      <xdr:spPr bwMode="auto">
        <a:xfrm>
          <a:off x="1981200" y="74009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32" name="Text Box 142">
          <a:extLst>
            <a:ext uri="{FF2B5EF4-FFF2-40B4-BE49-F238E27FC236}">
              <a16:creationId xmlns:a16="http://schemas.microsoft.com/office/drawing/2014/main" id="{00000000-0008-0000-0300-000020000000}"/>
            </a:ext>
          </a:extLst>
        </xdr:cNvPr>
        <xdr:cNvSpPr txBox="1">
          <a:spLocks noChangeArrowheads="1"/>
        </xdr:cNvSpPr>
      </xdr:nvSpPr>
      <xdr:spPr bwMode="auto">
        <a:xfrm>
          <a:off x="1152525" y="89058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33" name="Text Box 143">
          <a:extLst>
            <a:ext uri="{FF2B5EF4-FFF2-40B4-BE49-F238E27FC236}">
              <a16:creationId xmlns:a16="http://schemas.microsoft.com/office/drawing/2014/main" id="{00000000-0008-0000-0300-000021000000}"/>
            </a:ext>
          </a:extLst>
        </xdr:cNvPr>
        <xdr:cNvSpPr txBox="1">
          <a:spLocks noChangeArrowheads="1"/>
        </xdr:cNvSpPr>
      </xdr:nvSpPr>
      <xdr:spPr bwMode="auto">
        <a:xfrm>
          <a:off x="1943100" y="89058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34" name="Text Box 144">
          <a:extLst>
            <a:ext uri="{FF2B5EF4-FFF2-40B4-BE49-F238E27FC236}">
              <a16:creationId xmlns:a16="http://schemas.microsoft.com/office/drawing/2014/main" id="{00000000-0008-0000-0300-000022000000}"/>
            </a:ext>
          </a:extLst>
        </xdr:cNvPr>
        <xdr:cNvSpPr txBox="1">
          <a:spLocks noChangeArrowheads="1"/>
        </xdr:cNvSpPr>
      </xdr:nvSpPr>
      <xdr:spPr bwMode="auto">
        <a:xfrm>
          <a:off x="2562225" y="88963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62</xdr:row>
      <xdr:rowOff>0</xdr:rowOff>
    </xdr:to>
    <xdr:sp macro="" textlink="">
      <xdr:nvSpPr>
        <xdr:cNvPr id="35" name="Text Box 7">
          <a:extLst>
            <a:ext uri="{FF2B5EF4-FFF2-40B4-BE49-F238E27FC236}">
              <a16:creationId xmlns:a16="http://schemas.microsoft.com/office/drawing/2014/main" id="{00000000-0008-0000-0300-000023000000}"/>
            </a:ext>
          </a:extLst>
        </xdr:cNvPr>
        <xdr:cNvSpPr txBox="1">
          <a:spLocks noChangeArrowheads="1"/>
        </xdr:cNvSpPr>
      </xdr:nvSpPr>
      <xdr:spPr bwMode="auto">
        <a:xfrm>
          <a:off x="4019550" y="110204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62</xdr:row>
      <xdr:rowOff>0</xdr:rowOff>
    </xdr:to>
    <xdr:sp macro="" textlink="">
      <xdr:nvSpPr>
        <xdr:cNvPr id="36" name="Text Box 104">
          <a:extLst>
            <a:ext uri="{FF2B5EF4-FFF2-40B4-BE49-F238E27FC236}">
              <a16:creationId xmlns:a16="http://schemas.microsoft.com/office/drawing/2014/main" id="{00000000-0008-0000-0300-000024000000}"/>
            </a:ext>
          </a:extLst>
        </xdr:cNvPr>
        <xdr:cNvSpPr txBox="1">
          <a:spLocks noChangeArrowheads="1"/>
        </xdr:cNvSpPr>
      </xdr:nvSpPr>
      <xdr:spPr bwMode="auto">
        <a:xfrm>
          <a:off x="48863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37" name="Text Box 136">
          <a:extLst>
            <a:ext uri="{FF2B5EF4-FFF2-40B4-BE49-F238E27FC236}">
              <a16:creationId xmlns:a16="http://schemas.microsoft.com/office/drawing/2014/main" id="{00000000-0008-0000-0300-000025000000}"/>
            </a:ext>
          </a:extLst>
        </xdr:cNvPr>
        <xdr:cNvSpPr txBox="1">
          <a:spLocks noChangeArrowheads="1"/>
        </xdr:cNvSpPr>
      </xdr:nvSpPr>
      <xdr:spPr bwMode="auto">
        <a:xfrm>
          <a:off x="85820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38" name="Text Box 137">
          <a:extLst>
            <a:ext uri="{FF2B5EF4-FFF2-40B4-BE49-F238E27FC236}">
              <a16:creationId xmlns:a16="http://schemas.microsoft.com/office/drawing/2014/main" id="{00000000-0008-0000-0300-000026000000}"/>
            </a:ext>
          </a:extLst>
        </xdr:cNvPr>
        <xdr:cNvSpPr txBox="1">
          <a:spLocks noChangeArrowheads="1"/>
        </xdr:cNvSpPr>
      </xdr:nvSpPr>
      <xdr:spPr bwMode="auto">
        <a:xfrm>
          <a:off x="4857750"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39" name="Text Box 140">
          <a:extLst>
            <a:ext uri="{FF2B5EF4-FFF2-40B4-BE49-F238E27FC236}">
              <a16:creationId xmlns:a16="http://schemas.microsoft.com/office/drawing/2014/main" id="{00000000-0008-0000-0300-000027000000}"/>
            </a:ext>
          </a:extLst>
        </xdr:cNvPr>
        <xdr:cNvSpPr txBox="1">
          <a:spLocks noChangeArrowheads="1"/>
        </xdr:cNvSpPr>
      </xdr:nvSpPr>
      <xdr:spPr bwMode="auto">
        <a:xfrm>
          <a:off x="19145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62</xdr:row>
      <xdr:rowOff>0</xdr:rowOff>
    </xdr:to>
    <xdr:sp macro="" textlink="">
      <xdr:nvSpPr>
        <xdr:cNvPr id="40" name="Text Box 145">
          <a:extLst>
            <a:ext uri="{FF2B5EF4-FFF2-40B4-BE49-F238E27FC236}">
              <a16:creationId xmlns:a16="http://schemas.microsoft.com/office/drawing/2014/main" id="{00000000-0008-0000-0300-000028000000}"/>
            </a:ext>
          </a:extLst>
        </xdr:cNvPr>
        <xdr:cNvSpPr txBox="1">
          <a:spLocks noChangeArrowheads="1"/>
        </xdr:cNvSpPr>
      </xdr:nvSpPr>
      <xdr:spPr bwMode="auto">
        <a:xfrm>
          <a:off x="57626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62</xdr:row>
      <xdr:rowOff>0</xdr:rowOff>
    </xdr:to>
    <xdr:sp macro="" textlink="">
      <xdr:nvSpPr>
        <xdr:cNvPr id="41" name="Text Box 23">
          <a:extLst>
            <a:ext uri="{FF2B5EF4-FFF2-40B4-BE49-F238E27FC236}">
              <a16:creationId xmlns:a16="http://schemas.microsoft.com/office/drawing/2014/main" id="{00000000-0008-0000-0300-000029000000}"/>
            </a:ext>
          </a:extLst>
        </xdr:cNvPr>
        <xdr:cNvSpPr txBox="1">
          <a:spLocks noChangeArrowheads="1"/>
        </xdr:cNvSpPr>
      </xdr:nvSpPr>
      <xdr:spPr bwMode="auto">
        <a:xfrm>
          <a:off x="295275" y="110204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62</xdr:row>
      <xdr:rowOff>0</xdr:rowOff>
    </xdr:to>
    <xdr:sp macro="" textlink="">
      <xdr:nvSpPr>
        <xdr:cNvPr id="42" name="Text Box 101">
          <a:extLst>
            <a:ext uri="{FF2B5EF4-FFF2-40B4-BE49-F238E27FC236}">
              <a16:creationId xmlns:a16="http://schemas.microsoft.com/office/drawing/2014/main" id="{00000000-0008-0000-0300-00002A000000}"/>
            </a:ext>
          </a:extLst>
        </xdr:cNvPr>
        <xdr:cNvSpPr txBox="1">
          <a:spLocks noChangeArrowheads="1"/>
        </xdr:cNvSpPr>
      </xdr:nvSpPr>
      <xdr:spPr bwMode="auto">
        <a:xfrm>
          <a:off x="1171575" y="110204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43" name="Text Box 102">
          <a:extLst>
            <a:ext uri="{FF2B5EF4-FFF2-40B4-BE49-F238E27FC236}">
              <a16:creationId xmlns:a16="http://schemas.microsoft.com/office/drawing/2014/main" id="{00000000-0008-0000-0300-00002B000000}"/>
            </a:ext>
          </a:extLst>
        </xdr:cNvPr>
        <xdr:cNvSpPr txBox="1">
          <a:spLocks noChangeArrowheads="1"/>
        </xdr:cNvSpPr>
      </xdr:nvSpPr>
      <xdr:spPr bwMode="auto">
        <a:xfrm>
          <a:off x="1866900" y="110204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44" name="Text Box 103">
          <a:extLst>
            <a:ext uri="{FF2B5EF4-FFF2-40B4-BE49-F238E27FC236}">
              <a16:creationId xmlns:a16="http://schemas.microsoft.com/office/drawing/2014/main" id="{00000000-0008-0000-0300-00002C000000}"/>
            </a:ext>
          </a:extLst>
        </xdr:cNvPr>
        <xdr:cNvSpPr txBox="1">
          <a:spLocks noChangeArrowheads="1"/>
        </xdr:cNvSpPr>
      </xdr:nvSpPr>
      <xdr:spPr bwMode="auto">
        <a:xfrm>
          <a:off x="2752725" y="110204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457200</xdr:colOff>
      <xdr:row>60</xdr:row>
      <xdr:rowOff>104775</xdr:rowOff>
    </xdr:from>
    <xdr:to>
      <xdr:col>12</xdr:col>
      <xdr:colOff>257175</xdr:colOff>
      <xdr:row>61</xdr:row>
      <xdr:rowOff>180975</xdr:rowOff>
    </xdr:to>
    <xdr:sp macro="" textlink="">
      <xdr:nvSpPr>
        <xdr:cNvPr id="45" name="Text Box 148">
          <a:extLst>
            <a:ext uri="{FF2B5EF4-FFF2-40B4-BE49-F238E27FC236}">
              <a16:creationId xmlns:a16="http://schemas.microsoft.com/office/drawing/2014/main" id="{00000000-0008-0000-0300-00002D000000}"/>
            </a:ext>
          </a:extLst>
        </xdr:cNvPr>
        <xdr:cNvSpPr txBox="1">
          <a:spLocks noChangeArrowheads="1"/>
        </xdr:cNvSpPr>
      </xdr:nvSpPr>
      <xdr:spPr bwMode="auto">
        <a:xfrm>
          <a:off x="7172325" y="110109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447675</xdr:colOff>
      <xdr:row>60</xdr:row>
      <xdr:rowOff>104775</xdr:rowOff>
    </xdr:from>
    <xdr:to>
      <xdr:col>13</xdr:col>
      <xdr:colOff>257175</xdr:colOff>
      <xdr:row>61</xdr:row>
      <xdr:rowOff>180975</xdr:rowOff>
    </xdr:to>
    <xdr:sp macro="" textlink="">
      <xdr:nvSpPr>
        <xdr:cNvPr id="46" name="Text Box 149">
          <a:extLst>
            <a:ext uri="{FF2B5EF4-FFF2-40B4-BE49-F238E27FC236}">
              <a16:creationId xmlns:a16="http://schemas.microsoft.com/office/drawing/2014/main" id="{00000000-0008-0000-0300-00002E000000}"/>
            </a:ext>
          </a:extLst>
        </xdr:cNvPr>
        <xdr:cNvSpPr txBox="1">
          <a:spLocks noChangeArrowheads="1"/>
        </xdr:cNvSpPr>
      </xdr:nvSpPr>
      <xdr:spPr bwMode="auto">
        <a:xfrm>
          <a:off x="8067675" y="110109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466725</xdr:colOff>
      <xdr:row>60</xdr:row>
      <xdr:rowOff>104775</xdr:rowOff>
    </xdr:from>
    <xdr:to>
      <xdr:col>14</xdr:col>
      <xdr:colOff>514350</xdr:colOff>
      <xdr:row>61</xdr:row>
      <xdr:rowOff>180975</xdr:rowOff>
    </xdr:to>
    <xdr:sp macro="" textlink="">
      <xdr:nvSpPr>
        <xdr:cNvPr id="47" name="Text Box 150">
          <a:extLst>
            <a:ext uri="{FF2B5EF4-FFF2-40B4-BE49-F238E27FC236}">
              <a16:creationId xmlns:a16="http://schemas.microsoft.com/office/drawing/2014/main" id="{00000000-0008-0000-0300-00002F000000}"/>
            </a:ext>
          </a:extLst>
        </xdr:cNvPr>
        <xdr:cNvSpPr txBox="1">
          <a:spLocks noChangeArrowheads="1"/>
        </xdr:cNvSpPr>
      </xdr:nvSpPr>
      <xdr:spPr bwMode="auto">
        <a:xfrm>
          <a:off x="8982075" y="110109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64</xdr:row>
      <xdr:rowOff>0</xdr:rowOff>
    </xdr:from>
    <xdr:to>
      <xdr:col>15</xdr:col>
      <xdr:colOff>9525</xdr:colOff>
      <xdr:row>90</xdr:row>
      <xdr:rowOff>76200</xdr:rowOff>
    </xdr:to>
    <xdr:sp macro="" textlink="">
      <xdr:nvSpPr>
        <xdr:cNvPr id="48" name="Text Box 141">
          <a:extLst>
            <a:ext uri="{FF2B5EF4-FFF2-40B4-BE49-F238E27FC236}">
              <a16:creationId xmlns:a16="http://schemas.microsoft.com/office/drawing/2014/main" id="{00000000-0008-0000-0300-000030000000}"/>
            </a:ext>
          </a:extLst>
        </xdr:cNvPr>
        <xdr:cNvSpPr txBox="1">
          <a:spLocks noChangeArrowheads="1"/>
        </xdr:cNvSpPr>
      </xdr:nvSpPr>
      <xdr:spPr bwMode="auto">
        <a:xfrm>
          <a:off x="57150" y="143351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absolute">
    <xdr:from>
      <xdr:col>11</xdr:col>
      <xdr:colOff>405039</xdr:colOff>
      <xdr:row>22</xdr:row>
      <xdr:rowOff>187984</xdr:rowOff>
    </xdr:from>
    <xdr:to>
      <xdr:col>14</xdr:col>
      <xdr:colOff>460869</xdr:colOff>
      <xdr:row>26</xdr:row>
      <xdr:rowOff>125460</xdr:rowOff>
    </xdr:to>
    <xdr:graphicFrame macro="">
      <xdr:nvGraphicFramePr>
        <xdr:cNvPr id="50" name="Chart 123">
          <a:extLst>
            <a:ext uri="{FF2B5EF4-FFF2-40B4-BE49-F238E27FC236}">
              <a16:creationId xmlns:a16="http://schemas.microsoft.com/office/drawing/2014/main" id="{00000000-0008-0000-03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14</xdr:col>
      <xdr:colOff>520023</xdr:colOff>
      <xdr:row>27</xdr:row>
      <xdr:rowOff>55834</xdr:rowOff>
    </xdr:from>
    <xdr:to>
      <xdr:col>16384</xdr:col>
      <xdr:colOff>121614</xdr:colOff>
      <xdr:row>28</xdr:row>
      <xdr:rowOff>75584</xdr:rowOff>
    </xdr:to>
    <xdr:sp macro="" textlink="AD41">
      <xdr:nvSpPr>
        <xdr:cNvPr id="53" name="テキスト ボックス 52">
          <a:extLst>
            <a:ext uri="{FF2B5EF4-FFF2-40B4-BE49-F238E27FC236}">
              <a16:creationId xmlns:a16="http://schemas.microsoft.com/office/drawing/2014/main" id="{00000000-0008-0000-0300-000035000000}"/>
            </a:ext>
          </a:extLst>
        </xdr:cNvPr>
        <xdr:cNvSpPr txBox="1"/>
      </xdr:nvSpPr>
      <xdr:spPr>
        <a:xfrm>
          <a:off x="9718452" y="4559798"/>
          <a:ext cx="526876"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E789C0-80CC-4D7E-9458-D007FB86AE83}" type="TxLink">
            <a:rPr kumimoji="1" lang="en-US" altLang="en-US" sz="800" b="0" i="0" u="none" strike="noStrike">
              <a:solidFill>
                <a:srgbClr val="000000"/>
              </a:solidFill>
              <a:latin typeface="Arial"/>
              <a:ea typeface="游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28</xdr:row>
      <xdr:rowOff>34400</xdr:rowOff>
    </xdr:from>
    <xdr:to>
      <xdr:col>15</xdr:col>
      <xdr:colOff>1832</xdr:colOff>
      <xdr:row>29</xdr:row>
      <xdr:rowOff>60295</xdr:rowOff>
    </xdr:to>
    <xdr:sp macro="" textlink="AD42">
      <xdr:nvSpPr>
        <xdr:cNvPr id="54" name="テキスト ボックス 53">
          <a:extLst>
            <a:ext uri="{FF2B5EF4-FFF2-40B4-BE49-F238E27FC236}">
              <a16:creationId xmlns:a16="http://schemas.microsoft.com/office/drawing/2014/main" id="{00000000-0008-0000-0300-000036000000}"/>
            </a:ext>
          </a:extLst>
        </xdr:cNvPr>
        <xdr:cNvSpPr txBox="1"/>
      </xdr:nvSpPr>
      <xdr:spPr>
        <a:xfrm>
          <a:off x="9707985" y="4708977"/>
          <a:ext cx="355867" cy="21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E0B29F-ABBB-42A0-9067-3121F1E5EF3B}" type="TxLink">
            <a:rPr kumimoji="1" lang="en-US" altLang="en-US" sz="800" b="0" i="0" u="none" strike="noStrike">
              <a:solidFill>
                <a:srgbClr val="000000"/>
              </a:solidFill>
              <a:latin typeface="Arial"/>
              <a:ea typeface="游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29</xdr:row>
      <xdr:rowOff>12966</xdr:rowOff>
    </xdr:from>
    <xdr:to>
      <xdr:col>15</xdr:col>
      <xdr:colOff>1832</xdr:colOff>
      <xdr:row>30</xdr:row>
      <xdr:rowOff>32716</xdr:rowOff>
    </xdr:to>
    <xdr:sp macro="" textlink="AD43">
      <xdr:nvSpPr>
        <xdr:cNvPr id="55" name="テキスト ボックス 54">
          <a:extLst>
            <a:ext uri="{FF2B5EF4-FFF2-40B4-BE49-F238E27FC236}">
              <a16:creationId xmlns:a16="http://schemas.microsoft.com/office/drawing/2014/main" id="{00000000-0008-0000-0300-000037000000}"/>
            </a:ext>
          </a:extLst>
        </xdr:cNvPr>
        <xdr:cNvSpPr txBox="1"/>
      </xdr:nvSpPr>
      <xdr:spPr>
        <a:xfrm>
          <a:off x="9707985" y="4878043"/>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CCEE807-96EB-4398-939A-AB572800A6B3}" type="TxLink">
            <a:rPr kumimoji="1" lang="en-US" altLang="en-US" sz="800" b="0" i="0" u="none" strike="noStrike">
              <a:solidFill>
                <a:srgbClr val="000000"/>
              </a:solidFill>
              <a:latin typeface="Arial"/>
              <a:ea typeface="游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29</xdr:row>
      <xdr:rowOff>182032</xdr:rowOff>
    </xdr:from>
    <xdr:to>
      <xdr:col>15</xdr:col>
      <xdr:colOff>5033</xdr:colOff>
      <xdr:row>31</xdr:row>
      <xdr:rowOff>11282</xdr:rowOff>
    </xdr:to>
    <xdr:sp macro="" textlink="AD44">
      <xdr:nvSpPr>
        <xdr:cNvPr id="56" name="テキスト ボックス 55">
          <a:extLst>
            <a:ext uri="{FF2B5EF4-FFF2-40B4-BE49-F238E27FC236}">
              <a16:creationId xmlns:a16="http://schemas.microsoft.com/office/drawing/2014/main" id="{00000000-0008-0000-0300-000038000000}"/>
            </a:ext>
          </a:extLst>
        </xdr:cNvPr>
        <xdr:cNvSpPr txBox="1"/>
      </xdr:nvSpPr>
      <xdr:spPr>
        <a:xfrm>
          <a:off x="9718452" y="506699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D1C74E7-7AA5-438B-B2C9-84A7803ADB24}" type="TxLink">
            <a:rPr kumimoji="1" lang="en-US" altLang="en-US" sz="800" b="0" i="0" u="none" strike="noStrike">
              <a:solidFill>
                <a:srgbClr val="000000"/>
              </a:solidFill>
              <a:latin typeface="Arial"/>
              <a:ea typeface="ＭＳ Ｐ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30</xdr:row>
      <xdr:rowOff>160598</xdr:rowOff>
    </xdr:from>
    <xdr:to>
      <xdr:col>15</xdr:col>
      <xdr:colOff>1832</xdr:colOff>
      <xdr:row>31</xdr:row>
      <xdr:rowOff>186493</xdr:rowOff>
    </xdr:to>
    <xdr:sp macro="" textlink="AD45">
      <xdr:nvSpPr>
        <xdr:cNvPr id="57" name="テキスト ボックス 56">
          <a:extLst>
            <a:ext uri="{FF2B5EF4-FFF2-40B4-BE49-F238E27FC236}">
              <a16:creationId xmlns:a16="http://schemas.microsoft.com/office/drawing/2014/main" id="{00000000-0008-0000-0300-000039000000}"/>
            </a:ext>
          </a:extLst>
        </xdr:cNvPr>
        <xdr:cNvSpPr txBox="1"/>
      </xdr:nvSpPr>
      <xdr:spPr>
        <a:xfrm>
          <a:off x="9707985" y="5216175"/>
          <a:ext cx="355867" cy="21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B480DA6-AA42-4E57-AA63-FF640E132510}" type="TxLink">
            <a:rPr kumimoji="1" lang="en-US" altLang="en-US" sz="800" b="0" i="0" u="none" strike="noStrike">
              <a:solidFill>
                <a:srgbClr val="000000"/>
              </a:solidFill>
              <a:latin typeface="Arial"/>
              <a:ea typeface="ＭＳ Ｐ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31</xdr:row>
      <xdr:rowOff>139164</xdr:rowOff>
    </xdr:from>
    <xdr:to>
      <xdr:col>15</xdr:col>
      <xdr:colOff>1832</xdr:colOff>
      <xdr:row>32</xdr:row>
      <xdr:rowOff>165059</xdr:rowOff>
    </xdr:to>
    <xdr:sp macro="" textlink="AD46">
      <xdr:nvSpPr>
        <xdr:cNvPr id="58" name="テキスト ボックス 57">
          <a:extLst>
            <a:ext uri="{FF2B5EF4-FFF2-40B4-BE49-F238E27FC236}">
              <a16:creationId xmlns:a16="http://schemas.microsoft.com/office/drawing/2014/main" id="{00000000-0008-0000-0300-00003A000000}"/>
            </a:ext>
          </a:extLst>
        </xdr:cNvPr>
        <xdr:cNvSpPr txBox="1"/>
      </xdr:nvSpPr>
      <xdr:spPr>
        <a:xfrm>
          <a:off x="9707985" y="5385241"/>
          <a:ext cx="355867" cy="21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B9020B-4ED6-4A9E-8B6B-F724481715F4}" type="TxLink">
            <a:rPr kumimoji="1" lang="en-US" altLang="en-US" sz="800" b="0" i="0" u="none" strike="noStrike">
              <a:solidFill>
                <a:srgbClr val="000000"/>
              </a:solidFill>
              <a:latin typeface="Arial"/>
              <a:ea typeface="ＭＳ Ｐ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32</xdr:row>
      <xdr:rowOff>117730</xdr:rowOff>
    </xdr:from>
    <xdr:to>
      <xdr:col>15</xdr:col>
      <xdr:colOff>1832</xdr:colOff>
      <xdr:row>33</xdr:row>
      <xdr:rowOff>143625</xdr:rowOff>
    </xdr:to>
    <xdr:sp macro="" textlink="AD47">
      <xdr:nvSpPr>
        <xdr:cNvPr id="59" name="テキスト ボックス 58">
          <a:extLst>
            <a:ext uri="{FF2B5EF4-FFF2-40B4-BE49-F238E27FC236}">
              <a16:creationId xmlns:a16="http://schemas.microsoft.com/office/drawing/2014/main" id="{00000000-0008-0000-0300-00003B000000}"/>
            </a:ext>
          </a:extLst>
        </xdr:cNvPr>
        <xdr:cNvSpPr txBox="1"/>
      </xdr:nvSpPr>
      <xdr:spPr>
        <a:xfrm>
          <a:off x="9707985" y="5554307"/>
          <a:ext cx="355867" cy="21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6D13635-C17B-4A69-9214-84202FE24028}" type="TxLink">
            <a:rPr kumimoji="1" lang="en-US" altLang="en-US" sz="800" b="0" i="0" u="none" strike="noStrike">
              <a:solidFill>
                <a:srgbClr val="000000"/>
              </a:solidFill>
              <a:latin typeface="Arial"/>
              <a:ea typeface="ＭＳ Ｐ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33</xdr:row>
      <xdr:rowOff>96296</xdr:rowOff>
    </xdr:from>
    <xdr:to>
      <xdr:col>15</xdr:col>
      <xdr:colOff>5033</xdr:colOff>
      <xdr:row>34</xdr:row>
      <xdr:rowOff>116046</xdr:rowOff>
    </xdr:to>
    <xdr:sp macro="" textlink="AD48">
      <xdr:nvSpPr>
        <xdr:cNvPr id="60" name="テキスト ボックス 59">
          <a:extLst>
            <a:ext uri="{FF2B5EF4-FFF2-40B4-BE49-F238E27FC236}">
              <a16:creationId xmlns:a16="http://schemas.microsoft.com/office/drawing/2014/main" id="{00000000-0008-0000-0300-00003C000000}"/>
            </a:ext>
          </a:extLst>
        </xdr:cNvPr>
        <xdr:cNvSpPr txBox="1"/>
      </xdr:nvSpPr>
      <xdr:spPr>
        <a:xfrm>
          <a:off x="9718452" y="5743260"/>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E3F2B3-D6EE-49E5-8E1A-8E3146CFE32D}" type="TxLink">
            <a:rPr kumimoji="1" lang="en-US" altLang="en-US" sz="800" b="0" i="0" u="none" strike="noStrike">
              <a:solidFill>
                <a:srgbClr val="000000"/>
              </a:solidFill>
              <a:latin typeface="Arial"/>
              <a:ea typeface="ＭＳ Ｐ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34</xdr:row>
      <xdr:rowOff>74862</xdr:rowOff>
    </xdr:from>
    <xdr:to>
      <xdr:col>15</xdr:col>
      <xdr:colOff>5033</xdr:colOff>
      <xdr:row>35</xdr:row>
      <xdr:rowOff>94612</xdr:rowOff>
    </xdr:to>
    <xdr:sp macro="" textlink="AD49">
      <xdr:nvSpPr>
        <xdr:cNvPr id="61" name="テキスト ボックス 60">
          <a:extLst>
            <a:ext uri="{FF2B5EF4-FFF2-40B4-BE49-F238E27FC236}">
              <a16:creationId xmlns:a16="http://schemas.microsoft.com/office/drawing/2014/main" id="{00000000-0008-0000-0300-00003D000000}"/>
            </a:ext>
          </a:extLst>
        </xdr:cNvPr>
        <xdr:cNvSpPr txBox="1"/>
      </xdr:nvSpPr>
      <xdr:spPr>
        <a:xfrm>
          <a:off x="9718452" y="591232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E864DC6-5D74-4E2F-9C52-B379DB3AD7F0}" type="TxLink">
            <a:rPr kumimoji="1" lang="en-US" altLang="en-US" sz="800" b="0" i="0" u="none" strike="noStrike">
              <a:solidFill>
                <a:srgbClr val="000000"/>
              </a:solidFill>
              <a:latin typeface="Arial"/>
              <a:ea typeface="ＭＳ Ｐ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35</xdr:row>
      <xdr:rowOff>53428</xdr:rowOff>
    </xdr:from>
    <xdr:to>
      <xdr:col>15</xdr:col>
      <xdr:colOff>1832</xdr:colOff>
      <xdr:row>36</xdr:row>
      <xdr:rowOff>79324</xdr:rowOff>
    </xdr:to>
    <xdr:sp macro="" textlink="AD50">
      <xdr:nvSpPr>
        <xdr:cNvPr id="62" name="テキスト ボックス 61">
          <a:extLst>
            <a:ext uri="{FF2B5EF4-FFF2-40B4-BE49-F238E27FC236}">
              <a16:creationId xmlns:a16="http://schemas.microsoft.com/office/drawing/2014/main" id="{00000000-0008-0000-0300-00003E000000}"/>
            </a:ext>
          </a:extLst>
        </xdr:cNvPr>
        <xdr:cNvSpPr txBox="1"/>
      </xdr:nvSpPr>
      <xdr:spPr>
        <a:xfrm>
          <a:off x="9707985" y="6061505"/>
          <a:ext cx="355867" cy="2163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0AA74D8-ED61-4D48-B65C-311B1BA2297C}" type="TxLink">
            <a:rPr kumimoji="1" lang="en-US" altLang="en-US" sz="800" b="0" i="0" u="none" strike="noStrike">
              <a:solidFill>
                <a:srgbClr val="000000"/>
              </a:solidFill>
              <a:latin typeface="Arial"/>
              <a:ea typeface="ＭＳ Ｐ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36</xdr:row>
      <xdr:rowOff>31996</xdr:rowOff>
    </xdr:from>
    <xdr:to>
      <xdr:col>15</xdr:col>
      <xdr:colOff>1832</xdr:colOff>
      <xdr:row>37</xdr:row>
      <xdr:rowOff>57891</xdr:rowOff>
    </xdr:to>
    <xdr:sp macro="" textlink="AD51">
      <xdr:nvSpPr>
        <xdr:cNvPr id="63" name="テキスト ボックス 62">
          <a:extLst>
            <a:ext uri="{FF2B5EF4-FFF2-40B4-BE49-F238E27FC236}">
              <a16:creationId xmlns:a16="http://schemas.microsoft.com/office/drawing/2014/main" id="{00000000-0008-0000-0300-00003F000000}"/>
            </a:ext>
          </a:extLst>
        </xdr:cNvPr>
        <xdr:cNvSpPr txBox="1"/>
      </xdr:nvSpPr>
      <xdr:spPr>
        <a:xfrm>
          <a:off x="9707985" y="6230573"/>
          <a:ext cx="355867" cy="21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1B7512-E5F3-4A03-8C98-DC16D4445EA2}" type="TxLink">
            <a:rPr kumimoji="1" lang="en-US" altLang="en-US" sz="800" b="0" i="0" u="none" strike="noStrike">
              <a:solidFill>
                <a:srgbClr val="000000"/>
              </a:solidFill>
              <a:latin typeface="Arial"/>
              <a:ea typeface="ＭＳ Ｐ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520023</xdr:colOff>
      <xdr:row>26</xdr:row>
      <xdr:rowOff>74196</xdr:rowOff>
    </xdr:from>
    <xdr:to>
      <xdr:col>15</xdr:col>
      <xdr:colOff>1832</xdr:colOff>
      <xdr:row>27</xdr:row>
      <xdr:rowOff>100091</xdr:rowOff>
    </xdr:to>
    <xdr:sp macro="" textlink="$AD$40">
      <xdr:nvSpPr>
        <xdr:cNvPr id="64" name="テキスト ボックス 63">
          <a:extLst>
            <a:ext uri="{FF2B5EF4-FFF2-40B4-BE49-F238E27FC236}">
              <a16:creationId xmlns:a16="http://schemas.microsoft.com/office/drawing/2014/main" id="{00000000-0008-0000-0300-000040000000}"/>
            </a:ext>
          </a:extLst>
        </xdr:cNvPr>
        <xdr:cNvSpPr txBox="1"/>
      </xdr:nvSpPr>
      <xdr:spPr>
        <a:xfrm>
          <a:off x="9707985" y="4367773"/>
          <a:ext cx="355867" cy="21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fld id="{5A1116A8-218F-4860-8156-E831E9364426}" type="TxLink">
            <a:rPr kumimoji="1" lang="en-US" altLang="en-US" sz="800" b="0" i="0" u="none" strike="noStrike">
              <a:solidFill>
                <a:srgbClr val="000000"/>
              </a:solidFill>
              <a:latin typeface="Arial"/>
              <a:ea typeface="游ゴシック"/>
              <a:cs typeface="Arial"/>
            </a:rPr>
            <a:pPr/>
            <a:t>N/A</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165426</xdr:colOff>
      <xdr:row>26</xdr:row>
      <xdr:rowOff>71103</xdr:rowOff>
    </xdr:from>
    <xdr:to>
      <xdr:col>11</xdr:col>
      <xdr:colOff>873848</xdr:colOff>
      <xdr:row>27</xdr:row>
      <xdr:rowOff>89403</xdr:rowOff>
    </xdr:to>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6884036" y="4317859"/>
          <a:ext cx="708422"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3</a:t>
          </a:r>
          <a:r>
            <a:rPr kumimoji="1" lang="ja-JP" altLang="en-US" sz="800" b="0">
              <a:latin typeface="Arial" panose="020B0604020202020204" pitchFamily="34" charset="0"/>
              <a:cs typeface="Arial" panose="020B0604020202020204" pitchFamily="34" charset="0"/>
            </a:rPr>
            <a:t>（保健）</a:t>
          </a:r>
        </a:p>
      </xdr:txBody>
    </xdr:sp>
    <xdr:clientData/>
  </xdr:twoCellAnchor>
  <xdr:twoCellAnchor editAs="absolute">
    <xdr:from>
      <xdr:col>11</xdr:col>
      <xdr:colOff>165426</xdr:colOff>
      <xdr:row>27</xdr:row>
      <xdr:rowOff>50685</xdr:rowOff>
    </xdr:from>
    <xdr:to>
      <xdr:col>11</xdr:col>
      <xdr:colOff>873848</xdr:colOff>
      <xdr:row>28</xdr:row>
      <xdr:rowOff>68985</xdr:rowOff>
    </xdr:to>
    <xdr:sp macro="" textlink="">
      <xdr:nvSpPr>
        <xdr:cNvPr id="66" name="テキスト ボックス 65">
          <a:extLst>
            <a:ext uri="{FF2B5EF4-FFF2-40B4-BE49-F238E27FC236}">
              <a16:creationId xmlns:a16="http://schemas.microsoft.com/office/drawing/2014/main" id="{00000000-0008-0000-0300-000042000000}"/>
            </a:ext>
          </a:extLst>
        </xdr:cNvPr>
        <xdr:cNvSpPr txBox="1"/>
      </xdr:nvSpPr>
      <xdr:spPr>
        <a:xfrm>
          <a:off x="6884036" y="4487941"/>
          <a:ext cx="708422"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4</a:t>
          </a:r>
          <a:r>
            <a:rPr kumimoji="1" lang="ja-JP" altLang="en-US" sz="800" b="0">
              <a:latin typeface="Arial" panose="020B0604020202020204" pitchFamily="34" charset="0"/>
              <a:cs typeface="Arial" panose="020B0604020202020204" pitchFamily="34" charset="0"/>
            </a:rPr>
            <a:t>（教育）</a:t>
          </a:r>
        </a:p>
      </xdr:txBody>
    </xdr:sp>
    <xdr:clientData/>
  </xdr:twoCellAnchor>
  <xdr:twoCellAnchor editAs="absolute">
    <xdr:from>
      <xdr:col>11</xdr:col>
      <xdr:colOff>165426</xdr:colOff>
      <xdr:row>28</xdr:row>
      <xdr:rowOff>30267</xdr:rowOff>
    </xdr:from>
    <xdr:to>
      <xdr:col>12</xdr:col>
      <xdr:colOff>74342</xdr:colOff>
      <xdr:row>29</xdr:row>
      <xdr:rowOff>48567</xdr:rowOff>
    </xdr:to>
    <xdr:sp macro="" textlink="">
      <xdr:nvSpPr>
        <xdr:cNvPr id="67" name="テキスト ボックス 66">
          <a:extLst>
            <a:ext uri="{FF2B5EF4-FFF2-40B4-BE49-F238E27FC236}">
              <a16:creationId xmlns:a16="http://schemas.microsoft.com/office/drawing/2014/main" id="{00000000-0008-0000-0300-000043000000}"/>
            </a:ext>
          </a:extLst>
        </xdr:cNvPr>
        <xdr:cNvSpPr txBox="1"/>
      </xdr:nvSpPr>
      <xdr:spPr>
        <a:xfrm>
          <a:off x="6884036" y="4658023"/>
          <a:ext cx="814952"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5</a:t>
          </a:r>
          <a:r>
            <a:rPr kumimoji="1" lang="ja-JP" altLang="en-US" sz="800" b="0">
              <a:latin typeface="Arial" panose="020B0604020202020204" pitchFamily="34" charset="0"/>
              <a:cs typeface="Arial" panose="020B0604020202020204" pitchFamily="34" charset="0"/>
            </a:rPr>
            <a:t>（ｼﾞｪﾝﾀﾞｰ）</a:t>
          </a:r>
        </a:p>
      </xdr:txBody>
    </xdr:sp>
    <xdr:clientData/>
  </xdr:twoCellAnchor>
  <xdr:twoCellAnchor editAs="absolute">
    <xdr:from>
      <xdr:col>11</xdr:col>
      <xdr:colOff>165426</xdr:colOff>
      <xdr:row>29</xdr:row>
      <xdr:rowOff>9849</xdr:rowOff>
    </xdr:from>
    <xdr:to>
      <xdr:col>12</xdr:col>
      <xdr:colOff>74342</xdr:colOff>
      <xdr:row>30</xdr:row>
      <xdr:rowOff>28149</xdr:rowOff>
    </xdr:to>
    <xdr:sp macro="" textlink="">
      <xdr:nvSpPr>
        <xdr:cNvPr id="68" name="テキスト ボックス 67">
          <a:extLst>
            <a:ext uri="{FF2B5EF4-FFF2-40B4-BE49-F238E27FC236}">
              <a16:creationId xmlns:a16="http://schemas.microsoft.com/office/drawing/2014/main" id="{00000000-0008-0000-0300-000044000000}"/>
            </a:ext>
          </a:extLst>
        </xdr:cNvPr>
        <xdr:cNvSpPr txBox="1"/>
      </xdr:nvSpPr>
      <xdr:spPr>
        <a:xfrm>
          <a:off x="6884036" y="4828105"/>
          <a:ext cx="814952"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6</a:t>
          </a:r>
          <a:r>
            <a:rPr kumimoji="1" lang="ja-JP" altLang="en-US" sz="800" b="0">
              <a:latin typeface="Arial" panose="020B0604020202020204" pitchFamily="34" charset="0"/>
              <a:cs typeface="Arial" panose="020B0604020202020204" pitchFamily="34" charset="0"/>
            </a:rPr>
            <a:t>（水・衛生）</a:t>
          </a:r>
        </a:p>
      </xdr:txBody>
    </xdr:sp>
    <xdr:clientData/>
  </xdr:twoCellAnchor>
  <xdr:twoCellAnchor editAs="absolute">
    <xdr:from>
      <xdr:col>11</xdr:col>
      <xdr:colOff>165426</xdr:colOff>
      <xdr:row>29</xdr:row>
      <xdr:rowOff>179931</xdr:rowOff>
    </xdr:from>
    <xdr:to>
      <xdr:col>12</xdr:col>
      <xdr:colOff>74342</xdr:colOff>
      <xdr:row>31</xdr:row>
      <xdr:rowOff>7731</xdr:rowOff>
    </xdr:to>
    <xdr:sp macro="" textlink="">
      <xdr:nvSpPr>
        <xdr:cNvPr id="69" name="テキスト ボックス 68">
          <a:extLst>
            <a:ext uri="{FF2B5EF4-FFF2-40B4-BE49-F238E27FC236}">
              <a16:creationId xmlns:a16="http://schemas.microsoft.com/office/drawing/2014/main" id="{00000000-0008-0000-0300-000045000000}"/>
            </a:ext>
          </a:extLst>
        </xdr:cNvPr>
        <xdr:cNvSpPr txBox="1"/>
      </xdr:nvSpPr>
      <xdr:spPr>
        <a:xfrm>
          <a:off x="6884036" y="4998187"/>
          <a:ext cx="814952"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7</a:t>
          </a:r>
          <a:r>
            <a:rPr kumimoji="1" lang="ja-JP" altLang="en-US" sz="800" b="0">
              <a:latin typeface="Arial" panose="020B0604020202020204" pitchFamily="34" charset="0"/>
              <a:cs typeface="Arial" panose="020B0604020202020204" pitchFamily="34" charset="0"/>
            </a:rPr>
            <a:t>（ｴﾈﾙｷﾞｰ）</a:t>
          </a:r>
        </a:p>
      </xdr:txBody>
    </xdr:sp>
    <xdr:clientData/>
  </xdr:twoCellAnchor>
  <xdr:twoCellAnchor editAs="absolute">
    <xdr:from>
      <xdr:col>11</xdr:col>
      <xdr:colOff>165426</xdr:colOff>
      <xdr:row>30</xdr:row>
      <xdr:rowOff>159513</xdr:rowOff>
    </xdr:from>
    <xdr:to>
      <xdr:col>12</xdr:col>
      <xdr:colOff>74342</xdr:colOff>
      <xdr:row>31</xdr:row>
      <xdr:rowOff>177813</xdr:rowOff>
    </xdr:to>
    <xdr:sp macro="" textlink="">
      <xdr:nvSpPr>
        <xdr:cNvPr id="70" name="テキスト ボックス 69">
          <a:extLst>
            <a:ext uri="{FF2B5EF4-FFF2-40B4-BE49-F238E27FC236}">
              <a16:creationId xmlns:a16="http://schemas.microsoft.com/office/drawing/2014/main" id="{00000000-0008-0000-0300-000046000000}"/>
            </a:ext>
          </a:extLst>
        </xdr:cNvPr>
        <xdr:cNvSpPr txBox="1"/>
      </xdr:nvSpPr>
      <xdr:spPr>
        <a:xfrm>
          <a:off x="6884036" y="5168269"/>
          <a:ext cx="814952"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8</a:t>
          </a:r>
          <a:r>
            <a:rPr kumimoji="1" lang="ja-JP" altLang="en-US" sz="800" b="0">
              <a:latin typeface="Arial" panose="020B0604020202020204" pitchFamily="34" charset="0"/>
              <a:cs typeface="Arial" panose="020B0604020202020204" pitchFamily="34" charset="0"/>
            </a:rPr>
            <a:t>（経済・雇用）</a:t>
          </a:r>
        </a:p>
      </xdr:txBody>
    </xdr:sp>
    <xdr:clientData/>
  </xdr:twoCellAnchor>
  <xdr:twoCellAnchor editAs="absolute">
    <xdr:from>
      <xdr:col>11</xdr:col>
      <xdr:colOff>165426</xdr:colOff>
      <xdr:row>31</xdr:row>
      <xdr:rowOff>139095</xdr:rowOff>
    </xdr:from>
    <xdr:to>
      <xdr:col>12</xdr:col>
      <xdr:colOff>74342</xdr:colOff>
      <xdr:row>32</xdr:row>
      <xdr:rowOff>157395</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6884036" y="5338351"/>
          <a:ext cx="814952"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9</a:t>
          </a:r>
          <a:r>
            <a:rPr kumimoji="1" lang="ja-JP" altLang="en-US" sz="800" b="0">
              <a:latin typeface="Arial" panose="020B0604020202020204" pitchFamily="34" charset="0"/>
              <a:cs typeface="Arial" panose="020B0604020202020204" pitchFamily="34" charset="0"/>
            </a:rPr>
            <a:t>（ｲﾉﾍﾞｰｼｮﾝ）</a:t>
          </a:r>
        </a:p>
      </xdr:txBody>
    </xdr:sp>
    <xdr:clientData/>
  </xdr:twoCellAnchor>
  <xdr:twoCellAnchor editAs="absolute">
    <xdr:from>
      <xdr:col>11</xdr:col>
      <xdr:colOff>165426</xdr:colOff>
      <xdr:row>32</xdr:row>
      <xdr:rowOff>118677</xdr:rowOff>
    </xdr:from>
    <xdr:to>
      <xdr:col>11</xdr:col>
      <xdr:colOff>873848</xdr:colOff>
      <xdr:row>33</xdr:row>
      <xdr:rowOff>136977</xdr:rowOff>
    </xdr:to>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6884036" y="5508433"/>
          <a:ext cx="708422"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11</a:t>
          </a:r>
          <a:r>
            <a:rPr kumimoji="1" lang="ja-JP" altLang="en-US" sz="800" b="0">
              <a:latin typeface="Arial" panose="020B0604020202020204" pitchFamily="34" charset="0"/>
              <a:cs typeface="Arial" panose="020B0604020202020204" pitchFamily="34" charset="0"/>
            </a:rPr>
            <a:t>（都市）</a:t>
          </a:r>
        </a:p>
      </xdr:txBody>
    </xdr:sp>
    <xdr:clientData/>
  </xdr:twoCellAnchor>
  <xdr:twoCellAnchor editAs="absolute">
    <xdr:from>
      <xdr:col>11</xdr:col>
      <xdr:colOff>165425</xdr:colOff>
      <xdr:row>33</xdr:row>
      <xdr:rowOff>98259</xdr:rowOff>
    </xdr:from>
    <xdr:to>
      <xdr:col>12</xdr:col>
      <xdr:colOff>73887</xdr:colOff>
      <xdr:row>34</xdr:row>
      <xdr:rowOff>116559</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6884035" y="5678515"/>
          <a:ext cx="814498"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12</a:t>
          </a:r>
          <a:r>
            <a:rPr kumimoji="1" lang="ja-JP" altLang="en-US" sz="800" b="0">
              <a:latin typeface="Arial" panose="020B0604020202020204" pitchFamily="34" charset="0"/>
              <a:cs typeface="Arial" panose="020B0604020202020204" pitchFamily="34" charset="0"/>
            </a:rPr>
            <a:t>（生産・消費）</a:t>
          </a:r>
        </a:p>
      </xdr:txBody>
    </xdr:sp>
    <xdr:clientData/>
  </xdr:twoCellAnchor>
  <xdr:twoCellAnchor editAs="absolute">
    <xdr:from>
      <xdr:col>11</xdr:col>
      <xdr:colOff>165425</xdr:colOff>
      <xdr:row>34</xdr:row>
      <xdr:rowOff>77841</xdr:rowOff>
    </xdr:from>
    <xdr:to>
      <xdr:col>12</xdr:col>
      <xdr:colOff>78988</xdr:colOff>
      <xdr:row>35</xdr:row>
      <xdr:rowOff>96141</xdr:rowOff>
    </xdr:to>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6884035" y="5848597"/>
          <a:ext cx="819599"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13</a:t>
          </a:r>
          <a:r>
            <a:rPr kumimoji="1" lang="ja-JP" altLang="en-US" sz="800" b="0">
              <a:latin typeface="Arial" panose="020B0604020202020204" pitchFamily="34" charset="0"/>
              <a:cs typeface="Arial" panose="020B0604020202020204" pitchFamily="34" charset="0"/>
            </a:rPr>
            <a:t>（気候変動）</a:t>
          </a:r>
        </a:p>
      </xdr:txBody>
    </xdr:sp>
    <xdr:clientData/>
  </xdr:twoCellAnchor>
  <xdr:twoCellAnchor editAs="absolute">
    <xdr:from>
      <xdr:col>11</xdr:col>
      <xdr:colOff>165425</xdr:colOff>
      <xdr:row>36</xdr:row>
      <xdr:rowOff>37009</xdr:rowOff>
    </xdr:from>
    <xdr:to>
      <xdr:col>12</xdr:col>
      <xdr:colOff>78988</xdr:colOff>
      <xdr:row>37</xdr:row>
      <xdr:rowOff>55309</xdr:rowOff>
    </xdr:to>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6884035" y="6188765"/>
          <a:ext cx="819599"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17</a:t>
          </a:r>
          <a:r>
            <a:rPr kumimoji="1" lang="ja-JP" altLang="en-US" sz="800" b="0">
              <a:latin typeface="Arial" panose="020B0604020202020204" pitchFamily="34" charset="0"/>
              <a:cs typeface="Arial" panose="020B0604020202020204" pitchFamily="34" charset="0"/>
            </a:rPr>
            <a:t>（実施手段）</a:t>
          </a:r>
        </a:p>
      </xdr:txBody>
    </xdr:sp>
    <xdr:clientData/>
  </xdr:twoCellAnchor>
  <xdr:twoCellAnchor editAs="absolute">
    <xdr:from>
      <xdr:col>11</xdr:col>
      <xdr:colOff>165425</xdr:colOff>
      <xdr:row>35</xdr:row>
      <xdr:rowOff>57423</xdr:rowOff>
    </xdr:from>
    <xdr:to>
      <xdr:col>12</xdr:col>
      <xdr:colOff>78988</xdr:colOff>
      <xdr:row>36</xdr:row>
      <xdr:rowOff>75723</xdr:rowOff>
    </xdr:to>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6884035" y="6018679"/>
          <a:ext cx="819599"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15</a:t>
          </a:r>
          <a:r>
            <a:rPr kumimoji="1" lang="ja-JP" altLang="en-US" sz="800" b="0">
              <a:latin typeface="Arial" panose="020B0604020202020204" pitchFamily="34" charset="0"/>
              <a:cs typeface="Arial" panose="020B0604020202020204" pitchFamily="34" charset="0"/>
            </a:rPr>
            <a:t>（陸上資源）</a:t>
          </a:r>
        </a:p>
      </xdr:txBody>
    </xdr:sp>
    <xdr:clientData/>
  </xdr:twoCellAnchor>
  <xdr:twoCellAnchor editAs="absolute">
    <xdr:from>
      <xdr:col>11</xdr:col>
      <xdr:colOff>71008</xdr:colOff>
      <xdr:row>26</xdr:row>
      <xdr:rowOff>94503</xdr:rowOff>
    </xdr:from>
    <xdr:to>
      <xdr:col>11</xdr:col>
      <xdr:colOff>233974</xdr:colOff>
      <xdr:row>27</xdr:row>
      <xdr:rowOff>66003</xdr:rowOff>
    </xdr:to>
    <xdr:pic>
      <xdr:nvPicPr>
        <xdr:cNvPr id="77" name="図 76">
          <a:extLst>
            <a:ext uri="{FF2B5EF4-FFF2-40B4-BE49-F238E27FC236}">
              <a16:creationId xmlns:a16="http://schemas.microsoft.com/office/drawing/2014/main" id="{00000000-0008-0000-0300-00004D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789618" y="4341259"/>
          <a:ext cx="162966" cy="162000"/>
        </a:xfrm>
        <a:prstGeom prst="rect">
          <a:avLst/>
        </a:prstGeom>
      </xdr:spPr>
    </xdr:pic>
    <xdr:clientData/>
  </xdr:twoCellAnchor>
  <xdr:twoCellAnchor editAs="absolute">
    <xdr:from>
      <xdr:col>11</xdr:col>
      <xdr:colOff>71008</xdr:colOff>
      <xdr:row>27</xdr:row>
      <xdr:rowOff>74085</xdr:rowOff>
    </xdr:from>
    <xdr:to>
      <xdr:col>11</xdr:col>
      <xdr:colOff>233974</xdr:colOff>
      <xdr:row>28</xdr:row>
      <xdr:rowOff>45585</xdr:rowOff>
    </xdr:to>
    <xdr:pic>
      <xdr:nvPicPr>
        <xdr:cNvPr id="78" name="図 77">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789618" y="4511341"/>
          <a:ext cx="162966" cy="162000"/>
        </a:xfrm>
        <a:prstGeom prst="rect">
          <a:avLst/>
        </a:prstGeom>
      </xdr:spPr>
    </xdr:pic>
    <xdr:clientData/>
  </xdr:twoCellAnchor>
  <xdr:twoCellAnchor editAs="absolute">
    <xdr:from>
      <xdr:col>11</xdr:col>
      <xdr:colOff>71008</xdr:colOff>
      <xdr:row>28</xdr:row>
      <xdr:rowOff>53667</xdr:rowOff>
    </xdr:from>
    <xdr:to>
      <xdr:col>11</xdr:col>
      <xdr:colOff>233974</xdr:colOff>
      <xdr:row>29</xdr:row>
      <xdr:rowOff>31312</xdr:rowOff>
    </xdr:to>
    <xdr:pic>
      <xdr:nvPicPr>
        <xdr:cNvPr id="79" name="図 78">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789618" y="4681423"/>
          <a:ext cx="162966" cy="168145"/>
        </a:xfrm>
        <a:prstGeom prst="rect">
          <a:avLst/>
        </a:prstGeom>
      </xdr:spPr>
    </xdr:pic>
    <xdr:clientData/>
  </xdr:twoCellAnchor>
  <xdr:twoCellAnchor editAs="absolute">
    <xdr:from>
      <xdr:col>11</xdr:col>
      <xdr:colOff>71008</xdr:colOff>
      <xdr:row>29</xdr:row>
      <xdr:rowOff>33249</xdr:rowOff>
    </xdr:from>
    <xdr:to>
      <xdr:col>11</xdr:col>
      <xdr:colOff>233974</xdr:colOff>
      <xdr:row>30</xdr:row>
      <xdr:rowOff>4749</xdr:rowOff>
    </xdr:to>
    <xdr:pic>
      <xdr:nvPicPr>
        <xdr:cNvPr id="80" name="図 79">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789618" y="4851505"/>
          <a:ext cx="162966" cy="162000"/>
        </a:xfrm>
        <a:prstGeom prst="rect">
          <a:avLst/>
        </a:prstGeom>
      </xdr:spPr>
    </xdr:pic>
    <xdr:clientData/>
  </xdr:twoCellAnchor>
  <xdr:twoCellAnchor editAs="absolute">
    <xdr:from>
      <xdr:col>11</xdr:col>
      <xdr:colOff>71008</xdr:colOff>
      <xdr:row>30</xdr:row>
      <xdr:rowOff>12831</xdr:rowOff>
    </xdr:from>
    <xdr:to>
      <xdr:col>11</xdr:col>
      <xdr:colOff>233974</xdr:colOff>
      <xdr:row>30</xdr:row>
      <xdr:rowOff>174831</xdr:rowOff>
    </xdr:to>
    <xdr:pic>
      <xdr:nvPicPr>
        <xdr:cNvPr id="81" name="図 80">
          <a:extLst>
            <a:ext uri="{FF2B5EF4-FFF2-40B4-BE49-F238E27FC236}">
              <a16:creationId xmlns:a16="http://schemas.microsoft.com/office/drawing/2014/main" id="{00000000-0008-0000-0300-000051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789618" y="5021587"/>
          <a:ext cx="162966" cy="162000"/>
        </a:xfrm>
        <a:prstGeom prst="rect">
          <a:avLst/>
        </a:prstGeom>
      </xdr:spPr>
    </xdr:pic>
    <xdr:clientData/>
  </xdr:twoCellAnchor>
  <xdr:twoCellAnchor editAs="absolute">
    <xdr:from>
      <xdr:col>11</xdr:col>
      <xdr:colOff>71008</xdr:colOff>
      <xdr:row>30</xdr:row>
      <xdr:rowOff>182913</xdr:rowOff>
    </xdr:from>
    <xdr:to>
      <xdr:col>11</xdr:col>
      <xdr:colOff>233974</xdr:colOff>
      <xdr:row>31</xdr:row>
      <xdr:rowOff>154413</xdr:rowOff>
    </xdr:to>
    <xdr:pic>
      <xdr:nvPicPr>
        <xdr:cNvPr id="82" name="図 81">
          <a:extLst>
            <a:ext uri="{FF2B5EF4-FFF2-40B4-BE49-F238E27FC236}">
              <a16:creationId xmlns:a16="http://schemas.microsoft.com/office/drawing/2014/main" id="{00000000-0008-0000-0300-000052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789618" y="5191669"/>
          <a:ext cx="162966" cy="162000"/>
        </a:xfrm>
        <a:prstGeom prst="rect">
          <a:avLst/>
        </a:prstGeom>
      </xdr:spPr>
    </xdr:pic>
    <xdr:clientData/>
  </xdr:twoCellAnchor>
  <xdr:twoCellAnchor editAs="absolute">
    <xdr:from>
      <xdr:col>11</xdr:col>
      <xdr:colOff>71008</xdr:colOff>
      <xdr:row>31</xdr:row>
      <xdr:rowOff>162495</xdr:rowOff>
    </xdr:from>
    <xdr:to>
      <xdr:col>11</xdr:col>
      <xdr:colOff>234064</xdr:colOff>
      <xdr:row>32</xdr:row>
      <xdr:rowOff>133995</xdr:rowOff>
    </xdr:to>
    <xdr:pic>
      <xdr:nvPicPr>
        <xdr:cNvPr id="83" name="図 82">
          <a:extLst>
            <a:ext uri="{FF2B5EF4-FFF2-40B4-BE49-F238E27FC236}">
              <a16:creationId xmlns:a16="http://schemas.microsoft.com/office/drawing/2014/main" id="{00000000-0008-0000-0300-000053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789618" y="5361751"/>
          <a:ext cx="163056" cy="162000"/>
        </a:xfrm>
        <a:prstGeom prst="rect">
          <a:avLst/>
        </a:prstGeom>
      </xdr:spPr>
    </xdr:pic>
    <xdr:clientData/>
  </xdr:twoCellAnchor>
  <xdr:twoCellAnchor editAs="absolute">
    <xdr:from>
      <xdr:col>11</xdr:col>
      <xdr:colOff>71008</xdr:colOff>
      <xdr:row>32</xdr:row>
      <xdr:rowOff>142077</xdr:rowOff>
    </xdr:from>
    <xdr:to>
      <xdr:col>11</xdr:col>
      <xdr:colOff>233987</xdr:colOff>
      <xdr:row>33</xdr:row>
      <xdr:rowOff>113577</xdr:rowOff>
    </xdr:to>
    <xdr:pic>
      <xdr:nvPicPr>
        <xdr:cNvPr id="84" name="図 83">
          <a:extLst>
            <a:ext uri="{FF2B5EF4-FFF2-40B4-BE49-F238E27FC236}">
              <a16:creationId xmlns:a16="http://schemas.microsoft.com/office/drawing/2014/main" id="{00000000-0008-0000-0300-000054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789618" y="5531833"/>
          <a:ext cx="162979" cy="162000"/>
        </a:xfrm>
        <a:prstGeom prst="rect">
          <a:avLst/>
        </a:prstGeom>
      </xdr:spPr>
    </xdr:pic>
    <xdr:clientData/>
  </xdr:twoCellAnchor>
  <xdr:twoCellAnchor editAs="absolute">
    <xdr:from>
      <xdr:col>11</xdr:col>
      <xdr:colOff>71008</xdr:colOff>
      <xdr:row>33</xdr:row>
      <xdr:rowOff>121659</xdr:rowOff>
    </xdr:from>
    <xdr:to>
      <xdr:col>11</xdr:col>
      <xdr:colOff>233987</xdr:colOff>
      <xdr:row>34</xdr:row>
      <xdr:rowOff>93159</xdr:rowOff>
    </xdr:to>
    <xdr:pic>
      <xdr:nvPicPr>
        <xdr:cNvPr id="85" name="図 84">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789618" y="5701915"/>
          <a:ext cx="162979" cy="162000"/>
        </a:xfrm>
        <a:prstGeom prst="rect">
          <a:avLst/>
        </a:prstGeom>
      </xdr:spPr>
    </xdr:pic>
    <xdr:clientData/>
  </xdr:twoCellAnchor>
  <xdr:twoCellAnchor editAs="absolute">
    <xdr:from>
      <xdr:col>11</xdr:col>
      <xdr:colOff>71008</xdr:colOff>
      <xdr:row>34</xdr:row>
      <xdr:rowOff>101241</xdr:rowOff>
    </xdr:from>
    <xdr:to>
      <xdr:col>11</xdr:col>
      <xdr:colOff>233987</xdr:colOff>
      <xdr:row>35</xdr:row>
      <xdr:rowOff>72741</xdr:rowOff>
    </xdr:to>
    <xdr:pic>
      <xdr:nvPicPr>
        <xdr:cNvPr id="86" name="図 85">
          <a:extLst>
            <a:ext uri="{FF2B5EF4-FFF2-40B4-BE49-F238E27FC236}">
              <a16:creationId xmlns:a16="http://schemas.microsoft.com/office/drawing/2014/main" id="{00000000-0008-0000-0300-000056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789618" y="5871997"/>
          <a:ext cx="162979" cy="162000"/>
        </a:xfrm>
        <a:prstGeom prst="rect">
          <a:avLst/>
        </a:prstGeom>
      </xdr:spPr>
    </xdr:pic>
    <xdr:clientData/>
  </xdr:twoCellAnchor>
  <xdr:twoCellAnchor editAs="absolute">
    <xdr:from>
      <xdr:col>11</xdr:col>
      <xdr:colOff>71008</xdr:colOff>
      <xdr:row>35</xdr:row>
      <xdr:rowOff>80823</xdr:rowOff>
    </xdr:from>
    <xdr:to>
      <xdr:col>11</xdr:col>
      <xdr:colOff>233987</xdr:colOff>
      <xdr:row>36</xdr:row>
      <xdr:rowOff>52323</xdr:rowOff>
    </xdr:to>
    <xdr:pic>
      <xdr:nvPicPr>
        <xdr:cNvPr id="87" name="図 86">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789618" y="6042079"/>
          <a:ext cx="162979" cy="162000"/>
        </a:xfrm>
        <a:prstGeom prst="rect">
          <a:avLst/>
        </a:prstGeom>
      </xdr:spPr>
    </xdr:pic>
    <xdr:clientData/>
  </xdr:twoCellAnchor>
  <xdr:twoCellAnchor editAs="absolute">
    <xdr:from>
      <xdr:col>11</xdr:col>
      <xdr:colOff>71008</xdr:colOff>
      <xdr:row>36</xdr:row>
      <xdr:rowOff>60409</xdr:rowOff>
    </xdr:from>
    <xdr:to>
      <xdr:col>11</xdr:col>
      <xdr:colOff>233965</xdr:colOff>
      <xdr:row>37</xdr:row>
      <xdr:rowOff>31909</xdr:rowOff>
    </xdr:to>
    <xdr:pic>
      <xdr:nvPicPr>
        <xdr:cNvPr id="88" name="図 87">
          <a:extLst>
            <a:ext uri="{FF2B5EF4-FFF2-40B4-BE49-F238E27FC236}">
              <a16:creationId xmlns:a16="http://schemas.microsoft.com/office/drawing/2014/main" id="{00000000-0008-0000-0300-000058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6789618" y="6212165"/>
          <a:ext cx="162957" cy="162000"/>
        </a:xfrm>
        <a:prstGeom prst="rect">
          <a:avLst/>
        </a:prstGeom>
      </xdr:spPr>
    </xdr:pic>
    <xdr:clientData/>
  </xdr:twoCellAnchor>
  <xdr:twoCellAnchor>
    <xdr:from>
      <xdr:col>9</xdr:col>
      <xdr:colOff>781050</xdr:colOff>
      <xdr:row>2</xdr:row>
      <xdr:rowOff>133350</xdr:rowOff>
    </xdr:from>
    <xdr:to>
      <xdr:col>11</xdr:col>
      <xdr:colOff>898525</xdr:colOff>
      <xdr:row>3</xdr:row>
      <xdr:rowOff>234950</xdr:rowOff>
    </xdr:to>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5667375" y="447675"/>
          <a:ext cx="1946275" cy="339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1400" b="1">
              <a:latin typeface="Arial" panose="020B0604020202020204" pitchFamily="34" charset="0"/>
              <a:cs typeface="Arial" panose="020B0604020202020204" pitchFamily="34" charset="0"/>
            </a:rPr>
            <a:t>2025</a:t>
          </a:r>
          <a:r>
            <a:rPr kumimoji="1" lang="ja-JP" altLang="en-US" sz="1400" b="1">
              <a:latin typeface="Arial" panose="020B0604020202020204" pitchFamily="34" charset="0"/>
              <a:cs typeface="Arial" panose="020B0604020202020204" pitchFamily="34" charset="0"/>
            </a:rPr>
            <a:t>年</a:t>
          </a:r>
          <a:r>
            <a:rPr kumimoji="1" lang="en-US" altLang="ja-JP" sz="1400" b="1">
              <a:latin typeface="Arial" panose="020B0604020202020204" pitchFamily="34" charset="0"/>
              <a:cs typeface="Arial" panose="020B0604020202020204" pitchFamily="34" charset="0"/>
            </a:rPr>
            <a:t>SDGs</a:t>
          </a:r>
          <a:r>
            <a:rPr kumimoji="1" lang="ja-JP" altLang="en-US" sz="1400" b="1">
              <a:latin typeface="Arial" panose="020B0604020202020204" pitchFamily="34" charset="0"/>
              <a:cs typeface="Arial" panose="020B0604020202020204" pitchFamily="34" charset="0"/>
            </a:rPr>
            <a:t>対応版</a:t>
          </a:r>
        </a:p>
      </xdr:txBody>
    </xdr:sp>
    <xdr:clientData/>
  </xdr:twoCellAnchor>
  <xdr:twoCellAnchor editAs="absolute">
    <xdr:from>
      <xdr:col>11</xdr:col>
      <xdr:colOff>811156</xdr:colOff>
      <xdr:row>25</xdr:row>
      <xdr:rowOff>146499</xdr:rowOff>
    </xdr:from>
    <xdr:to>
      <xdr:col>15</xdr:col>
      <xdr:colOff>50238</xdr:colOff>
      <xdr:row>38</xdr:row>
      <xdr:rowOff>56219</xdr:rowOff>
    </xdr:to>
    <xdr:graphicFrame macro="">
      <xdr:nvGraphicFramePr>
        <xdr:cNvPr id="52" name="グラフ 51">
          <a:extLst>
            <a:ext uri="{FF2B5EF4-FFF2-40B4-BE49-F238E27FC236}">
              <a16:creationId xmlns:a16="http://schemas.microsoft.com/office/drawing/2014/main" id="{00000000-0008-0000-0300-00003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2</xdr:col>
      <xdr:colOff>0</xdr:colOff>
      <xdr:row>1</xdr:row>
      <xdr:rowOff>0</xdr:rowOff>
    </xdr:from>
    <xdr:to>
      <xdr:col>6</xdr:col>
      <xdr:colOff>412507</xdr:colOff>
      <xdr:row>4</xdr:row>
      <xdr:rowOff>23305</xdr:rowOff>
    </xdr:to>
    <xdr:pic>
      <xdr:nvPicPr>
        <xdr:cNvPr id="51" name="図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26"/>
        <a:stretch>
          <a:fillRect/>
        </a:stretch>
      </xdr:blipFill>
      <xdr:spPr>
        <a:xfrm>
          <a:off x="219075" y="76200"/>
          <a:ext cx="3060457" cy="737680"/>
        </a:xfrm>
        <a:prstGeom prst="rect">
          <a:avLst/>
        </a:prstGeom>
      </xdr:spPr>
    </xdr:pic>
    <xdr:clientData/>
  </xdr:twoCellAnchor>
</xdr:wsDr>
</file>

<file path=xl/drawings/drawing13.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4.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SDGs評価あり）'!$X$40">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SDGs評価あり）'!$X$41">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99%</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SDGs評価あり）'!$X$42">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99%</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SDGs評価あり）'!$X$43">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99%</a:t>
          </a:fld>
          <a:endParaRPr lang="ja-JP" altLang="en-US" sz="800" b="1">
            <a:solidFill>
              <a:sysClr val="windowText" lastClr="000000"/>
            </a:solidFill>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SDGs評価あり）'!$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0.11657</cdr:x>
      <cdr:y>0.65863</cdr:y>
    </cdr:from>
    <cdr:to>
      <cdr:x>0.27842</cdr:x>
      <cdr:y>0.80924</cdr:y>
    </cdr:to>
    <cdr:sp macro="" textlink="'結果（SDGs評価あり）'!$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0.342</cdr:x>
      <cdr:y>0.65261</cdr:y>
    </cdr:from>
    <cdr:to>
      <cdr:x>0.50385</cdr:x>
      <cdr:y>0.80321</cdr:y>
    </cdr:to>
    <cdr:sp macro="" textlink="'結果（SDGs評価あり）'!$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0.80154</cdr:x>
      <cdr:y>0.65863</cdr:y>
    </cdr:from>
    <cdr:to>
      <cdr:x>0.96339</cdr:x>
      <cdr:y>0.80924</cdr:y>
    </cdr:to>
    <cdr:sp macro="" textlink="'結果（SDGs評価あり）'!$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16.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SDGs評価あり）'!$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0.43837</cdr:x>
      <cdr:y>0.67068</cdr:y>
    </cdr:from>
    <cdr:to>
      <cdr:x>0.62808</cdr:x>
      <cdr:y>0.81526</cdr:y>
    </cdr:to>
    <cdr:sp macro="" textlink="'結果（SDGs評価あり）'!$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SDGs評価あり）'!$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1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結果（SDGs評価あり）'!$Z$49">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結果（SDGs評価あり）'!$Z$50">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結果（SDGs評価あり）'!$Z$51">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18.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SDGs評価あり）'!$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SDGs評価あり）'!$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SDGs評価あり）'!$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SDGs評価あり）'!$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SDGs評価あり）'!$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SDGs評価あり）'!$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SDGs評価あり）'!$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a:extLst>
            <a:ext uri="{FF2B5EF4-FFF2-40B4-BE49-F238E27FC236}">
              <a16:creationId xmlns:a16="http://schemas.microsoft.com/office/drawing/2014/main" id="{00000000-0008-0000-04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619125</xdr:colOff>
      <xdr:row>23</xdr:row>
      <xdr:rowOff>0</xdr:rowOff>
    </xdr:from>
    <xdr:to>
      <xdr:col>6</xdr:col>
      <xdr:colOff>485775</xdr:colOff>
      <xdr:row>27</xdr:row>
      <xdr:rowOff>9525</xdr:rowOff>
    </xdr:to>
    <xdr:graphicFrame macro="">
      <xdr:nvGraphicFramePr>
        <xdr:cNvPr id="44" name="Chart 123">
          <a:extLst>
            <a:ext uri="{FF2B5EF4-FFF2-40B4-BE49-F238E27FC236}">
              <a16:creationId xmlns:a16="http://schemas.microsoft.com/office/drawing/2014/main" id="{00000000-0008-0000-04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5" name="Text Box 39">
          <a:extLst>
            <a:ext uri="{FF2B5EF4-FFF2-40B4-BE49-F238E27FC236}">
              <a16:creationId xmlns:a16="http://schemas.microsoft.com/office/drawing/2014/main" id="{00000000-0008-0000-0400-00002D000000}"/>
            </a:ext>
          </a:extLst>
        </xdr:cNvPr>
        <xdr:cNvSpPr txBox="1">
          <a:spLocks noChangeArrowheads="1"/>
        </xdr:cNvSpPr>
      </xdr:nvSpPr>
      <xdr:spPr bwMode="auto">
        <a:xfrm>
          <a:off x="47625" y="39147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25</xdr:row>
      <xdr:rowOff>180975</xdr:rowOff>
    </xdr:from>
    <xdr:to>
      <xdr:col>7</xdr:col>
      <xdr:colOff>9525</xdr:colOff>
      <xdr:row>27</xdr:row>
      <xdr:rowOff>19050</xdr:rowOff>
    </xdr:to>
    <xdr:sp macro="" textlink="">
      <xdr:nvSpPr>
        <xdr:cNvPr id="46" name="Text Box 129">
          <a:extLst>
            <a:ext uri="{FF2B5EF4-FFF2-40B4-BE49-F238E27FC236}">
              <a16:creationId xmlns:a16="http://schemas.microsoft.com/office/drawing/2014/main" id="{00000000-0008-0000-0400-00002E000000}"/>
            </a:ext>
          </a:extLst>
        </xdr:cNvPr>
        <xdr:cNvSpPr txBox="1">
          <a:spLocks noChangeArrowheads="1"/>
        </xdr:cNvSpPr>
      </xdr:nvSpPr>
      <xdr:spPr bwMode="auto">
        <a:xfrm>
          <a:off x="133350" y="42957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152400</xdr:colOff>
      <xdr:row>26</xdr:row>
      <xdr:rowOff>0</xdr:rowOff>
    </xdr:from>
    <xdr:to>
      <xdr:col>11</xdr:col>
      <xdr:colOff>228600</xdr:colOff>
      <xdr:row>27</xdr:row>
      <xdr:rowOff>28575</xdr:rowOff>
    </xdr:to>
    <xdr:sp macro="" textlink="">
      <xdr:nvSpPr>
        <xdr:cNvPr id="47" name="Text Box 129">
          <a:extLst>
            <a:ext uri="{FF2B5EF4-FFF2-40B4-BE49-F238E27FC236}">
              <a16:creationId xmlns:a16="http://schemas.microsoft.com/office/drawing/2014/main" id="{00000000-0008-0000-0400-00002F000000}"/>
            </a:ext>
          </a:extLst>
        </xdr:cNvPr>
        <xdr:cNvSpPr txBox="1">
          <a:spLocks noChangeArrowheads="1"/>
        </xdr:cNvSpPr>
      </xdr:nvSpPr>
      <xdr:spPr bwMode="auto">
        <a:xfrm>
          <a:off x="3514725" y="43053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22</xdr:row>
      <xdr:rowOff>219075</xdr:rowOff>
    </xdr:from>
    <xdr:to>
      <xdr:col>10</xdr:col>
      <xdr:colOff>485775</xdr:colOff>
      <xdr:row>26</xdr:row>
      <xdr:rowOff>171450</xdr:rowOff>
    </xdr:to>
    <xdr:graphicFrame macro="">
      <xdr:nvGraphicFramePr>
        <xdr:cNvPr id="48" name="Chart 123">
          <a:extLst>
            <a:ext uri="{FF2B5EF4-FFF2-40B4-BE49-F238E27FC236}">
              <a16:creationId xmlns:a16="http://schemas.microsoft.com/office/drawing/2014/main" id="{00000000-0008-0000-04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xdr:col>
      <xdr:colOff>57150</xdr:colOff>
      <xdr:row>26</xdr:row>
      <xdr:rowOff>123825</xdr:rowOff>
    </xdr:from>
    <xdr:to>
      <xdr:col>6</xdr:col>
      <xdr:colOff>200025</xdr:colOff>
      <xdr:row>39</xdr:row>
      <xdr:rowOff>66675</xdr:rowOff>
    </xdr:to>
    <xdr:graphicFrame macro="">
      <xdr:nvGraphicFramePr>
        <xdr:cNvPr id="49" name="Chart 17">
          <a:extLst>
            <a:ext uri="{FF2B5EF4-FFF2-40B4-BE49-F238E27FC236}">
              <a16:creationId xmlns:a16="http://schemas.microsoft.com/office/drawing/2014/main" id="{00000000-0008-0000-04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27</xdr:row>
      <xdr:rowOff>47625</xdr:rowOff>
    </xdr:from>
    <xdr:to>
      <xdr:col>10</xdr:col>
      <xdr:colOff>857250</xdr:colOff>
      <xdr:row>36</xdr:row>
      <xdr:rowOff>47625</xdr:rowOff>
    </xdr:to>
    <xdr:graphicFrame macro="">
      <xdr:nvGraphicFramePr>
        <xdr:cNvPr id="50" name="Chart 130">
          <a:extLst>
            <a:ext uri="{FF2B5EF4-FFF2-40B4-BE49-F238E27FC236}">
              <a16:creationId xmlns:a16="http://schemas.microsoft.com/office/drawing/2014/main" id="{00000000-0008-0000-04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28</xdr:row>
      <xdr:rowOff>38100</xdr:rowOff>
    </xdr:from>
    <xdr:to>
      <xdr:col>8</xdr:col>
      <xdr:colOff>209550</xdr:colOff>
      <xdr:row>29</xdr:row>
      <xdr:rowOff>76200</xdr:rowOff>
    </xdr:to>
    <xdr:sp macro="" textlink="">
      <xdr:nvSpPr>
        <xdr:cNvPr id="51" name="Text Box 131">
          <a:extLst>
            <a:ext uri="{FF2B5EF4-FFF2-40B4-BE49-F238E27FC236}">
              <a16:creationId xmlns:a16="http://schemas.microsoft.com/office/drawing/2014/main" id="{00000000-0008-0000-0400-000033000000}"/>
            </a:ext>
          </a:extLst>
        </xdr:cNvPr>
        <xdr:cNvSpPr txBox="1">
          <a:spLocks noChangeArrowheads="1"/>
        </xdr:cNvSpPr>
      </xdr:nvSpPr>
      <xdr:spPr bwMode="auto">
        <a:xfrm>
          <a:off x="3362325" y="47244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29</xdr:row>
      <xdr:rowOff>161925</xdr:rowOff>
    </xdr:from>
    <xdr:to>
      <xdr:col>8</xdr:col>
      <xdr:colOff>276225</xdr:colOff>
      <xdr:row>31</xdr:row>
      <xdr:rowOff>9525</xdr:rowOff>
    </xdr:to>
    <xdr:sp macro="" textlink="">
      <xdr:nvSpPr>
        <xdr:cNvPr id="52" name="Text Box 46">
          <a:extLst>
            <a:ext uri="{FF2B5EF4-FFF2-40B4-BE49-F238E27FC236}">
              <a16:creationId xmlns:a16="http://schemas.microsoft.com/office/drawing/2014/main" id="{00000000-0008-0000-0400-000034000000}"/>
            </a:ext>
          </a:extLst>
        </xdr:cNvPr>
        <xdr:cNvSpPr txBox="1">
          <a:spLocks noChangeArrowheads="1"/>
        </xdr:cNvSpPr>
      </xdr:nvSpPr>
      <xdr:spPr bwMode="auto">
        <a:xfrm>
          <a:off x="3352800" y="50387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31</xdr:row>
      <xdr:rowOff>47625</xdr:rowOff>
    </xdr:from>
    <xdr:to>
      <xdr:col>8</xdr:col>
      <xdr:colOff>276225</xdr:colOff>
      <xdr:row>32</xdr:row>
      <xdr:rowOff>152400</xdr:rowOff>
    </xdr:to>
    <xdr:sp macro="" textlink="">
      <xdr:nvSpPr>
        <xdr:cNvPr id="53" name="Text Box 47">
          <a:extLst>
            <a:ext uri="{FF2B5EF4-FFF2-40B4-BE49-F238E27FC236}">
              <a16:creationId xmlns:a16="http://schemas.microsoft.com/office/drawing/2014/main" id="{00000000-0008-0000-0400-000035000000}"/>
            </a:ext>
          </a:extLst>
        </xdr:cNvPr>
        <xdr:cNvSpPr txBox="1">
          <a:spLocks noChangeArrowheads="1"/>
        </xdr:cNvSpPr>
      </xdr:nvSpPr>
      <xdr:spPr bwMode="auto">
        <a:xfrm>
          <a:off x="3352800" y="53054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32</xdr:row>
      <xdr:rowOff>180975</xdr:rowOff>
    </xdr:from>
    <xdr:to>
      <xdr:col>8</xdr:col>
      <xdr:colOff>276225</xdr:colOff>
      <xdr:row>34</xdr:row>
      <xdr:rowOff>95250</xdr:rowOff>
    </xdr:to>
    <xdr:sp macro="" textlink="">
      <xdr:nvSpPr>
        <xdr:cNvPr id="54" name="Text Box 49">
          <a:extLst>
            <a:ext uri="{FF2B5EF4-FFF2-40B4-BE49-F238E27FC236}">
              <a16:creationId xmlns:a16="http://schemas.microsoft.com/office/drawing/2014/main" id="{00000000-0008-0000-0400-000036000000}"/>
            </a:ext>
          </a:extLst>
        </xdr:cNvPr>
        <xdr:cNvSpPr txBox="1">
          <a:spLocks noChangeArrowheads="1"/>
        </xdr:cNvSpPr>
      </xdr:nvSpPr>
      <xdr:spPr bwMode="auto">
        <a:xfrm>
          <a:off x="3352800" y="56292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35</xdr:row>
      <xdr:rowOff>114300</xdr:rowOff>
    </xdr:from>
    <xdr:to>
      <xdr:col>11</xdr:col>
      <xdr:colOff>47625</xdr:colOff>
      <xdr:row>36</xdr:row>
      <xdr:rowOff>133350</xdr:rowOff>
    </xdr:to>
    <xdr:sp macro="" textlink="">
      <xdr:nvSpPr>
        <xdr:cNvPr id="55" name="Text Box 45">
          <a:extLst>
            <a:ext uri="{FF2B5EF4-FFF2-40B4-BE49-F238E27FC236}">
              <a16:creationId xmlns:a16="http://schemas.microsoft.com/office/drawing/2014/main" id="{00000000-0008-0000-0400-000037000000}"/>
            </a:ext>
          </a:extLst>
        </xdr:cNvPr>
        <xdr:cNvSpPr txBox="1">
          <a:spLocks noChangeArrowheads="1"/>
        </xdr:cNvSpPr>
      </xdr:nvSpPr>
      <xdr:spPr bwMode="auto">
        <a:xfrm>
          <a:off x="5800725" y="61341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editAs="absolute">
    <xdr:from>
      <xdr:col>10</xdr:col>
      <xdr:colOff>695325</xdr:colOff>
      <xdr:row>22</xdr:row>
      <xdr:rowOff>200025</xdr:rowOff>
    </xdr:from>
    <xdr:to>
      <xdr:col>15</xdr:col>
      <xdr:colOff>0</xdr:colOff>
      <xdr:row>38</xdr:row>
      <xdr:rowOff>104775</xdr:rowOff>
    </xdr:to>
    <xdr:graphicFrame macro="">
      <xdr:nvGraphicFramePr>
        <xdr:cNvPr id="56" name="Chart 8">
          <a:extLst>
            <a:ext uri="{FF2B5EF4-FFF2-40B4-BE49-F238E27FC236}">
              <a16:creationId xmlns:a16="http://schemas.microsoft.com/office/drawing/2014/main" id="{00000000-0008-0000-04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57" name="Chart 4">
          <a:extLst>
            <a:ext uri="{FF2B5EF4-FFF2-40B4-BE49-F238E27FC236}">
              <a16:creationId xmlns:a16="http://schemas.microsoft.com/office/drawing/2014/main" id="{00000000-0008-0000-04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59" name="Chart 15">
          <a:extLst>
            <a:ext uri="{FF2B5EF4-FFF2-40B4-BE49-F238E27FC236}">
              <a16:creationId xmlns:a16="http://schemas.microsoft.com/office/drawing/2014/main" id="{00000000-0008-0000-04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209550</xdr:colOff>
      <xdr:row>42</xdr:row>
      <xdr:rowOff>104775</xdr:rowOff>
    </xdr:from>
    <xdr:to>
      <xdr:col>14</xdr:col>
      <xdr:colOff>714375</xdr:colOff>
      <xdr:row>50</xdr:row>
      <xdr:rowOff>161925</xdr:rowOff>
    </xdr:to>
    <xdr:graphicFrame macro="">
      <xdr:nvGraphicFramePr>
        <xdr:cNvPr id="60" name="Chart 15">
          <a:extLst>
            <a:ext uri="{FF2B5EF4-FFF2-40B4-BE49-F238E27FC236}">
              <a16:creationId xmlns:a16="http://schemas.microsoft.com/office/drawing/2014/main" id="{00000000-0008-0000-04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61" name="Chart 4">
          <a:extLst>
            <a:ext uri="{FF2B5EF4-FFF2-40B4-BE49-F238E27FC236}">
              <a16:creationId xmlns:a16="http://schemas.microsoft.com/office/drawing/2014/main" id="{00000000-0008-0000-04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63" name="Chart 15">
          <a:extLst>
            <a:ext uri="{FF2B5EF4-FFF2-40B4-BE49-F238E27FC236}">
              <a16:creationId xmlns:a16="http://schemas.microsoft.com/office/drawing/2014/main" id="{00000000-0008-0000-04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219075</xdr:colOff>
      <xdr:row>54</xdr:row>
      <xdr:rowOff>0</xdr:rowOff>
    </xdr:from>
    <xdr:to>
      <xdr:col>14</xdr:col>
      <xdr:colOff>723900</xdr:colOff>
      <xdr:row>62</xdr:row>
      <xdr:rowOff>0</xdr:rowOff>
    </xdr:to>
    <xdr:graphicFrame macro="">
      <xdr:nvGraphicFramePr>
        <xdr:cNvPr id="64" name="Chart 15">
          <a:extLst>
            <a:ext uri="{FF2B5EF4-FFF2-40B4-BE49-F238E27FC236}">
              <a16:creationId xmlns:a16="http://schemas.microsoft.com/office/drawing/2014/main" id="{00000000-0008-0000-04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65" name="Text Box 20">
          <a:extLst>
            <a:ext uri="{FF2B5EF4-FFF2-40B4-BE49-F238E27FC236}">
              <a16:creationId xmlns:a16="http://schemas.microsoft.com/office/drawing/2014/main" id="{00000000-0008-0000-0400-000041000000}"/>
            </a:ext>
          </a:extLst>
        </xdr:cNvPr>
        <xdr:cNvSpPr txBox="1">
          <a:spLocks noChangeArrowheads="1"/>
        </xdr:cNvSpPr>
      </xdr:nvSpPr>
      <xdr:spPr bwMode="auto">
        <a:xfrm>
          <a:off x="438150" y="89344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66" name="Text Box 21">
          <a:extLst>
            <a:ext uri="{FF2B5EF4-FFF2-40B4-BE49-F238E27FC236}">
              <a16:creationId xmlns:a16="http://schemas.microsoft.com/office/drawing/2014/main" id="{00000000-0008-0000-0400-000042000000}"/>
            </a:ext>
          </a:extLst>
        </xdr:cNvPr>
        <xdr:cNvSpPr txBox="1">
          <a:spLocks noChangeArrowheads="1"/>
        </xdr:cNvSpPr>
      </xdr:nvSpPr>
      <xdr:spPr bwMode="auto">
        <a:xfrm>
          <a:off x="4143375" y="89344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561975</xdr:colOff>
      <xdr:row>49</xdr:row>
      <xdr:rowOff>171450</xdr:rowOff>
    </xdr:from>
    <xdr:ext cx="419100" cy="133350"/>
    <xdr:sp macro="" textlink="">
      <xdr:nvSpPr>
        <xdr:cNvPr id="67" name="Text Box 22">
          <a:extLst>
            <a:ext uri="{FF2B5EF4-FFF2-40B4-BE49-F238E27FC236}">
              <a16:creationId xmlns:a16="http://schemas.microsoft.com/office/drawing/2014/main" id="{00000000-0008-0000-0400-000043000000}"/>
            </a:ext>
          </a:extLst>
        </xdr:cNvPr>
        <xdr:cNvSpPr txBox="1">
          <a:spLocks noChangeArrowheads="1"/>
        </xdr:cNvSpPr>
      </xdr:nvSpPr>
      <xdr:spPr bwMode="auto">
        <a:xfrm>
          <a:off x="7277100" y="894397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68" name="Text Box 107">
          <a:extLst>
            <a:ext uri="{FF2B5EF4-FFF2-40B4-BE49-F238E27FC236}">
              <a16:creationId xmlns:a16="http://schemas.microsoft.com/office/drawing/2014/main" id="{00000000-0008-0000-0400-000044000000}"/>
            </a:ext>
          </a:extLst>
        </xdr:cNvPr>
        <xdr:cNvSpPr txBox="1">
          <a:spLocks noChangeArrowheads="1"/>
        </xdr:cNvSpPr>
      </xdr:nvSpPr>
      <xdr:spPr bwMode="auto">
        <a:xfrm>
          <a:off x="4972050" y="88868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69" name="Text Box 108">
          <a:extLst>
            <a:ext uri="{FF2B5EF4-FFF2-40B4-BE49-F238E27FC236}">
              <a16:creationId xmlns:a16="http://schemas.microsoft.com/office/drawing/2014/main" id="{00000000-0008-0000-0400-000045000000}"/>
            </a:ext>
          </a:extLst>
        </xdr:cNvPr>
        <xdr:cNvSpPr txBox="1">
          <a:spLocks noChangeArrowheads="1"/>
        </xdr:cNvSpPr>
      </xdr:nvSpPr>
      <xdr:spPr bwMode="auto">
        <a:xfrm>
          <a:off x="5876925" y="88868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495300</xdr:colOff>
      <xdr:row>49</xdr:row>
      <xdr:rowOff>114300</xdr:rowOff>
    </xdr:from>
    <xdr:to>
      <xdr:col>13</xdr:col>
      <xdr:colOff>142875</xdr:colOff>
      <xdr:row>51</xdr:row>
      <xdr:rowOff>0</xdr:rowOff>
    </xdr:to>
    <xdr:sp macro="" textlink="">
      <xdr:nvSpPr>
        <xdr:cNvPr id="70" name="Text Box 109">
          <a:extLst>
            <a:ext uri="{FF2B5EF4-FFF2-40B4-BE49-F238E27FC236}">
              <a16:creationId xmlns:a16="http://schemas.microsoft.com/office/drawing/2014/main" id="{00000000-0008-0000-0400-000046000000}"/>
            </a:ext>
          </a:extLst>
        </xdr:cNvPr>
        <xdr:cNvSpPr txBox="1">
          <a:spLocks noChangeArrowheads="1"/>
        </xdr:cNvSpPr>
      </xdr:nvSpPr>
      <xdr:spPr bwMode="auto">
        <a:xfrm>
          <a:off x="8115300" y="8886825"/>
          <a:ext cx="5429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523875</xdr:colOff>
      <xdr:row>49</xdr:row>
      <xdr:rowOff>114300</xdr:rowOff>
    </xdr:from>
    <xdr:to>
      <xdr:col>14</xdr:col>
      <xdr:colOff>342900</xdr:colOff>
      <xdr:row>51</xdr:row>
      <xdr:rowOff>0</xdr:rowOff>
    </xdr:to>
    <xdr:sp macro="" textlink="">
      <xdr:nvSpPr>
        <xdr:cNvPr id="71" name="Text Box 110">
          <a:extLst>
            <a:ext uri="{FF2B5EF4-FFF2-40B4-BE49-F238E27FC236}">
              <a16:creationId xmlns:a16="http://schemas.microsoft.com/office/drawing/2014/main" id="{00000000-0008-0000-0400-000047000000}"/>
            </a:ext>
          </a:extLst>
        </xdr:cNvPr>
        <xdr:cNvSpPr txBox="1">
          <a:spLocks noChangeArrowheads="1"/>
        </xdr:cNvSpPr>
      </xdr:nvSpPr>
      <xdr:spPr bwMode="auto">
        <a:xfrm>
          <a:off x="9039225" y="8886825"/>
          <a:ext cx="4762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42</xdr:row>
      <xdr:rowOff>9525</xdr:rowOff>
    </xdr:from>
    <xdr:ext cx="779957" cy="201850"/>
    <xdr:sp macro="" textlink="">
      <xdr:nvSpPr>
        <xdr:cNvPr id="72" name="Text Box 135">
          <a:extLst>
            <a:ext uri="{FF2B5EF4-FFF2-40B4-BE49-F238E27FC236}">
              <a16:creationId xmlns:a16="http://schemas.microsoft.com/office/drawing/2014/main" id="{00000000-0008-0000-0400-000048000000}"/>
            </a:ext>
          </a:extLst>
        </xdr:cNvPr>
        <xdr:cNvSpPr txBox="1">
          <a:spLocks noChangeArrowheads="1"/>
        </xdr:cNvSpPr>
      </xdr:nvSpPr>
      <xdr:spPr bwMode="auto">
        <a:xfrm>
          <a:off x="8601075" y="74485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73" name="Text Box 138">
          <a:extLst>
            <a:ext uri="{FF2B5EF4-FFF2-40B4-BE49-F238E27FC236}">
              <a16:creationId xmlns:a16="http://schemas.microsoft.com/office/drawing/2014/main" id="{00000000-0008-0000-0400-000049000000}"/>
            </a:ext>
          </a:extLst>
        </xdr:cNvPr>
        <xdr:cNvSpPr txBox="1">
          <a:spLocks noChangeArrowheads="1"/>
        </xdr:cNvSpPr>
      </xdr:nvSpPr>
      <xdr:spPr bwMode="auto">
        <a:xfrm>
          <a:off x="4943475" y="74199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74" name="Text Box 139">
          <a:extLst>
            <a:ext uri="{FF2B5EF4-FFF2-40B4-BE49-F238E27FC236}">
              <a16:creationId xmlns:a16="http://schemas.microsoft.com/office/drawing/2014/main" id="{00000000-0008-0000-0400-00004A000000}"/>
            </a:ext>
          </a:extLst>
        </xdr:cNvPr>
        <xdr:cNvSpPr txBox="1">
          <a:spLocks noChangeArrowheads="1"/>
        </xdr:cNvSpPr>
      </xdr:nvSpPr>
      <xdr:spPr bwMode="auto">
        <a:xfrm>
          <a:off x="1981200" y="74390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75" name="Text Box 142">
          <a:extLst>
            <a:ext uri="{FF2B5EF4-FFF2-40B4-BE49-F238E27FC236}">
              <a16:creationId xmlns:a16="http://schemas.microsoft.com/office/drawing/2014/main" id="{00000000-0008-0000-0400-00004B000000}"/>
            </a:ext>
          </a:extLst>
        </xdr:cNvPr>
        <xdr:cNvSpPr txBox="1">
          <a:spLocks noChangeArrowheads="1"/>
        </xdr:cNvSpPr>
      </xdr:nvSpPr>
      <xdr:spPr bwMode="auto">
        <a:xfrm>
          <a:off x="1152525" y="89439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76" name="Text Box 143">
          <a:extLst>
            <a:ext uri="{FF2B5EF4-FFF2-40B4-BE49-F238E27FC236}">
              <a16:creationId xmlns:a16="http://schemas.microsoft.com/office/drawing/2014/main" id="{00000000-0008-0000-0400-00004C000000}"/>
            </a:ext>
          </a:extLst>
        </xdr:cNvPr>
        <xdr:cNvSpPr txBox="1">
          <a:spLocks noChangeArrowheads="1"/>
        </xdr:cNvSpPr>
      </xdr:nvSpPr>
      <xdr:spPr bwMode="auto">
        <a:xfrm>
          <a:off x="1943100" y="89439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77" name="Text Box 144">
          <a:extLst>
            <a:ext uri="{FF2B5EF4-FFF2-40B4-BE49-F238E27FC236}">
              <a16:creationId xmlns:a16="http://schemas.microsoft.com/office/drawing/2014/main" id="{00000000-0008-0000-0400-00004D000000}"/>
            </a:ext>
          </a:extLst>
        </xdr:cNvPr>
        <xdr:cNvSpPr txBox="1">
          <a:spLocks noChangeArrowheads="1"/>
        </xdr:cNvSpPr>
      </xdr:nvSpPr>
      <xdr:spPr bwMode="auto">
        <a:xfrm>
          <a:off x="2562225" y="89344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62</xdr:row>
      <xdr:rowOff>0</xdr:rowOff>
    </xdr:to>
    <xdr:sp macro="" textlink="">
      <xdr:nvSpPr>
        <xdr:cNvPr id="78" name="Text Box 7">
          <a:extLst>
            <a:ext uri="{FF2B5EF4-FFF2-40B4-BE49-F238E27FC236}">
              <a16:creationId xmlns:a16="http://schemas.microsoft.com/office/drawing/2014/main" id="{00000000-0008-0000-0400-00004E000000}"/>
            </a:ext>
          </a:extLst>
        </xdr:cNvPr>
        <xdr:cNvSpPr txBox="1">
          <a:spLocks noChangeArrowheads="1"/>
        </xdr:cNvSpPr>
      </xdr:nvSpPr>
      <xdr:spPr bwMode="auto">
        <a:xfrm>
          <a:off x="4019550" y="110585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62</xdr:row>
      <xdr:rowOff>0</xdr:rowOff>
    </xdr:to>
    <xdr:sp macro="" textlink="">
      <xdr:nvSpPr>
        <xdr:cNvPr id="79" name="Text Box 104">
          <a:extLst>
            <a:ext uri="{FF2B5EF4-FFF2-40B4-BE49-F238E27FC236}">
              <a16:creationId xmlns:a16="http://schemas.microsoft.com/office/drawing/2014/main" id="{00000000-0008-0000-0400-00004F000000}"/>
            </a:ext>
          </a:extLst>
        </xdr:cNvPr>
        <xdr:cNvSpPr txBox="1">
          <a:spLocks noChangeArrowheads="1"/>
        </xdr:cNvSpPr>
      </xdr:nvSpPr>
      <xdr:spPr bwMode="auto">
        <a:xfrm>
          <a:off x="48863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80" name="Text Box 136">
          <a:extLst>
            <a:ext uri="{FF2B5EF4-FFF2-40B4-BE49-F238E27FC236}">
              <a16:creationId xmlns:a16="http://schemas.microsoft.com/office/drawing/2014/main" id="{00000000-0008-0000-0400-000050000000}"/>
            </a:ext>
          </a:extLst>
        </xdr:cNvPr>
        <xdr:cNvSpPr txBox="1">
          <a:spLocks noChangeArrowheads="1"/>
        </xdr:cNvSpPr>
      </xdr:nvSpPr>
      <xdr:spPr bwMode="auto">
        <a:xfrm>
          <a:off x="85820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81" name="Text Box 137">
          <a:extLst>
            <a:ext uri="{FF2B5EF4-FFF2-40B4-BE49-F238E27FC236}">
              <a16:creationId xmlns:a16="http://schemas.microsoft.com/office/drawing/2014/main" id="{00000000-0008-0000-0400-000051000000}"/>
            </a:ext>
          </a:extLst>
        </xdr:cNvPr>
        <xdr:cNvSpPr txBox="1">
          <a:spLocks noChangeArrowheads="1"/>
        </xdr:cNvSpPr>
      </xdr:nvSpPr>
      <xdr:spPr bwMode="auto">
        <a:xfrm>
          <a:off x="4857750"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82" name="Text Box 140">
          <a:extLst>
            <a:ext uri="{FF2B5EF4-FFF2-40B4-BE49-F238E27FC236}">
              <a16:creationId xmlns:a16="http://schemas.microsoft.com/office/drawing/2014/main" id="{00000000-0008-0000-0400-000052000000}"/>
            </a:ext>
          </a:extLst>
        </xdr:cNvPr>
        <xdr:cNvSpPr txBox="1">
          <a:spLocks noChangeArrowheads="1"/>
        </xdr:cNvSpPr>
      </xdr:nvSpPr>
      <xdr:spPr bwMode="auto">
        <a:xfrm>
          <a:off x="19145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62</xdr:row>
      <xdr:rowOff>0</xdr:rowOff>
    </xdr:to>
    <xdr:sp macro="" textlink="">
      <xdr:nvSpPr>
        <xdr:cNvPr id="83" name="Text Box 145">
          <a:extLst>
            <a:ext uri="{FF2B5EF4-FFF2-40B4-BE49-F238E27FC236}">
              <a16:creationId xmlns:a16="http://schemas.microsoft.com/office/drawing/2014/main" id="{00000000-0008-0000-0400-000053000000}"/>
            </a:ext>
          </a:extLst>
        </xdr:cNvPr>
        <xdr:cNvSpPr txBox="1">
          <a:spLocks noChangeArrowheads="1"/>
        </xdr:cNvSpPr>
      </xdr:nvSpPr>
      <xdr:spPr bwMode="auto">
        <a:xfrm>
          <a:off x="57626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62</xdr:row>
      <xdr:rowOff>0</xdr:rowOff>
    </xdr:to>
    <xdr:sp macro="" textlink="">
      <xdr:nvSpPr>
        <xdr:cNvPr id="84" name="Text Box 23">
          <a:extLst>
            <a:ext uri="{FF2B5EF4-FFF2-40B4-BE49-F238E27FC236}">
              <a16:creationId xmlns:a16="http://schemas.microsoft.com/office/drawing/2014/main" id="{00000000-0008-0000-0400-000054000000}"/>
            </a:ext>
          </a:extLst>
        </xdr:cNvPr>
        <xdr:cNvSpPr txBox="1">
          <a:spLocks noChangeArrowheads="1"/>
        </xdr:cNvSpPr>
      </xdr:nvSpPr>
      <xdr:spPr bwMode="auto">
        <a:xfrm>
          <a:off x="295275" y="110585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62</xdr:row>
      <xdr:rowOff>0</xdr:rowOff>
    </xdr:to>
    <xdr:sp macro="" textlink="">
      <xdr:nvSpPr>
        <xdr:cNvPr id="85" name="Text Box 101">
          <a:extLst>
            <a:ext uri="{FF2B5EF4-FFF2-40B4-BE49-F238E27FC236}">
              <a16:creationId xmlns:a16="http://schemas.microsoft.com/office/drawing/2014/main" id="{00000000-0008-0000-0400-000055000000}"/>
            </a:ext>
          </a:extLst>
        </xdr:cNvPr>
        <xdr:cNvSpPr txBox="1">
          <a:spLocks noChangeArrowheads="1"/>
        </xdr:cNvSpPr>
      </xdr:nvSpPr>
      <xdr:spPr bwMode="auto">
        <a:xfrm>
          <a:off x="1171575" y="110585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86" name="Text Box 102">
          <a:extLst>
            <a:ext uri="{FF2B5EF4-FFF2-40B4-BE49-F238E27FC236}">
              <a16:creationId xmlns:a16="http://schemas.microsoft.com/office/drawing/2014/main" id="{00000000-0008-0000-0400-000056000000}"/>
            </a:ext>
          </a:extLst>
        </xdr:cNvPr>
        <xdr:cNvSpPr txBox="1">
          <a:spLocks noChangeArrowheads="1"/>
        </xdr:cNvSpPr>
      </xdr:nvSpPr>
      <xdr:spPr bwMode="auto">
        <a:xfrm>
          <a:off x="1866900" y="110585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87" name="Text Box 103">
          <a:extLst>
            <a:ext uri="{FF2B5EF4-FFF2-40B4-BE49-F238E27FC236}">
              <a16:creationId xmlns:a16="http://schemas.microsoft.com/office/drawing/2014/main" id="{00000000-0008-0000-0400-000057000000}"/>
            </a:ext>
          </a:extLst>
        </xdr:cNvPr>
        <xdr:cNvSpPr txBox="1">
          <a:spLocks noChangeArrowheads="1"/>
        </xdr:cNvSpPr>
      </xdr:nvSpPr>
      <xdr:spPr bwMode="auto">
        <a:xfrm>
          <a:off x="2752725" y="110585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457200</xdr:colOff>
      <xdr:row>60</xdr:row>
      <xdr:rowOff>104775</xdr:rowOff>
    </xdr:from>
    <xdr:to>
      <xdr:col>12</xdr:col>
      <xdr:colOff>257175</xdr:colOff>
      <xdr:row>61</xdr:row>
      <xdr:rowOff>180975</xdr:rowOff>
    </xdr:to>
    <xdr:sp macro="" textlink="">
      <xdr:nvSpPr>
        <xdr:cNvPr id="88" name="Text Box 148">
          <a:extLst>
            <a:ext uri="{FF2B5EF4-FFF2-40B4-BE49-F238E27FC236}">
              <a16:creationId xmlns:a16="http://schemas.microsoft.com/office/drawing/2014/main" id="{00000000-0008-0000-0400-000058000000}"/>
            </a:ext>
          </a:extLst>
        </xdr:cNvPr>
        <xdr:cNvSpPr txBox="1">
          <a:spLocks noChangeArrowheads="1"/>
        </xdr:cNvSpPr>
      </xdr:nvSpPr>
      <xdr:spPr bwMode="auto">
        <a:xfrm>
          <a:off x="717232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447675</xdr:colOff>
      <xdr:row>60</xdr:row>
      <xdr:rowOff>104775</xdr:rowOff>
    </xdr:from>
    <xdr:to>
      <xdr:col>13</xdr:col>
      <xdr:colOff>257175</xdr:colOff>
      <xdr:row>61</xdr:row>
      <xdr:rowOff>180975</xdr:rowOff>
    </xdr:to>
    <xdr:sp macro="" textlink="">
      <xdr:nvSpPr>
        <xdr:cNvPr id="89" name="Text Box 149">
          <a:extLst>
            <a:ext uri="{FF2B5EF4-FFF2-40B4-BE49-F238E27FC236}">
              <a16:creationId xmlns:a16="http://schemas.microsoft.com/office/drawing/2014/main" id="{00000000-0008-0000-0400-000059000000}"/>
            </a:ext>
          </a:extLst>
        </xdr:cNvPr>
        <xdr:cNvSpPr txBox="1">
          <a:spLocks noChangeArrowheads="1"/>
        </xdr:cNvSpPr>
      </xdr:nvSpPr>
      <xdr:spPr bwMode="auto">
        <a:xfrm>
          <a:off x="80676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466725</xdr:colOff>
      <xdr:row>60</xdr:row>
      <xdr:rowOff>104775</xdr:rowOff>
    </xdr:from>
    <xdr:to>
      <xdr:col>14</xdr:col>
      <xdr:colOff>514350</xdr:colOff>
      <xdr:row>61</xdr:row>
      <xdr:rowOff>180975</xdr:rowOff>
    </xdr:to>
    <xdr:sp macro="" textlink="">
      <xdr:nvSpPr>
        <xdr:cNvPr id="90" name="Text Box 150">
          <a:extLst>
            <a:ext uri="{FF2B5EF4-FFF2-40B4-BE49-F238E27FC236}">
              <a16:creationId xmlns:a16="http://schemas.microsoft.com/office/drawing/2014/main" id="{00000000-0008-0000-0400-00005A000000}"/>
            </a:ext>
          </a:extLst>
        </xdr:cNvPr>
        <xdr:cNvSpPr txBox="1">
          <a:spLocks noChangeArrowheads="1"/>
        </xdr:cNvSpPr>
      </xdr:nvSpPr>
      <xdr:spPr bwMode="auto">
        <a:xfrm>
          <a:off x="89820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64</xdr:row>
      <xdr:rowOff>0</xdr:rowOff>
    </xdr:from>
    <xdr:to>
      <xdr:col>15</xdr:col>
      <xdr:colOff>9525</xdr:colOff>
      <xdr:row>90</xdr:row>
      <xdr:rowOff>76200</xdr:rowOff>
    </xdr:to>
    <xdr:sp macro="" textlink="">
      <xdr:nvSpPr>
        <xdr:cNvPr id="58" name="Text Box 141">
          <a:extLst>
            <a:ext uri="{FF2B5EF4-FFF2-40B4-BE49-F238E27FC236}">
              <a16:creationId xmlns:a16="http://schemas.microsoft.com/office/drawing/2014/main" id="{00000000-0008-0000-0400-00003A000000}"/>
            </a:ext>
          </a:extLst>
        </xdr:cNvPr>
        <xdr:cNvSpPr txBox="1">
          <a:spLocks noChangeArrowheads="1"/>
        </xdr:cNvSpPr>
      </xdr:nvSpPr>
      <xdr:spPr bwMode="auto">
        <a:xfrm>
          <a:off x="57150" y="144113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absolute">
    <xdr:from>
      <xdr:col>16384</xdr:col>
      <xdr:colOff>970480</xdr:colOff>
      <xdr:row>23</xdr:row>
      <xdr:rowOff>29544</xdr:rowOff>
    </xdr:from>
    <xdr:to>
      <xdr:col>16384</xdr:col>
      <xdr:colOff>972263</xdr:colOff>
      <xdr:row>38</xdr:row>
      <xdr:rowOff>183879</xdr:rowOff>
    </xdr:to>
    <xdr:graphicFrame macro="">
      <xdr:nvGraphicFramePr>
        <xdr:cNvPr id="62" name="Chart 8">
          <a:extLst>
            <a:ext uri="{FF2B5EF4-FFF2-40B4-BE49-F238E27FC236}">
              <a16:creationId xmlns:a16="http://schemas.microsoft.com/office/drawing/2014/main" id="{00000000-0008-0000-04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142875</xdr:colOff>
      <xdr:row>1</xdr:row>
      <xdr:rowOff>47625</xdr:rowOff>
    </xdr:from>
    <xdr:to>
      <xdr:col>6</xdr:col>
      <xdr:colOff>394250</xdr:colOff>
      <xdr:row>4</xdr:row>
      <xdr:rowOff>66675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4"/>
        <a:stretch>
          <a:fillRect/>
        </a:stretch>
      </xdr:blipFill>
      <xdr:spPr>
        <a:xfrm>
          <a:off x="200025" y="123825"/>
          <a:ext cx="3061250" cy="733425"/>
        </a:xfrm>
        <a:prstGeom prst="rect">
          <a:avLst/>
        </a:prstGeom>
      </xdr:spPr>
    </xdr:pic>
    <xdr:clientData/>
  </xdr:twoCellAnchor>
  <xdr:twoCellAnchor>
    <xdr:from>
      <xdr:col>12</xdr:col>
      <xdr:colOff>22412</xdr:colOff>
      <xdr:row>31</xdr:row>
      <xdr:rowOff>145678</xdr:rowOff>
    </xdr:from>
    <xdr:to>
      <xdr:col>12</xdr:col>
      <xdr:colOff>521259</xdr:colOff>
      <xdr:row>33</xdr:row>
      <xdr:rowOff>12375</xdr:rowOff>
    </xdr:to>
    <xdr:sp macro="" textlink="$AB$12">
      <xdr:nvSpPr>
        <xdr:cNvPr id="4" name="テキスト ボックス 3">
          <a:extLst>
            <a:ext uri="{FF2B5EF4-FFF2-40B4-BE49-F238E27FC236}">
              <a16:creationId xmlns:a16="http://schemas.microsoft.com/office/drawing/2014/main" id="{0E2419A1-BB15-425C-8B32-B8A7E93CAD8B}"/>
            </a:ext>
          </a:extLst>
        </xdr:cNvPr>
        <xdr:cNvSpPr txBox="1"/>
      </xdr:nvSpPr>
      <xdr:spPr>
        <a:xfrm>
          <a:off x="7642412" y="5345207"/>
          <a:ext cx="498847" cy="24769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A0E7A460-8F25-442A-B321-06568460295C}" type="TxLink">
            <a:rPr lang="en-US" altLang="en-US" sz="1100" b="0" i="0" u="none" strike="noStrike" kern="1200">
              <a:solidFill>
                <a:srgbClr val="000000"/>
              </a:solidFill>
              <a:latin typeface="Arial"/>
              <a:cs typeface="Arial"/>
            </a:rPr>
            <a:pPr/>
            <a:t> </a:t>
          </a:fld>
          <a:endParaRPr lang="ja-JP" altLang="en-US" sz="1100" kern="1200"/>
        </a:p>
      </xdr:txBody>
    </xdr:sp>
    <xdr:clientData/>
  </xdr:twoCellAnchor>
  <xdr:twoCellAnchor>
    <xdr:from>
      <xdr:col>11</xdr:col>
      <xdr:colOff>885264</xdr:colOff>
      <xdr:row>28</xdr:row>
      <xdr:rowOff>156883</xdr:rowOff>
    </xdr:from>
    <xdr:to>
      <xdr:col>12</xdr:col>
      <xdr:colOff>476435</xdr:colOff>
      <xdr:row>30</xdr:row>
      <xdr:rowOff>23580</xdr:rowOff>
    </xdr:to>
    <xdr:sp macro="" textlink="$AB$13">
      <xdr:nvSpPr>
        <xdr:cNvPr id="5" name="テキスト ボックス 4">
          <a:extLst>
            <a:ext uri="{FF2B5EF4-FFF2-40B4-BE49-F238E27FC236}">
              <a16:creationId xmlns:a16="http://schemas.microsoft.com/office/drawing/2014/main" id="{06546ED7-13B3-445D-A93D-C60C8FEC4A9E}"/>
            </a:ext>
          </a:extLst>
        </xdr:cNvPr>
        <xdr:cNvSpPr txBox="1"/>
      </xdr:nvSpPr>
      <xdr:spPr>
        <a:xfrm>
          <a:off x="7597588" y="4784912"/>
          <a:ext cx="498847" cy="24769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B51711-13AE-4A79-B5B2-19DCE440F17C}" type="TxLink">
            <a:rPr lang="en-US" altLang="en-US" sz="1100" b="0" i="0" u="none" strike="noStrike" kern="1200">
              <a:solidFill>
                <a:srgbClr val="000000"/>
              </a:solidFill>
              <a:latin typeface="Arial"/>
              <a:cs typeface="Arial"/>
            </a:rPr>
            <a:pPr/>
            <a:t> </a:t>
          </a:fld>
          <a:endParaRPr lang="ja-JP" altLang="en-US" sz="1100" kern="1200"/>
        </a:p>
      </xdr:txBody>
    </xdr:sp>
    <xdr:clientData/>
  </xdr:twoCellAnchor>
  <xdr:twoCellAnchor>
    <xdr:from>
      <xdr:col>12</xdr:col>
      <xdr:colOff>504265</xdr:colOff>
      <xdr:row>26</xdr:row>
      <xdr:rowOff>179294</xdr:rowOff>
    </xdr:from>
    <xdr:to>
      <xdr:col>13</xdr:col>
      <xdr:colOff>106641</xdr:colOff>
      <xdr:row>28</xdr:row>
      <xdr:rowOff>45991</xdr:rowOff>
    </xdr:to>
    <xdr:sp macro="" textlink="$AB$8">
      <xdr:nvSpPr>
        <xdr:cNvPr id="6" name="テキスト ボックス 5">
          <a:extLst>
            <a:ext uri="{FF2B5EF4-FFF2-40B4-BE49-F238E27FC236}">
              <a16:creationId xmlns:a16="http://schemas.microsoft.com/office/drawing/2014/main" id="{B910F369-11B0-4CBC-A2A8-A3B14317226C}"/>
            </a:ext>
          </a:extLst>
        </xdr:cNvPr>
        <xdr:cNvSpPr txBox="1"/>
      </xdr:nvSpPr>
      <xdr:spPr>
        <a:xfrm>
          <a:off x="8124265" y="4426323"/>
          <a:ext cx="498847" cy="24769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AF41B4E-77F5-4E61-8D98-0C1ACF849814}" type="TxLink">
            <a:rPr lang="en-US" altLang="en-US" sz="1100" b="0" i="0" u="none" strike="noStrike" kern="1200">
              <a:solidFill>
                <a:srgbClr val="000000"/>
              </a:solidFill>
              <a:latin typeface="Arial"/>
              <a:cs typeface="Arial"/>
            </a:rPr>
            <a:pPr/>
            <a:t> </a:t>
          </a:fld>
          <a:endParaRPr lang="ja-JP" altLang="en-US" sz="1100" kern="1200"/>
        </a:p>
      </xdr:txBody>
    </xdr:sp>
    <xdr:clientData/>
  </xdr:twoCellAnchor>
  <xdr:twoCellAnchor>
    <xdr:from>
      <xdr:col>13</xdr:col>
      <xdr:colOff>253252</xdr:colOff>
      <xdr:row>28</xdr:row>
      <xdr:rowOff>118782</xdr:rowOff>
    </xdr:from>
    <xdr:to>
      <xdr:col>14</xdr:col>
      <xdr:colOff>90952</xdr:colOff>
      <xdr:row>29</xdr:row>
      <xdr:rowOff>175979</xdr:rowOff>
    </xdr:to>
    <xdr:sp macro="" textlink="$AB$9">
      <xdr:nvSpPr>
        <xdr:cNvPr id="7" name="テキスト ボックス 6">
          <a:extLst>
            <a:ext uri="{FF2B5EF4-FFF2-40B4-BE49-F238E27FC236}">
              <a16:creationId xmlns:a16="http://schemas.microsoft.com/office/drawing/2014/main" id="{F2345DF2-FA3B-4D59-9993-57CDC54A1336}"/>
            </a:ext>
          </a:extLst>
        </xdr:cNvPr>
        <xdr:cNvSpPr txBox="1"/>
      </xdr:nvSpPr>
      <xdr:spPr>
        <a:xfrm>
          <a:off x="8769723" y="4746811"/>
          <a:ext cx="498847" cy="24769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A4328D43-C80D-4D07-A9A5-4506EDA89F79}" type="TxLink">
            <a:rPr lang="en-US" altLang="en-US" sz="1100" b="0" i="0" u="none" strike="noStrike" kern="1200">
              <a:solidFill>
                <a:srgbClr val="000000"/>
              </a:solidFill>
              <a:latin typeface="Arial"/>
              <a:cs typeface="Arial"/>
            </a:rPr>
            <a:pPr/>
            <a:t> </a:t>
          </a:fld>
          <a:endParaRPr lang="ja-JP" altLang="en-US" sz="1100" kern="1200"/>
        </a:p>
      </xdr:txBody>
    </xdr:sp>
    <xdr:clientData/>
  </xdr:twoCellAnchor>
  <xdr:twoCellAnchor>
    <xdr:from>
      <xdr:col>13</xdr:col>
      <xdr:colOff>201705</xdr:colOff>
      <xdr:row>32</xdr:row>
      <xdr:rowOff>156883</xdr:rowOff>
    </xdr:from>
    <xdr:to>
      <xdr:col>14</xdr:col>
      <xdr:colOff>39405</xdr:colOff>
      <xdr:row>34</xdr:row>
      <xdr:rowOff>23580</xdr:rowOff>
    </xdr:to>
    <xdr:sp macro="" textlink="$AB$10">
      <xdr:nvSpPr>
        <xdr:cNvPr id="8" name="テキスト ボックス 7">
          <a:extLst>
            <a:ext uri="{FF2B5EF4-FFF2-40B4-BE49-F238E27FC236}">
              <a16:creationId xmlns:a16="http://schemas.microsoft.com/office/drawing/2014/main" id="{EB843D47-CCA2-4958-8C22-7200CF61CF67}"/>
            </a:ext>
          </a:extLst>
        </xdr:cNvPr>
        <xdr:cNvSpPr txBox="1"/>
      </xdr:nvSpPr>
      <xdr:spPr>
        <a:xfrm>
          <a:off x="8718176" y="5546912"/>
          <a:ext cx="498847" cy="24769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66A6C43-A6B9-4B58-A53D-7C1B26331DBE}" type="TxLink">
            <a:rPr lang="en-US" altLang="en-US" sz="1100" b="0" i="0" u="none" strike="noStrike" kern="1200">
              <a:solidFill>
                <a:srgbClr val="000000"/>
              </a:solidFill>
              <a:latin typeface="Arial"/>
              <a:cs typeface="Arial"/>
            </a:rPr>
            <a:pPr/>
            <a:t> </a:t>
          </a:fld>
          <a:endParaRPr lang="ja-JP" altLang="en-US" sz="1100" kern="1200"/>
        </a:p>
      </xdr:txBody>
    </xdr:sp>
    <xdr:clientData/>
  </xdr:twoCellAnchor>
  <xdr:twoCellAnchor>
    <xdr:from>
      <xdr:col>12</xdr:col>
      <xdr:colOff>504265</xdr:colOff>
      <xdr:row>34</xdr:row>
      <xdr:rowOff>100854</xdr:rowOff>
    </xdr:from>
    <xdr:to>
      <xdr:col>13</xdr:col>
      <xdr:colOff>106641</xdr:colOff>
      <xdr:row>35</xdr:row>
      <xdr:rowOff>158051</xdr:rowOff>
    </xdr:to>
    <xdr:sp macro="" textlink="$AB$11">
      <xdr:nvSpPr>
        <xdr:cNvPr id="9" name="テキスト ボックス 8">
          <a:extLst>
            <a:ext uri="{FF2B5EF4-FFF2-40B4-BE49-F238E27FC236}">
              <a16:creationId xmlns:a16="http://schemas.microsoft.com/office/drawing/2014/main" id="{900920BD-A32B-4BEA-9CEA-62569D1D3431}"/>
            </a:ext>
          </a:extLst>
        </xdr:cNvPr>
        <xdr:cNvSpPr txBox="1"/>
      </xdr:nvSpPr>
      <xdr:spPr>
        <a:xfrm>
          <a:off x="8124265" y="5871883"/>
          <a:ext cx="498847" cy="24769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067331E-B6D8-444D-B330-CD8A929191E6}" type="TxLink">
            <a:rPr lang="en-US" altLang="en-US" sz="1100" b="0" i="0" u="none" strike="noStrike" kern="1200">
              <a:solidFill>
                <a:srgbClr val="000000"/>
              </a:solidFill>
              <a:latin typeface="Arial"/>
              <a:cs typeface="Arial"/>
            </a:rPr>
            <a:pPr/>
            <a:t> </a:t>
          </a:fld>
          <a:endParaRPr lang="ja-JP" altLang="en-US" sz="1100" kern="1200"/>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結果（SDGs評価あり）'!$Z$60">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SDGs評価あり）'!$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結果（SDGs評価あり）'!$Z$62">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xdr:row>
          <xdr:rowOff>152400</xdr:rowOff>
        </xdr:from>
        <xdr:to>
          <xdr:col>2</xdr:col>
          <xdr:colOff>0</xdr:colOff>
          <xdr:row>9</xdr:row>
          <xdr:rowOff>152400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14</xdr:row>
          <xdr:rowOff>123825</xdr:rowOff>
        </xdr:from>
        <xdr:to>
          <xdr:col>2</xdr:col>
          <xdr:colOff>0</xdr:colOff>
          <xdr:row>16</xdr:row>
          <xdr:rowOff>19050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18</xdr:row>
          <xdr:rowOff>66675</xdr:rowOff>
        </xdr:from>
        <xdr:to>
          <xdr:col>2</xdr:col>
          <xdr:colOff>0</xdr:colOff>
          <xdr:row>20</xdr:row>
          <xdr:rowOff>114300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22</xdr:row>
          <xdr:rowOff>180975</xdr:rowOff>
        </xdr:from>
        <xdr:to>
          <xdr:col>2</xdr:col>
          <xdr:colOff>0</xdr:colOff>
          <xdr:row>24</xdr:row>
          <xdr:rowOff>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26</xdr:row>
          <xdr:rowOff>142875</xdr:rowOff>
        </xdr:from>
        <xdr:to>
          <xdr:col>2</xdr:col>
          <xdr:colOff>0</xdr:colOff>
          <xdr:row>28</xdr:row>
          <xdr:rowOff>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76200</xdr:colOff>
          <xdr:row>8</xdr:row>
          <xdr:rowOff>66675</xdr:rowOff>
        </xdr:from>
        <xdr:to>
          <xdr:col>12</xdr:col>
          <xdr:colOff>323850</xdr:colOff>
          <xdr:row>8</xdr:row>
          <xdr:rowOff>333375</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D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xdr:row>
          <xdr:rowOff>66675</xdr:rowOff>
        </xdr:from>
        <xdr:to>
          <xdr:col>12</xdr:col>
          <xdr:colOff>323850</xdr:colOff>
          <xdr:row>9</xdr:row>
          <xdr:rowOff>333375</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D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xdr:row>
          <xdr:rowOff>266700</xdr:rowOff>
        </xdr:from>
        <xdr:to>
          <xdr:col>12</xdr:col>
          <xdr:colOff>323850</xdr:colOff>
          <xdr:row>11</xdr:row>
          <xdr:rowOff>123825</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D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85725</xdr:rowOff>
        </xdr:from>
        <xdr:to>
          <xdr:col>12</xdr:col>
          <xdr:colOff>323850</xdr:colOff>
          <xdr:row>17</xdr:row>
          <xdr:rowOff>352425</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D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xdr:row>
          <xdr:rowOff>76200</xdr:rowOff>
        </xdr:from>
        <xdr:to>
          <xdr:col>12</xdr:col>
          <xdr:colOff>323850</xdr:colOff>
          <xdr:row>18</xdr:row>
          <xdr:rowOff>342900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D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xdr:row>
          <xdr:rowOff>66675</xdr:rowOff>
        </xdr:from>
        <xdr:to>
          <xdr:col>12</xdr:col>
          <xdr:colOff>323850</xdr:colOff>
          <xdr:row>19</xdr:row>
          <xdr:rowOff>333375</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D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20</xdr:row>
          <xdr:rowOff>66675</xdr:rowOff>
        </xdr:from>
        <xdr:to>
          <xdr:col>12</xdr:col>
          <xdr:colOff>323850</xdr:colOff>
          <xdr:row>20</xdr:row>
          <xdr:rowOff>333375</xdr:rowOff>
        </xdr:to>
        <xdr:sp macro="" textlink="">
          <xdr:nvSpPr>
            <xdr:cNvPr id="59405" name="Check Box 13" hidden="1">
              <a:extLst>
                <a:ext uri="{63B3BB69-23CF-44E3-9099-C40C66FF867C}">
                  <a14:compatExt spid="_x0000_s59405"/>
                </a:ext>
                <a:ext uri="{FF2B5EF4-FFF2-40B4-BE49-F238E27FC236}">
                  <a16:creationId xmlns:a16="http://schemas.microsoft.com/office/drawing/2014/main" id="{00000000-0008-0000-0D00-00000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21</xdr:row>
          <xdr:rowOff>504825</xdr:rowOff>
        </xdr:from>
        <xdr:to>
          <xdr:col>12</xdr:col>
          <xdr:colOff>323850</xdr:colOff>
          <xdr:row>21</xdr:row>
          <xdr:rowOff>771525</xdr:rowOff>
        </xdr:to>
        <xdr:sp macro="" textlink="">
          <xdr:nvSpPr>
            <xdr:cNvPr id="59406" name="Check Box 14" hidden="1">
              <a:extLst>
                <a:ext uri="{63B3BB69-23CF-44E3-9099-C40C66FF867C}">
                  <a14:compatExt spid="_x0000_s59406"/>
                </a:ext>
                <a:ext uri="{FF2B5EF4-FFF2-40B4-BE49-F238E27FC236}">
                  <a16:creationId xmlns:a16="http://schemas.microsoft.com/office/drawing/2014/main" id="{00000000-0008-0000-0D00-00000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22</xdr:row>
          <xdr:rowOff>66675</xdr:rowOff>
        </xdr:from>
        <xdr:to>
          <xdr:col>12</xdr:col>
          <xdr:colOff>323850</xdr:colOff>
          <xdr:row>22</xdr:row>
          <xdr:rowOff>333375</xdr:rowOff>
        </xdr:to>
        <xdr:sp macro="" textlink="">
          <xdr:nvSpPr>
            <xdr:cNvPr id="59407" name="Check Box 15" hidden="1">
              <a:extLst>
                <a:ext uri="{63B3BB69-23CF-44E3-9099-C40C66FF867C}">
                  <a14:compatExt spid="_x0000_s59407"/>
                </a:ext>
                <a:ext uri="{FF2B5EF4-FFF2-40B4-BE49-F238E27FC236}">
                  <a16:creationId xmlns:a16="http://schemas.microsoft.com/office/drawing/2014/main" id="{00000000-0008-0000-0D00-00000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23</xdr:row>
          <xdr:rowOff>400050</xdr:rowOff>
        </xdr:from>
        <xdr:to>
          <xdr:col>12</xdr:col>
          <xdr:colOff>323850</xdr:colOff>
          <xdr:row>23</xdr:row>
          <xdr:rowOff>666750</xdr:rowOff>
        </xdr:to>
        <xdr:sp macro="" textlink="">
          <xdr:nvSpPr>
            <xdr:cNvPr id="59408" name="Check Box 16" hidden="1">
              <a:extLst>
                <a:ext uri="{63B3BB69-23CF-44E3-9099-C40C66FF867C}">
                  <a14:compatExt spid="_x0000_s59408"/>
                </a:ext>
                <a:ext uri="{FF2B5EF4-FFF2-40B4-BE49-F238E27FC236}">
                  <a16:creationId xmlns:a16="http://schemas.microsoft.com/office/drawing/2014/main" id="{00000000-0008-0000-0D00-00001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xdr:row>
          <xdr:rowOff>76200</xdr:rowOff>
        </xdr:from>
        <xdr:to>
          <xdr:col>12</xdr:col>
          <xdr:colOff>323850</xdr:colOff>
          <xdr:row>25</xdr:row>
          <xdr:rowOff>342900</xdr:rowOff>
        </xdr:to>
        <xdr:sp macro="" textlink="">
          <xdr:nvSpPr>
            <xdr:cNvPr id="59409" name="Check Box 17" hidden="1">
              <a:extLst>
                <a:ext uri="{63B3BB69-23CF-44E3-9099-C40C66FF867C}">
                  <a14:compatExt spid="_x0000_s59409"/>
                </a:ext>
                <a:ext uri="{FF2B5EF4-FFF2-40B4-BE49-F238E27FC236}">
                  <a16:creationId xmlns:a16="http://schemas.microsoft.com/office/drawing/2014/main" id="{00000000-0008-0000-0D00-00001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27</xdr:row>
          <xdr:rowOff>276225</xdr:rowOff>
        </xdr:from>
        <xdr:to>
          <xdr:col>12</xdr:col>
          <xdr:colOff>323850</xdr:colOff>
          <xdr:row>28</xdr:row>
          <xdr:rowOff>133350</xdr:rowOff>
        </xdr:to>
        <xdr:sp macro="" textlink="">
          <xdr:nvSpPr>
            <xdr:cNvPr id="59410" name="Check Box 18" hidden="1">
              <a:extLst>
                <a:ext uri="{63B3BB69-23CF-44E3-9099-C40C66FF867C}">
                  <a14:compatExt spid="_x0000_s59410"/>
                </a:ext>
                <a:ext uri="{FF2B5EF4-FFF2-40B4-BE49-F238E27FC236}">
                  <a16:creationId xmlns:a16="http://schemas.microsoft.com/office/drawing/2014/main" id="{00000000-0008-0000-0D00-00001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29</xdr:row>
          <xdr:rowOff>66675</xdr:rowOff>
        </xdr:from>
        <xdr:to>
          <xdr:col>12</xdr:col>
          <xdr:colOff>323850</xdr:colOff>
          <xdr:row>29</xdr:row>
          <xdr:rowOff>333375</xdr:rowOff>
        </xdr:to>
        <xdr:sp macro="" textlink="">
          <xdr:nvSpPr>
            <xdr:cNvPr id="59411" name="Check Box 19" hidden="1">
              <a:extLst>
                <a:ext uri="{63B3BB69-23CF-44E3-9099-C40C66FF867C}">
                  <a14:compatExt spid="_x0000_s59411"/>
                </a:ext>
                <a:ext uri="{FF2B5EF4-FFF2-40B4-BE49-F238E27FC236}">
                  <a16:creationId xmlns:a16="http://schemas.microsoft.com/office/drawing/2014/main" id="{00000000-0008-0000-0D00-00001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66675</xdr:rowOff>
        </xdr:from>
        <xdr:to>
          <xdr:col>12</xdr:col>
          <xdr:colOff>323850</xdr:colOff>
          <xdr:row>30</xdr:row>
          <xdr:rowOff>333375</xdr:rowOff>
        </xdr:to>
        <xdr:sp macro="" textlink="">
          <xdr:nvSpPr>
            <xdr:cNvPr id="59412" name="Check Box 20" hidden="1">
              <a:extLst>
                <a:ext uri="{63B3BB69-23CF-44E3-9099-C40C66FF867C}">
                  <a14:compatExt spid="_x0000_s59412"/>
                </a:ext>
                <a:ext uri="{FF2B5EF4-FFF2-40B4-BE49-F238E27FC236}">
                  <a16:creationId xmlns:a16="http://schemas.microsoft.com/office/drawing/2014/main" id="{00000000-0008-0000-0D00-00001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31</xdr:row>
          <xdr:rowOff>85725</xdr:rowOff>
        </xdr:from>
        <xdr:to>
          <xdr:col>12</xdr:col>
          <xdr:colOff>323850</xdr:colOff>
          <xdr:row>31</xdr:row>
          <xdr:rowOff>352425</xdr:rowOff>
        </xdr:to>
        <xdr:sp macro="" textlink="">
          <xdr:nvSpPr>
            <xdr:cNvPr id="59413" name="Check Box 21" hidden="1">
              <a:extLst>
                <a:ext uri="{63B3BB69-23CF-44E3-9099-C40C66FF867C}">
                  <a14:compatExt spid="_x0000_s59413"/>
                </a:ext>
                <a:ext uri="{FF2B5EF4-FFF2-40B4-BE49-F238E27FC236}">
                  <a16:creationId xmlns:a16="http://schemas.microsoft.com/office/drawing/2014/main" id="{00000000-0008-0000-0D00-00001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561975</xdr:rowOff>
        </xdr:from>
        <xdr:to>
          <xdr:col>12</xdr:col>
          <xdr:colOff>323850</xdr:colOff>
          <xdr:row>32</xdr:row>
          <xdr:rowOff>828675</xdr:rowOff>
        </xdr:to>
        <xdr:sp macro="" textlink="">
          <xdr:nvSpPr>
            <xdr:cNvPr id="59414" name="Check Box 22" hidden="1">
              <a:extLst>
                <a:ext uri="{63B3BB69-23CF-44E3-9099-C40C66FF867C}">
                  <a14:compatExt spid="_x0000_s59414"/>
                </a:ext>
                <a:ext uri="{FF2B5EF4-FFF2-40B4-BE49-F238E27FC236}">
                  <a16:creationId xmlns:a16="http://schemas.microsoft.com/office/drawing/2014/main" id="{00000000-0008-0000-0D00-00001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33</xdr:row>
          <xdr:rowOff>19050</xdr:rowOff>
        </xdr:from>
        <xdr:to>
          <xdr:col>12</xdr:col>
          <xdr:colOff>323850</xdr:colOff>
          <xdr:row>33</xdr:row>
          <xdr:rowOff>285750</xdr:rowOff>
        </xdr:to>
        <xdr:sp macro="" textlink="">
          <xdr:nvSpPr>
            <xdr:cNvPr id="59415" name="Check Box 23" hidden="1">
              <a:extLst>
                <a:ext uri="{63B3BB69-23CF-44E3-9099-C40C66FF867C}">
                  <a14:compatExt spid="_x0000_s59415"/>
                </a:ext>
                <a:ext uri="{FF2B5EF4-FFF2-40B4-BE49-F238E27FC236}">
                  <a16:creationId xmlns:a16="http://schemas.microsoft.com/office/drawing/2014/main" id="{00000000-0008-0000-0D00-00001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34</xdr:row>
          <xdr:rowOff>19050</xdr:rowOff>
        </xdr:from>
        <xdr:to>
          <xdr:col>12</xdr:col>
          <xdr:colOff>323850</xdr:colOff>
          <xdr:row>34</xdr:row>
          <xdr:rowOff>285750</xdr:rowOff>
        </xdr:to>
        <xdr:sp macro="" textlink="">
          <xdr:nvSpPr>
            <xdr:cNvPr id="59416" name="Check Box 24" hidden="1">
              <a:extLst>
                <a:ext uri="{63B3BB69-23CF-44E3-9099-C40C66FF867C}">
                  <a14:compatExt spid="_x0000_s59416"/>
                </a:ext>
                <a:ext uri="{FF2B5EF4-FFF2-40B4-BE49-F238E27FC236}">
                  <a16:creationId xmlns:a16="http://schemas.microsoft.com/office/drawing/2014/main" id="{00000000-0008-0000-0D00-00001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35</xdr:row>
          <xdr:rowOff>19050</xdr:rowOff>
        </xdr:from>
        <xdr:to>
          <xdr:col>12</xdr:col>
          <xdr:colOff>323850</xdr:colOff>
          <xdr:row>35</xdr:row>
          <xdr:rowOff>285750</xdr:rowOff>
        </xdr:to>
        <xdr:sp macro="" textlink="">
          <xdr:nvSpPr>
            <xdr:cNvPr id="59417" name="Check Box 25" hidden="1">
              <a:extLst>
                <a:ext uri="{63B3BB69-23CF-44E3-9099-C40C66FF867C}">
                  <a14:compatExt spid="_x0000_s59417"/>
                </a:ext>
                <a:ext uri="{FF2B5EF4-FFF2-40B4-BE49-F238E27FC236}">
                  <a16:creationId xmlns:a16="http://schemas.microsoft.com/office/drawing/2014/main" id="{00000000-0008-0000-0D00-00001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38100</xdr:rowOff>
        </xdr:from>
        <xdr:to>
          <xdr:col>12</xdr:col>
          <xdr:colOff>323850</xdr:colOff>
          <xdr:row>36</xdr:row>
          <xdr:rowOff>304800</xdr:rowOff>
        </xdr:to>
        <xdr:sp macro="" textlink="">
          <xdr:nvSpPr>
            <xdr:cNvPr id="59418" name="Check Box 26" hidden="1">
              <a:extLst>
                <a:ext uri="{63B3BB69-23CF-44E3-9099-C40C66FF867C}">
                  <a14:compatExt spid="_x0000_s59418"/>
                </a:ext>
                <a:ext uri="{FF2B5EF4-FFF2-40B4-BE49-F238E27FC236}">
                  <a16:creationId xmlns:a16="http://schemas.microsoft.com/office/drawing/2014/main" id="{00000000-0008-0000-0D00-00001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37</xdr:row>
          <xdr:rowOff>38100</xdr:rowOff>
        </xdr:from>
        <xdr:to>
          <xdr:col>12</xdr:col>
          <xdr:colOff>323850</xdr:colOff>
          <xdr:row>37</xdr:row>
          <xdr:rowOff>304800</xdr:rowOff>
        </xdr:to>
        <xdr:sp macro="" textlink="">
          <xdr:nvSpPr>
            <xdr:cNvPr id="59419" name="Check Box 27" hidden="1">
              <a:extLst>
                <a:ext uri="{63B3BB69-23CF-44E3-9099-C40C66FF867C}">
                  <a14:compatExt spid="_x0000_s59419"/>
                </a:ext>
                <a:ext uri="{FF2B5EF4-FFF2-40B4-BE49-F238E27FC236}">
                  <a16:creationId xmlns:a16="http://schemas.microsoft.com/office/drawing/2014/main" id="{00000000-0008-0000-0D00-00001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38</xdr:row>
          <xdr:rowOff>38100</xdr:rowOff>
        </xdr:from>
        <xdr:to>
          <xdr:col>12</xdr:col>
          <xdr:colOff>323850</xdr:colOff>
          <xdr:row>38</xdr:row>
          <xdr:rowOff>304800</xdr:rowOff>
        </xdr:to>
        <xdr:sp macro="" textlink="">
          <xdr:nvSpPr>
            <xdr:cNvPr id="59420" name="Check Box 28" hidden="1">
              <a:extLst>
                <a:ext uri="{63B3BB69-23CF-44E3-9099-C40C66FF867C}">
                  <a14:compatExt spid="_x0000_s59420"/>
                </a:ext>
                <a:ext uri="{FF2B5EF4-FFF2-40B4-BE49-F238E27FC236}">
                  <a16:creationId xmlns:a16="http://schemas.microsoft.com/office/drawing/2014/main" id="{00000000-0008-0000-0D00-00001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39</xdr:row>
          <xdr:rowOff>152400</xdr:rowOff>
        </xdr:from>
        <xdr:to>
          <xdr:col>12</xdr:col>
          <xdr:colOff>323850</xdr:colOff>
          <xdr:row>39</xdr:row>
          <xdr:rowOff>419100</xdr:rowOff>
        </xdr:to>
        <xdr:sp macro="" textlink="">
          <xdr:nvSpPr>
            <xdr:cNvPr id="59421" name="Check Box 29" hidden="1">
              <a:extLst>
                <a:ext uri="{63B3BB69-23CF-44E3-9099-C40C66FF867C}">
                  <a14:compatExt spid="_x0000_s59421"/>
                </a:ext>
                <a:ext uri="{FF2B5EF4-FFF2-40B4-BE49-F238E27FC236}">
                  <a16:creationId xmlns:a16="http://schemas.microsoft.com/office/drawing/2014/main" id="{00000000-0008-0000-0D00-00001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40</xdr:row>
          <xdr:rowOff>828675</xdr:rowOff>
        </xdr:from>
        <xdr:to>
          <xdr:col>12</xdr:col>
          <xdr:colOff>323850</xdr:colOff>
          <xdr:row>40</xdr:row>
          <xdr:rowOff>1095375</xdr:rowOff>
        </xdr:to>
        <xdr:sp macro="" textlink="">
          <xdr:nvSpPr>
            <xdr:cNvPr id="59422" name="Check Box 30" hidden="1">
              <a:extLst>
                <a:ext uri="{63B3BB69-23CF-44E3-9099-C40C66FF867C}">
                  <a14:compatExt spid="_x0000_s59422"/>
                </a:ext>
                <a:ext uri="{FF2B5EF4-FFF2-40B4-BE49-F238E27FC236}">
                  <a16:creationId xmlns:a16="http://schemas.microsoft.com/office/drawing/2014/main" id="{00000000-0008-0000-0D00-00001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41</xdr:row>
          <xdr:rowOff>600075</xdr:rowOff>
        </xdr:from>
        <xdr:to>
          <xdr:col>12</xdr:col>
          <xdr:colOff>323850</xdr:colOff>
          <xdr:row>41</xdr:row>
          <xdr:rowOff>866775</xdr:rowOff>
        </xdr:to>
        <xdr:sp macro="" textlink="">
          <xdr:nvSpPr>
            <xdr:cNvPr id="59424" name="Check Box 32" hidden="1">
              <a:extLst>
                <a:ext uri="{63B3BB69-23CF-44E3-9099-C40C66FF867C}">
                  <a14:compatExt spid="_x0000_s59424"/>
                </a:ext>
                <a:ext uri="{FF2B5EF4-FFF2-40B4-BE49-F238E27FC236}">
                  <a16:creationId xmlns:a16="http://schemas.microsoft.com/office/drawing/2014/main" id="{00000000-0008-0000-0D00-00002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41</xdr:row>
          <xdr:rowOff>1485900</xdr:rowOff>
        </xdr:from>
        <xdr:to>
          <xdr:col>12</xdr:col>
          <xdr:colOff>323850</xdr:colOff>
          <xdr:row>43</xdr:row>
          <xdr:rowOff>9525</xdr:rowOff>
        </xdr:to>
        <xdr:sp macro="" textlink="">
          <xdr:nvSpPr>
            <xdr:cNvPr id="59426" name="Check Box 34" hidden="1">
              <a:extLst>
                <a:ext uri="{63B3BB69-23CF-44E3-9099-C40C66FF867C}">
                  <a14:compatExt spid="_x0000_s59426"/>
                </a:ext>
                <a:ext uri="{FF2B5EF4-FFF2-40B4-BE49-F238E27FC236}">
                  <a16:creationId xmlns:a16="http://schemas.microsoft.com/office/drawing/2014/main" id="{00000000-0008-0000-0D00-00002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43</xdr:row>
          <xdr:rowOff>381000</xdr:rowOff>
        </xdr:from>
        <xdr:to>
          <xdr:col>12</xdr:col>
          <xdr:colOff>323850</xdr:colOff>
          <xdr:row>43</xdr:row>
          <xdr:rowOff>647700</xdr:rowOff>
        </xdr:to>
        <xdr:sp macro="" textlink="">
          <xdr:nvSpPr>
            <xdr:cNvPr id="59428" name="Check Box 36" hidden="1">
              <a:extLst>
                <a:ext uri="{63B3BB69-23CF-44E3-9099-C40C66FF867C}">
                  <a14:compatExt spid="_x0000_s59428"/>
                </a:ext>
                <a:ext uri="{FF2B5EF4-FFF2-40B4-BE49-F238E27FC236}">
                  <a16:creationId xmlns:a16="http://schemas.microsoft.com/office/drawing/2014/main" id="{00000000-0008-0000-0D00-00002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46</xdr:row>
          <xdr:rowOff>171450</xdr:rowOff>
        </xdr:from>
        <xdr:to>
          <xdr:col>12</xdr:col>
          <xdr:colOff>323850</xdr:colOff>
          <xdr:row>46</xdr:row>
          <xdr:rowOff>438150</xdr:rowOff>
        </xdr:to>
        <xdr:sp macro="" textlink="">
          <xdr:nvSpPr>
            <xdr:cNvPr id="59429" name="Check Box 37" hidden="1">
              <a:extLst>
                <a:ext uri="{63B3BB69-23CF-44E3-9099-C40C66FF867C}">
                  <a14:compatExt spid="_x0000_s59429"/>
                </a:ext>
                <a:ext uri="{FF2B5EF4-FFF2-40B4-BE49-F238E27FC236}">
                  <a16:creationId xmlns:a16="http://schemas.microsoft.com/office/drawing/2014/main" id="{00000000-0008-0000-0D00-00002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47</xdr:row>
          <xdr:rowOff>28575</xdr:rowOff>
        </xdr:from>
        <xdr:to>
          <xdr:col>12</xdr:col>
          <xdr:colOff>323850</xdr:colOff>
          <xdr:row>47</xdr:row>
          <xdr:rowOff>295275</xdr:rowOff>
        </xdr:to>
        <xdr:sp macro="" textlink="">
          <xdr:nvSpPr>
            <xdr:cNvPr id="59431" name="Check Box 39" hidden="1">
              <a:extLst>
                <a:ext uri="{63B3BB69-23CF-44E3-9099-C40C66FF867C}">
                  <a14:compatExt spid="_x0000_s59431"/>
                </a:ext>
                <a:ext uri="{FF2B5EF4-FFF2-40B4-BE49-F238E27FC236}">
                  <a16:creationId xmlns:a16="http://schemas.microsoft.com/office/drawing/2014/main" id="{00000000-0008-0000-0D00-00002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48</xdr:row>
          <xdr:rowOff>19050</xdr:rowOff>
        </xdr:from>
        <xdr:to>
          <xdr:col>12</xdr:col>
          <xdr:colOff>323850</xdr:colOff>
          <xdr:row>48</xdr:row>
          <xdr:rowOff>285750</xdr:rowOff>
        </xdr:to>
        <xdr:sp macro="" textlink="">
          <xdr:nvSpPr>
            <xdr:cNvPr id="59432" name="Check Box 40" hidden="1">
              <a:extLst>
                <a:ext uri="{63B3BB69-23CF-44E3-9099-C40C66FF867C}">
                  <a14:compatExt spid="_x0000_s59432"/>
                </a:ext>
                <a:ext uri="{FF2B5EF4-FFF2-40B4-BE49-F238E27FC236}">
                  <a16:creationId xmlns:a16="http://schemas.microsoft.com/office/drawing/2014/main" id="{00000000-0008-0000-0D00-00002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49</xdr:row>
          <xdr:rowOff>38100</xdr:rowOff>
        </xdr:from>
        <xdr:to>
          <xdr:col>12</xdr:col>
          <xdr:colOff>323850</xdr:colOff>
          <xdr:row>49</xdr:row>
          <xdr:rowOff>304800</xdr:rowOff>
        </xdr:to>
        <xdr:sp macro="" textlink="">
          <xdr:nvSpPr>
            <xdr:cNvPr id="59434" name="Check Box 42" hidden="1">
              <a:extLst>
                <a:ext uri="{63B3BB69-23CF-44E3-9099-C40C66FF867C}">
                  <a14:compatExt spid="_x0000_s59434"/>
                </a:ext>
                <a:ext uri="{FF2B5EF4-FFF2-40B4-BE49-F238E27FC236}">
                  <a16:creationId xmlns:a16="http://schemas.microsoft.com/office/drawing/2014/main" id="{00000000-0008-0000-0D00-00002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52</xdr:row>
          <xdr:rowOff>47625</xdr:rowOff>
        </xdr:from>
        <xdr:to>
          <xdr:col>12</xdr:col>
          <xdr:colOff>323850</xdr:colOff>
          <xdr:row>52</xdr:row>
          <xdr:rowOff>314325</xdr:rowOff>
        </xdr:to>
        <xdr:sp macro="" textlink="">
          <xdr:nvSpPr>
            <xdr:cNvPr id="59436" name="Check Box 44" hidden="1">
              <a:extLst>
                <a:ext uri="{63B3BB69-23CF-44E3-9099-C40C66FF867C}">
                  <a14:compatExt spid="_x0000_s59436"/>
                </a:ext>
                <a:ext uri="{FF2B5EF4-FFF2-40B4-BE49-F238E27FC236}">
                  <a16:creationId xmlns:a16="http://schemas.microsoft.com/office/drawing/2014/main" id="{00000000-0008-0000-0D00-00002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53</xdr:row>
          <xdr:rowOff>104775</xdr:rowOff>
        </xdr:from>
        <xdr:to>
          <xdr:col>12</xdr:col>
          <xdr:colOff>323850</xdr:colOff>
          <xdr:row>53</xdr:row>
          <xdr:rowOff>371475</xdr:rowOff>
        </xdr:to>
        <xdr:sp macro="" textlink="">
          <xdr:nvSpPr>
            <xdr:cNvPr id="59437" name="Check Box 45" hidden="1">
              <a:extLst>
                <a:ext uri="{63B3BB69-23CF-44E3-9099-C40C66FF867C}">
                  <a14:compatExt spid="_x0000_s59437"/>
                </a:ext>
                <a:ext uri="{FF2B5EF4-FFF2-40B4-BE49-F238E27FC236}">
                  <a16:creationId xmlns:a16="http://schemas.microsoft.com/office/drawing/2014/main" id="{00000000-0008-0000-0D00-00002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54</xdr:row>
          <xdr:rowOff>85725</xdr:rowOff>
        </xdr:from>
        <xdr:to>
          <xdr:col>12</xdr:col>
          <xdr:colOff>323850</xdr:colOff>
          <xdr:row>54</xdr:row>
          <xdr:rowOff>352425</xdr:rowOff>
        </xdr:to>
        <xdr:sp macro="" textlink="">
          <xdr:nvSpPr>
            <xdr:cNvPr id="59438" name="Check Box 46" hidden="1">
              <a:extLst>
                <a:ext uri="{63B3BB69-23CF-44E3-9099-C40C66FF867C}">
                  <a14:compatExt spid="_x0000_s59438"/>
                </a:ext>
                <a:ext uri="{FF2B5EF4-FFF2-40B4-BE49-F238E27FC236}">
                  <a16:creationId xmlns:a16="http://schemas.microsoft.com/office/drawing/2014/main" id="{00000000-0008-0000-0D00-00002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55</xdr:row>
          <xdr:rowOff>28575</xdr:rowOff>
        </xdr:from>
        <xdr:to>
          <xdr:col>12</xdr:col>
          <xdr:colOff>323850</xdr:colOff>
          <xdr:row>55</xdr:row>
          <xdr:rowOff>295275</xdr:rowOff>
        </xdr:to>
        <xdr:sp macro="" textlink="">
          <xdr:nvSpPr>
            <xdr:cNvPr id="59439" name="Check Box 47" hidden="1">
              <a:extLst>
                <a:ext uri="{63B3BB69-23CF-44E3-9099-C40C66FF867C}">
                  <a14:compatExt spid="_x0000_s59439"/>
                </a:ext>
                <a:ext uri="{FF2B5EF4-FFF2-40B4-BE49-F238E27FC236}">
                  <a16:creationId xmlns:a16="http://schemas.microsoft.com/office/drawing/2014/main" id="{00000000-0008-0000-0D00-00002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56</xdr:row>
          <xdr:rowOff>76200</xdr:rowOff>
        </xdr:from>
        <xdr:to>
          <xdr:col>12</xdr:col>
          <xdr:colOff>323850</xdr:colOff>
          <xdr:row>56</xdr:row>
          <xdr:rowOff>342900</xdr:rowOff>
        </xdr:to>
        <xdr:sp macro="" textlink="">
          <xdr:nvSpPr>
            <xdr:cNvPr id="59440" name="Check Box 48" hidden="1">
              <a:extLst>
                <a:ext uri="{63B3BB69-23CF-44E3-9099-C40C66FF867C}">
                  <a14:compatExt spid="_x0000_s59440"/>
                </a:ext>
                <a:ext uri="{FF2B5EF4-FFF2-40B4-BE49-F238E27FC236}">
                  <a16:creationId xmlns:a16="http://schemas.microsoft.com/office/drawing/2014/main" id="{00000000-0008-0000-0D00-00003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38100</xdr:rowOff>
        </xdr:from>
        <xdr:to>
          <xdr:col>12</xdr:col>
          <xdr:colOff>323850</xdr:colOff>
          <xdr:row>57</xdr:row>
          <xdr:rowOff>304800</xdr:rowOff>
        </xdr:to>
        <xdr:sp macro="" textlink="">
          <xdr:nvSpPr>
            <xdr:cNvPr id="59441" name="Check Box 49" hidden="1">
              <a:extLst>
                <a:ext uri="{63B3BB69-23CF-44E3-9099-C40C66FF867C}">
                  <a14:compatExt spid="_x0000_s59441"/>
                </a:ext>
                <a:ext uri="{FF2B5EF4-FFF2-40B4-BE49-F238E27FC236}">
                  <a16:creationId xmlns:a16="http://schemas.microsoft.com/office/drawing/2014/main" id="{00000000-0008-0000-0D00-00003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58</xdr:row>
          <xdr:rowOff>495300</xdr:rowOff>
        </xdr:from>
        <xdr:to>
          <xdr:col>12</xdr:col>
          <xdr:colOff>323850</xdr:colOff>
          <xdr:row>58</xdr:row>
          <xdr:rowOff>762000</xdr:rowOff>
        </xdr:to>
        <xdr:sp macro="" textlink="">
          <xdr:nvSpPr>
            <xdr:cNvPr id="59442" name="Check Box 50" hidden="1">
              <a:extLst>
                <a:ext uri="{63B3BB69-23CF-44E3-9099-C40C66FF867C}">
                  <a14:compatExt spid="_x0000_s59442"/>
                </a:ext>
                <a:ext uri="{FF2B5EF4-FFF2-40B4-BE49-F238E27FC236}">
                  <a16:creationId xmlns:a16="http://schemas.microsoft.com/office/drawing/2014/main" id="{00000000-0008-0000-0D00-00003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59</xdr:row>
          <xdr:rowOff>361950</xdr:rowOff>
        </xdr:from>
        <xdr:to>
          <xdr:col>12</xdr:col>
          <xdr:colOff>323850</xdr:colOff>
          <xdr:row>59</xdr:row>
          <xdr:rowOff>628650</xdr:rowOff>
        </xdr:to>
        <xdr:sp macro="" textlink="">
          <xdr:nvSpPr>
            <xdr:cNvPr id="59443" name="Check Box 51" hidden="1">
              <a:extLst>
                <a:ext uri="{63B3BB69-23CF-44E3-9099-C40C66FF867C}">
                  <a14:compatExt spid="_x0000_s59443"/>
                </a:ext>
                <a:ext uri="{FF2B5EF4-FFF2-40B4-BE49-F238E27FC236}">
                  <a16:creationId xmlns:a16="http://schemas.microsoft.com/office/drawing/2014/main" id="{00000000-0008-0000-0D00-00003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60</xdr:row>
          <xdr:rowOff>485775</xdr:rowOff>
        </xdr:from>
        <xdr:to>
          <xdr:col>12</xdr:col>
          <xdr:colOff>323850</xdr:colOff>
          <xdr:row>60</xdr:row>
          <xdr:rowOff>752475</xdr:rowOff>
        </xdr:to>
        <xdr:sp macro="" textlink="">
          <xdr:nvSpPr>
            <xdr:cNvPr id="59444" name="Check Box 52" hidden="1">
              <a:extLst>
                <a:ext uri="{63B3BB69-23CF-44E3-9099-C40C66FF867C}">
                  <a14:compatExt spid="_x0000_s59444"/>
                </a:ext>
                <a:ext uri="{FF2B5EF4-FFF2-40B4-BE49-F238E27FC236}">
                  <a16:creationId xmlns:a16="http://schemas.microsoft.com/office/drawing/2014/main" id="{00000000-0008-0000-0D00-00003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61</xdr:row>
          <xdr:rowOff>47625</xdr:rowOff>
        </xdr:from>
        <xdr:to>
          <xdr:col>12</xdr:col>
          <xdr:colOff>323850</xdr:colOff>
          <xdr:row>61</xdr:row>
          <xdr:rowOff>314325</xdr:rowOff>
        </xdr:to>
        <xdr:sp macro="" textlink="">
          <xdr:nvSpPr>
            <xdr:cNvPr id="59445" name="Check Box 53" hidden="1">
              <a:extLst>
                <a:ext uri="{63B3BB69-23CF-44E3-9099-C40C66FF867C}">
                  <a14:compatExt spid="_x0000_s59445"/>
                </a:ext>
                <a:ext uri="{FF2B5EF4-FFF2-40B4-BE49-F238E27FC236}">
                  <a16:creationId xmlns:a16="http://schemas.microsoft.com/office/drawing/2014/main" id="{00000000-0008-0000-0D00-00003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62</xdr:row>
          <xdr:rowOff>57150</xdr:rowOff>
        </xdr:from>
        <xdr:to>
          <xdr:col>12</xdr:col>
          <xdr:colOff>323850</xdr:colOff>
          <xdr:row>62</xdr:row>
          <xdr:rowOff>323850</xdr:rowOff>
        </xdr:to>
        <xdr:sp macro="" textlink="">
          <xdr:nvSpPr>
            <xdr:cNvPr id="59446" name="Check Box 54" hidden="1">
              <a:extLst>
                <a:ext uri="{63B3BB69-23CF-44E3-9099-C40C66FF867C}">
                  <a14:compatExt spid="_x0000_s59446"/>
                </a:ext>
                <a:ext uri="{FF2B5EF4-FFF2-40B4-BE49-F238E27FC236}">
                  <a16:creationId xmlns:a16="http://schemas.microsoft.com/office/drawing/2014/main" id="{00000000-0008-0000-0D00-00003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64</xdr:row>
          <xdr:rowOff>238125</xdr:rowOff>
        </xdr:from>
        <xdr:to>
          <xdr:col>12</xdr:col>
          <xdr:colOff>323850</xdr:colOff>
          <xdr:row>64</xdr:row>
          <xdr:rowOff>504825</xdr:rowOff>
        </xdr:to>
        <xdr:sp macro="" textlink="">
          <xdr:nvSpPr>
            <xdr:cNvPr id="59447" name="Check Box 55" hidden="1">
              <a:extLst>
                <a:ext uri="{63B3BB69-23CF-44E3-9099-C40C66FF867C}">
                  <a14:compatExt spid="_x0000_s59447"/>
                </a:ext>
                <a:ext uri="{FF2B5EF4-FFF2-40B4-BE49-F238E27FC236}">
                  <a16:creationId xmlns:a16="http://schemas.microsoft.com/office/drawing/2014/main" id="{00000000-0008-0000-0D00-00003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66</xdr:row>
          <xdr:rowOff>57150</xdr:rowOff>
        </xdr:from>
        <xdr:to>
          <xdr:col>12</xdr:col>
          <xdr:colOff>323850</xdr:colOff>
          <xdr:row>66</xdr:row>
          <xdr:rowOff>323850</xdr:rowOff>
        </xdr:to>
        <xdr:sp macro="" textlink="">
          <xdr:nvSpPr>
            <xdr:cNvPr id="59448" name="Check Box 56" hidden="1">
              <a:extLst>
                <a:ext uri="{63B3BB69-23CF-44E3-9099-C40C66FF867C}">
                  <a14:compatExt spid="_x0000_s59448"/>
                </a:ext>
                <a:ext uri="{FF2B5EF4-FFF2-40B4-BE49-F238E27FC236}">
                  <a16:creationId xmlns:a16="http://schemas.microsoft.com/office/drawing/2014/main" id="{00000000-0008-0000-0D00-00003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47625</xdr:rowOff>
        </xdr:from>
        <xdr:to>
          <xdr:col>12</xdr:col>
          <xdr:colOff>323850</xdr:colOff>
          <xdr:row>67</xdr:row>
          <xdr:rowOff>314325</xdr:rowOff>
        </xdr:to>
        <xdr:sp macro="" textlink="">
          <xdr:nvSpPr>
            <xdr:cNvPr id="59449" name="Check Box 57" hidden="1">
              <a:extLst>
                <a:ext uri="{63B3BB69-23CF-44E3-9099-C40C66FF867C}">
                  <a14:compatExt spid="_x0000_s59449"/>
                </a:ext>
                <a:ext uri="{FF2B5EF4-FFF2-40B4-BE49-F238E27FC236}">
                  <a16:creationId xmlns:a16="http://schemas.microsoft.com/office/drawing/2014/main" id="{00000000-0008-0000-0D00-00003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68</xdr:row>
          <xdr:rowOff>57150</xdr:rowOff>
        </xdr:from>
        <xdr:to>
          <xdr:col>12</xdr:col>
          <xdr:colOff>323850</xdr:colOff>
          <xdr:row>68</xdr:row>
          <xdr:rowOff>323850</xdr:rowOff>
        </xdr:to>
        <xdr:sp macro="" textlink="">
          <xdr:nvSpPr>
            <xdr:cNvPr id="59450" name="Check Box 58" hidden="1">
              <a:extLst>
                <a:ext uri="{63B3BB69-23CF-44E3-9099-C40C66FF867C}">
                  <a14:compatExt spid="_x0000_s59450"/>
                </a:ext>
                <a:ext uri="{FF2B5EF4-FFF2-40B4-BE49-F238E27FC236}">
                  <a16:creationId xmlns:a16="http://schemas.microsoft.com/office/drawing/2014/main" id="{00000000-0008-0000-0D00-00003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69</xdr:row>
          <xdr:rowOff>57150</xdr:rowOff>
        </xdr:from>
        <xdr:to>
          <xdr:col>12</xdr:col>
          <xdr:colOff>323850</xdr:colOff>
          <xdr:row>69</xdr:row>
          <xdr:rowOff>323850</xdr:rowOff>
        </xdr:to>
        <xdr:sp macro="" textlink="">
          <xdr:nvSpPr>
            <xdr:cNvPr id="59451" name="Check Box 59" hidden="1">
              <a:extLst>
                <a:ext uri="{63B3BB69-23CF-44E3-9099-C40C66FF867C}">
                  <a14:compatExt spid="_x0000_s59451"/>
                </a:ext>
                <a:ext uri="{FF2B5EF4-FFF2-40B4-BE49-F238E27FC236}">
                  <a16:creationId xmlns:a16="http://schemas.microsoft.com/office/drawing/2014/main" id="{00000000-0008-0000-0D00-00003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70</xdr:row>
          <xdr:rowOff>57150</xdr:rowOff>
        </xdr:from>
        <xdr:to>
          <xdr:col>12</xdr:col>
          <xdr:colOff>323850</xdr:colOff>
          <xdr:row>70</xdr:row>
          <xdr:rowOff>323850</xdr:rowOff>
        </xdr:to>
        <xdr:sp macro="" textlink="">
          <xdr:nvSpPr>
            <xdr:cNvPr id="59452" name="Check Box 60" hidden="1">
              <a:extLst>
                <a:ext uri="{63B3BB69-23CF-44E3-9099-C40C66FF867C}">
                  <a14:compatExt spid="_x0000_s59452"/>
                </a:ext>
                <a:ext uri="{FF2B5EF4-FFF2-40B4-BE49-F238E27FC236}">
                  <a16:creationId xmlns:a16="http://schemas.microsoft.com/office/drawing/2014/main" id="{00000000-0008-0000-0D00-00003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71</xdr:row>
          <xdr:rowOff>57150</xdr:rowOff>
        </xdr:from>
        <xdr:to>
          <xdr:col>12</xdr:col>
          <xdr:colOff>323850</xdr:colOff>
          <xdr:row>71</xdr:row>
          <xdr:rowOff>323850</xdr:rowOff>
        </xdr:to>
        <xdr:sp macro="" textlink="">
          <xdr:nvSpPr>
            <xdr:cNvPr id="59453" name="Check Box 61" hidden="1">
              <a:extLst>
                <a:ext uri="{63B3BB69-23CF-44E3-9099-C40C66FF867C}">
                  <a14:compatExt spid="_x0000_s59453"/>
                </a:ext>
                <a:ext uri="{FF2B5EF4-FFF2-40B4-BE49-F238E27FC236}">
                  <a16:creationId xmlns:a16="http://schemas.microsoft.com/office/drawing/2014/main" id="{00000000-0008-0000-0D00-00003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72</xdr:row>
          <xdr:rowOff>47625</xdr:rowOff>
        </xdr:from>
        <xdr:to>
          <xdr:col>12</xdr:col>
          <xdr:colOff>323850</xdr:colOff>
          <xdr:row>72</xdr:row>
          <xdr:rowOff>314325</xdr:rowOff>
        </xdr:to>
        <xdr:sp macro="" textlink="">
          <xdr:nvSpPr>
            <xdr:cNvPr id="59455" name="Check Box 63" hidden="1">
              <a:extLst>
                <a:ext uri="{63B3BB69-23CF-44E3-9099-C40C66FF867C}">
                  <a14:compatExt spid="_x0000_s59455"/>
                </a:ext>
                <a:ext uri="{FF2B5EF4-FFF2-40B4-BE49-F238E27FC236}">
                  <a16:creationId xmlns:a16="http://schemas.microsoft.com/office/drawing/2014/main" id="{00000000-0008-0000-0D00-00003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73</xdr:row>
          <xdr:rowOff>47625</xdr:rowOff>
        </xdr:from>
        <xdr:to>
          <xdr:col>12</xdr:col>
          <xdr:colOff>323850</xdr:colOff>
          <xdr:row>73</xdr:row>
          <xdr:rowOff>314325</xdr:rowOff>
        </xdr:to>
        <xdr:sp macro="" textlink="">
          <xdr:nvSpPr>
            <xdr:cNvPr id="59456" name="Check Box 64" hidden="1">
              <a:extLst>
                <a:ext uri="{63B3BB69-23CF-44E3-9099-C40C66FF867C}">
                  <a14:compatExt spid="_x0000_s59456"/>
                </a:ext>
                <a:ext uri="{FF2B5EF4-FFF2-40B4-BE49-F238E27FC236}">
                  <a16:creationId xmlns:a16="http://schemas.microsoft.com/office/drawing/2014/main" id="{00000000-0008-0000-0D00-00004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74</xdr:row>
          <xdr:rowOff>57150</xdr:rowOff>
        </xdr:from>
        <xdr:to>
          <xdr:col>12</xdr:col>
          <xdr:colOff>323850</xdr:colOff>
          <xdr:row>74</xdr:row>
          <xdr:rowOff>323850</xdr:rowOff>
        </xdr:to>
        <xdr:sp macro="" textlink="">
          <xdr:nvSpPr>
            <xdr:cNvPr id="59457" name="Check Box 65" hidden="1">
              <a:extLst>
                <a:ext uri="{63B3BB69-23CF-44E3-9099-C40C66FF867C}">
                  <a14:compatExt spid="_x0000_s59457"/>
                </a:ext>
                <a:ext uri="{FF2B5EF4-FFF2-40B4-BE49-F238E27FC236}">
                  <a16:creationId xmlns:a16="http://schemas.microsoft.com/office/drawing/2014/main" id="{00000000-0008-0000-0D00-00004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75</xdr:row>
          <xdr:rowOff>47625</xdr:rowOff>
        </xdr:from>
        <xdr:to>
          <xdr:col>12</xdr:col>
          <xdr:colOff>323850</xdr:colOff>
          <xdr:row>75</xdr:row>
          <xdr:rowOff>314325</xdr:rowOff>
        </xdr:to>
        <xdr:sp macro="" textlink="">
          <xdr:nvSpPr>
            <xdr:cNvPr id="59458" name="Check Box 66" hidden="1">
              <a:extLst>
                <a:ext uri="{63B3BB69-23CF-44E3-9099-C40C66FF867C}">
                  <a14:compatExt spid="_x0000_s59458"/>
                </a:ext>
                <a:ext uri="{FF2B5EF4-FFF2-40B4-BE49-F238E27FC236}">
                  <a16:creationId xmlns:a16="http://schemas.microsoft.com/office/drawing/2014/main" id="{00000000-0008-0000-0D00-00004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76</xdr:row>
          <xdr:rowOff>57150</xdr:rowOff>
        </xdr:from>
        <xdr:to>
          <xdr:col>12</xdr:col>
          <xdr:colOff>323850</xdr:colOff>
          <xdr:row>76</xdr:row>
          <xdr:rowOff>323850</xdr:rowOff>
        </xdr:to>
        <xdr:sp macro="" textlink="">
          <xdr:nvSpPr>
            <xdr:cNvPr id="59459" name="Check Box 67" hidden="1">
              <a:extLst>
                <a:ext uri="{63B3BB69-23CF-44E3-9099-C40C66FF867C}">
                  <a14:compatExt spid="_x0000_s59459"/>
                </a:ext>
                <a:ext uri="{FF2B5EF4-FFF2-40B4-BE49-F238E27FC236}">
                  <a16:creationId xmlns:a16="http://schemas.microsoft.com/office/drawing/2014/main" id="{00000000-0008-0000-0D00-00004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77</xdr:row>
          <xdr:rowOff>57150</xdr:rowOff>
        </xdr:from>
        <xdr:to>
          <xdr:col>12</xdr:col>
          <xdr:colOff>323850</xdr:colOff>
          <xdr:row>77</xdr:row>
          <xdr:rowOff>323850</xdr:rowOff>
        </xdr:to>
        <xdr:sp macro="" textlink="">
          <xdr:nvSpPr>
            <xdr:cNvPr id="59460" name="Check Box 68" hidden="1">
              <a:extLst>
                <a:ext uri="{63B3BB69-23CF-44E3-9099-C40C66FF867C}">
                  <a14:compatExt spid="_x0000_s59460"/>
                </a:ext>
                <a:ext uri="{FF2B5EF4-FFF2-40B4-BE49-F238E27FC236}">
                  <a16:creationId xmlns:a16="http://schemas.microsoft.com/office/drawing/2014/main" id="{00000000-0008-0000-0D00-00004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78</xdr:row>
          <xdr:rowOff>57150</xdr:rowOff>
        </xdr:from>
        <xdr:to>
          <xdr:col>12</xdr:col>
          <xdr:colOff>323850</xdr:colOff>
          <xdr:row>78</xdr:row>
          <xdr:rowOff>323850</xdr:rowOff>
        </xdr:to>
        <xdr:sp macro="" textlink="">
          <xdr:nvSpPr>
            <xdr:cNvPr id="59461" name="Check Box 69" hidden="1">
              <a:extLst>
                <a:ext uri="{63B3BB69-23CF-44E3-9099-C40C66FF867C}">
                  <a14:compatExt spid="_x0000_s59461"/>
                </a:ext>
                <a:ext uri="{FF2B5EF4-FFF2-40B4-BE49-F238E27FC236}">
                  <a16:creationId xmlns:a16="http://schemas.microsoft.com/office/drawing/2014/main" id="{00000000-0008-0000-0D00-00004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79</xdr:row>
          <xdr:rowOff>66675</xdr:rowOff>
        </xdr:from>
        <xdr:to>
          <xdr:col>12</xdr:col>
          <xdr:colOff>323850</xdr:colOff>
          <xdr:row>79</xdr:row>
          <xdr:rowOff>333375</xdr:rowOff>
        </xdr:to>
        <xdr:sp macro="" textlink="">
          <xdr:nvSpPr>
            <xdr:cNvPr id="59462" name="Check Box 70" hidden="1">
              <a:extLst>
                <a:ext uri="{63B3BB69-23CF-44E3-9099-C40C66FF867C}">
                  <a14:compatExt spid="_x0000_s59462"/>
                </a:ext>
                <a:ext uri="{FF2B5EF4-FFF2-40B4-BE49-F238E27FC236}">
                  <a16:creationId xmlns:a16="http://schemas.microsoft.com/office/drawing/2014/main" id="{00000000-0008-0000-0D00-00004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80</xdr:row>
          <xdr:rowOff>47625</xdr:rowOff>
        </xdr:from>
        <xdr:to>
          <xdr:col>12</xdr:col>
          <xdr:colOff>323850</xdr:colOff>
          <xdr:row>80</xdr:row>
          <xdr:rowOff>314325</xdr:rowOff>
        </xdr:to>
        <xdr:sp macro="" textlink="">
          <xdr:nvSpPr>
            <xdr:cNvPr id="59463" name="Check Box 71" hidden="1">
              <a:extLst>
                <a:ext uri="{63B3BB69-23CF-44E3-9099-C40C66FF867C}">
                  <a14:compatExt spid="_x0000_s59463"/>
                </a:ext>
                <a:ext uri="{FF2B5EF4-FFF2-40B4-BE49-F238E27FC236}">
                  <a16:creationId xmlns:a16="http://schemas.microsoft.com/office/drawing/2014/main" id="{00000000-0008-0000-0D00-00004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84</xdr:row>
          <xdr:rowOff>295275</xdr:rowOff>
        </xdr:from>
        <xdr:to>
          <xdr:col>12</xdr:col>
          <xdr:colOff>323850</xdr:colOff>
          <xdr:row>84</xdr:row>
          <xdr:rowOff>561975</xdr:rowOff>
        </xdr:to>
        <xdr:sp macro="" textlink="">
          <xdr:nvSpPr>
            <xdr:cNvPr id="59464" name="Check Box 72" hidden="1">
              <a:extLst>
                <a:ext uri="{63B3BB69-23CF-44E3-9099-C40C66FF867C}">
                  <a14:compatExt spid="_x0000_s59464"/>
                </a:ext>
                <a:ext uri="{FF2B5EF4-FFF2-40B4-BE49-F238E27FC236}">
                  <a16:creationId xmlns:a16="http://schemas.microsoft.com/office/drawing/2014/main" id="{00000000-0008-0000-0D00-00004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85</xdr:row>
          <xdr:rowOff>152400</xdr:rowOff>
        </xdr:from>
        <xdr:to>
          <xdr:col>12</xdr:col>
          <xdr:colOff>323850</xdr:colOff>
          <xdr:row>85</xdr:row>
          <xdr:rowOff>419100</xdr:rowOff>
        </xdr:to>
        <xdr:sp macro="" textlink="">
          <xdr:nvSpPr>
            <xdr:cNvPr id="59465" name="Check Box 73" hidden="1">
              <a:extLst>
                <a:ext uri="{63B3BB69-23CF-44E3-9099-C40C66FF867C}">
                  <a14:compatExt spid="_x0000_s59465"/>
                </a:ext>
                <a:ext uri="{FF2B5EF4-FFF2-40B4-BE49-F238E27FC236}">
                  <a16:creationId xmlns:a16="http://schemas.microsoft.com/office/drawing/2014/main" id="{00000000-0008-0000-0D00-00004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86</xdr:row>
          <xdr:rowOff>38100</xdr:rowOff>
        </xdr:from>
        <xdr:to>
          <xdr:col>12</xdr:col>
          <xdr:colOff>323850</xdr:colOff>
          <xdr:row>86</xdr:row>
          <xdr:rowOff>304800</xdr:rowOff>
        </xdr:to>
        <xdr:sp macro="" textlink="">
          <xdr:nvSpPr>
            <xdr:cNvPr id="59466" name="Check Box 74" hidden="1">
              <a:extLst>
                <a:ext uri="{63B3BB69-23CF-44E3-9099-C40C66FF867C}">
                  <a14:compatExt spid="_x0000_s59466"/>
                </a:ext>
                <a:ext uri="{FF2B5EF4-FFF2-40B4-BE49-F238E27FC236}">
                  <a16:creationId xmlns:a16="http://schemas.microsoft.com/office/drawing/2014/main" id="{00000000-0008-0000-0D00-00004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87</xdr:row>
          <xdr:rowOff>476250</xdr:rowOff>
        </xdr:from>
        <xdr:to>
          <xdr:col>12</xdr:col>
          <xdr:colOff>323850</xdr:colOff>
          <xdr:row>87</xdr:row>
          <xdr:rowOff>742950</xdr:rowOff>
        </xdr:to>
        <xdr:sp macro="" textlink="">
          <xdr:nvSpPr>
            <xdr:cNvPr id="59467" name="Check Box 75" hidden="1">
              <a:extLst>
                <a:ext uri="{63B3BB69-23CF-44E3-9099-C40C66FF867C}">
                  <a14:compatExt spid="_x0000_s59467"/>
                </a:ext>
                <a:ext uri="{FF2B5EF4-FFF2-40B4-BE49-F238E27FC236}">
                  <a16:creationId xmlns:a16="http://schemas.microsoft.com/office/drawing/2014/main" id="{00000000-0008-0000-0D00-00004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88</xdr:row>
          <xdr:rowOff>381000</xdr:rowOff>
        </xdr:from>
        <xdr:to>
          <xdr:col>12</xdr:col>
          <xdr:colOff>323850</xdr:colOff>
          <xdr:row>88</xdr:row>
          <xdr:rowOff>647700</xdr:rowOff>
        </xdr:to>
        <xdr:sp macro="" textlink="">
          <xdr:nvSpPr>
            <xdr:cNvPr id="59468" name="Check Box 76" hidden="1">
              <a:extLst>
                <a:ext uri="{63B3BB69-23CF-44E3-9099-C40C66FF867C}">
                  <a14:compatExt spid="_x0000_s59468"/>
                </a:ext>
                <a:ext uri="{FF2B5EF4-FFF2-40B4-BE49-F238E27FC236}">
                  <a16:creationId xmlns:a16="http://schemas.microsoft.com/office/drawing/2014/main" id="{00000000-0008-0000-0D00-00004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89</xdr:row>
          <xdr:rowOff>57150</xdr:rowOff>
        </xdr:from>
        <xdr:to>
          <xdr:col>12</xdr:col>
          <xdr:colOff>323850</xdr:colOff>
          <xdr:row>89</xdr:row>
          <xdr:rowOff>323850</xdr:rowOff>
        </xdr:to>
        <xdr:sp macro="" textlink="">
          <xdr:nvSpPr>
            <xdr:cNvPr id="59469" name="Check Box 77" hidden="1">
              <a:extLst>
                <a:ext uri="{63B3BB69-23CF-44E3-9099-C40C66FF867C}">
                  <a14:compatExt spid="_x0000_s59469"/>
                </a:ext>
                <a:ext uri="{FF2B5EF4-FFF2-40B4-BE49-F238E27FC236}">
                  <a16:creationId xmlns:a16="http://schemas.microsoft.com/office/drawing/2014/main" id="{00000000-0008-0000-0D00-00004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92</xdr:row>
          <xdr:rowOff>38100</xdr:rowOff>
        </xdr:from>
        <xdr:to>
          <xdr:col>12</xdr:col>
          <xdr:colOff>323850</xdr:colOff>
          <xdr:row>92</xdr:row>
          <xdr:rowOff>304800</xdr:rowOff>
        </xdr:to>
        <xdr:sp macro="" textlink="">
          <xdr:nvSpPr>
            <xdr:cNvPr id="59471" name="Check Box 79" hidden="1">
              <a:extLst>
                <a:ext uri="{63B3BB69-23CF-44E3-9099-C40C66FF867C}">
                  <a14:compatExt spid="_x0000_s59471"/>
                </a:ext>
                <a:ext uri="{FF2B5EF4-FFF2-40B4-BE49-F238E27FC236}">
                  <a16:creationId xmlns:a16="http://schemas.microsoft.com/office/drawing/2014/main" id="{00000000-0008-0000-0D00-00004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93</xdr:row>
          <xdr:rowOff>47625</xdr:rowOff>
        </xdr:from>
        <xdr:to>
          <xdr:col>12</xdr:col>
          <xdr:colOff>323850</xdr:colOff>
          <xdr:row>93</xdr:row>
          <xdr:rowOff>314325</xdr:rowOff>
        </xdr:to>
        <xdr:sp macro="" textlink="">
          <xdr:nvSpPr>
            <xdr:cNvPr id="59472" name="Check Box 80" hidden="1">
              <a:extLst>
                <a:ext uri="{63B3BB69-23CF-44E3-9099-C40C66FF867C}">
                  <a14:compatExt spid="_x0000_s59472"/>
                </a:ext>
                <a:ext uri="{FF2B5EF4-FFF2-40B4-BE49-F238E27FC236}">
                  <a16:creationId xmlns:a16="http://schemas.microsoft.com/office/drawing/2014/main" id="{00000000-0008-0000-0D00-00005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94</xdr:row>
          <xdr:rowOff>38100</xdr:rowOff>
        </xdr:from>
        <xdr:to>
          <xdr:col>12</xdr:col>
          <xdr:colOff>323850</xdr:colOff>
          <xdr:row>94</xdr:row>
          <xdr:rowOff>304800</xdr:rowOff>
        </xdr:to>
        <xdr:sp macro="" textlink="">
          <xdr:nvSpPr>
            <xdr:cNvPr id="59473" name="Check Box 81" hidden="1">
              <a:extLst>
                <a:ext uri="{63B3BB69-23CF-44E3-9099-C40C66FF867C}">
                  <a14:compatExt spid="_x0000_s59473"/>
                </a:ext>
                <a:ext uri="{FF2B5EF4-FFF2-40B4-BE49-F238E27FC236}">
                  <a16:creationId xmlns:a16="http://schemas.microsoft.com/office/drawing/2014/main" id="{00000000-0008-0000-0D00-00005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95</xdr:row>
          <xdr:rowOff>57150</xdr:rowOff>
        </xdr:from>
        <xdr:to>
          <xdr:col>12</xdr:col>
          <xdr:colOff>323850</xdr:colOff>
          <xdr:row>95</xdr:row>
          <xdr:rowOff>323850</xdr:rowOff>
        </xdr:to>
        <xdr:sp macro="" textlink="">
          <xdr:nvSpPr>
            <xdr:cNvPr id="59474" name="Check Box 82" hidden="1">
              <a:extLst>
                <a:ext uri="{63B3BB69-23CF-44E3-9099-C40C66FF867C}">
                  <a14:compatExt spid="_x0000_s59474"/>
                </a:ext>
                <a:ext uri="{FF2B5EF4-FFF2-40B4-BE49-F238E27FC236}">
                  <a16:creationId xmlns:a16="http://schemas.microsoft.com/office/drawing/2014/main" id="{00000000-0008-0000-0D00-00005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96</xdr:row>
          <xdr:rowOff>57150</xdr:rowOff>
        </xdr:from>
        <xdr:to>
          <xdr:col>12</xdr:col>
          <xdr:colOff>323850</xdr:colOff>
          <xdr:row>96</xdr:row>
          <xdr:rowOff>323850</xdr:rowOff>
        </xdr:to>
        <xdr:sp macro="" textlink="">
          <xdr:nvSpPr>
            <xdr:cNvPr id="59475" name="Check Box 83" hidden="1">
              <a:extLst>
                <a:ext uri="{63B3BB69-23CF-44E3-9099-C40C66FF867C}">
                  <a14:compatExt spid="_x0000_s59475"/>
                </a:ext>
                <a:ext uri="{FF2B5EF4-FFF2-40B4-BE49-F238E27FC236}">
                  <a16:creationId xmlns:a16="http://schemas.microsoft.com/office/drawing/2014/main" id="{00000000-0008-0000-0D00-00005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97</xdr:row>
          <xdr:rowOff>57150</xdr:rowOff>
        </xdr:from>
        <xdr:to>
          <xdr:col>12</xdr:col>
          <xdr:colOff>323850</xdr:colOff>
          <xdr:row>97</xdr:row>
          <xdr:rowOff>323850</xdr:rowOff>
        </xdr:to>
        <xdr:sp macro="" textlink="">
          <xdr:nvSpPr>
            <xdr:cNvPr id="59476" name="Check Box 84" hidden="1">
              <a:extLst>
                <a:ext uri="{63B3BB69-23CF-44E3-9099-C40C66FF867C}">
                  <a14:compatExt spid="_x0000_s59476"/>
                </a:ext>
                <a:ext uri="{FF2B5EF4-FFF2-40B4-BE49-F238E27FC236}">
                  <a16:creationId xmlns:a16="http://schemas.microsoft.com/office/drawing/2014/main" id="{00000000-0008-0000-0D00-00005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98</xdr:row>
          <xdr:rowOff>295275</xdr:rowOff>
        </xdr:from>
        <xdr:to>
          <xdr:col>12</xdr:col>
          <xdr:colOff>323850</xdr:colOff>
          <xdr:row>98</xdr:row>
          <xdr:rowOff>561975</xdr:rowOff>
        </xdr:to>
        <xdr:sp macro="" textlink="">
          <xdr:nvSpPr>
            <xdr:cNvPr id="59477" name="Check Box 85" hidden="1">
              <a:extLst>
                <a:ext uri="{63B3BB69-23CF-44E3-9099-C40C66FF867C}">
                  <a14:compatExt spid="_x0000_s59477"/>
                </a:ext>
                <a:ext uri="{FF2B5EF4-FFF2-40B4-BE49-F238E27FC236}">
                  <a16:creationId xmlns:a16="http://schemas.microsoft.com/office/drawing/2014/main" id="{00000000-0008-0000-0D00-00005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99</xdr:row>
          <xdr:rowOff>476250</xdr:rowOff>
        </xdr:from>
        <xdr:to>
          <xdr:col>12</xdr:col>
          <xdr:colOff>323850</xdr:colOff>
          <xdr:row>99</xdr:row>
          <xdr:rowOff>742950</xdr:rowOff>
        </xdr:to>
        <xdr:sp macro="" textlink="">
          <xdr:nvSpPr>
            <xdr:cNvPr id="59478" name="Check Box 86" hidden="1">
              <a:extLst>
                <a:ext uri="{63B3BB69-23CF-44E3-9099-C40C66FF867C}">
                  <a14:compatExt spid="_x0000_s59478"/>
                </a:ext>
                <a:ext uri="{FF2B5EF4-FFF2-40B4-BE49-F238E27FC236}">
                  <a16:creationId xmlns:a16="http://schemas.microsoft.com/office/drawing/2014/main" id="{00000000-0008-0000-0D00-00005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103</xdr:row>
          <xdr:rowOff>247650</xdr:rowOff>
        </xdr:from>
        <xdr:to>
          <xdr:col>12</xdr:col>
          <xdr:colOff>323850</xdr:colOff>
          <xdr:row>104</xdr:row>
          <xdr:rowOff>133350</xdr:rowOff>
        </xdr:to>
        <xdr:sp macro="" textlink="">
          <xdr:nvSpPr>
            <xdr:cNvPr id="59479" name="Check Box 87" hidden="1">
              <a:extLst>
                <a:ext uri="{63B3BB69-23CF-44E3-9099-C40C66FF867C}">
                  <a14:compatExt spid="_x0000_s59479"/>
                </a:ext>
                <a:ext uri="{FF2B5EF4-FFF2-40B4-BE49-F238E27FC236}">
                  <a16:creationId xmlns:a16="http://schemas.microsoft.com/office/drawing/2014/main" id="{00000000-0008-0000-0D00-00005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108</xdr:row>
          <xdr:rowOff>57150</xdr:rowOff>
        </xdr:from>
        <xdr:to>
          <xdr:col>12</xdr:col>
          <xdr:colOff>323850</xdr:colOff>
          <xdr:row>108</xdr:row>
          <xdr:rowOff>323850</xdr:rowOff>
        </xdr:to>
        <xdr:sp macro="" textlink="">
          <xdr:nvSpPr>
            <xdr:cNvPr id="59480" name="Check Box 88" hidden="1">
              <a:extLst>
                <a:ext uri="{63B3BB69-23CF-44E3-9099-C40C66FF867C}">
                  <a14:compatExt spid="_x0000_s59480"/>
                </a:ext>
                <a:ext uri="{FF2B5EF4-FFF2-40B4-BE49-F238E27FC236}">
                  <a16:creationId xmlns:a16="http://schemas.microsoft.com/office/drawing/2014/main" id="{00000000-0008-0000-0D00-00005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109</xdr:row>
          <xdr:rowOff>38100</xdr:rowOff>
        </xdr:from>
        <xdr:to>
          <xdr:col>12</xdr:col>
          <xdr:colOff>323850</xdr:colOff>
          <xdr:row>109</xdr:row>
          <xdr:rowOff>304800</xdr:rowOff>
        </xdr:to>
        <xdr:sp macro="" textlink="">
          <xdr:nvSpPr>
            <xdr:cNvPr id="59481" name="Check Box 89" hidden="1">
              <a:extLst>
                <a:ext uri="{63B3BB69-23CF-44E3-9099-C40C66FF867C}">
                  <a14:compatExt spid="_x0000_s59481"/>
                </a:ext>
                <a:ext uri="{FF2B5EF4-FFF2-40B4-BE49-F238E27FC236}">
                  <a16:creationId xmlns:a16="http://schemas.microsoft.com/office/drawing/2014/main" id="{00000000-0008-0000-0D00-00005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110</xdr:row>
          <xdr:rowOff>47625</xdr:rowOff>
        </xdr:from>
        <xdr:to>
          <xdr:col>12</xdr:col>
          <xdr:colOff>323850</xdr:colOff>
          <xdr:row>110</xdr:row>
          <xdr:rowOff>314325</xdr:rowOff>
        </xdr:to>
        <xdr:sp macro="" textlink="">
          <xdr:nvSpPr>
            <xdr:cNvPr id="59482" name="Check Box 90" hidden="1">
              <a:extLst>
                <a:ext uri="{63B3BB69-23CF-44E3-9099-C40C66FF867C}">
                  <a14:compatExt spid="_x0000_s59482"/>
                </a:ext>
                <a:ext uri="{FF2B5EF4-FFF2-40B4-BE49-F238E27FC236}">
                  <a16:creationId xmlns:a16="http://schemas.microsoft.com/office/drawing/2014/main" id="{00000000-0008-0000-0D00-00005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111</xdr:row>
          <xdr:rowOff>57150</xdr:rowOff>
        </xdr:from>
        <xdr:to>
          <xdr:col>12</xdr:col>
          <xdr:colOff>323850</xdr:colOff>
          <xdr:row>111</xdr:row>
          <xdr:rowOff>323850</xdr:rowOff>
        </xdr:to>
        <xdr:sp macro="" textlink="">
          <xdr:nvSpPr>
            <xdr:cNvPr id="59483" name="Check Box 91" hidden="1">
              <a:extLst>
                <a:ext uri="{63B3BB69-23CF-44E3-9099-C40C66FF867C}">
                  <a14:compatExt spid="_x0000_s59483"/>
                </a:ext>
                <a:ext uri="{FF2B5EF4-FFF2-40B4-BE49-F238E27FC236}">
                  <a16:creationId xmlns:a16="http://schemas.microsoft.com/office/drawing/2014/main" id="{00000000-0008-0000-0D00-00005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112</xdr:row>
          <xdr:rowOff>38100</xdr:rowOff>
        </xdr:from>
        <xdr:to>
          <xdr:col>12</xdr:col>
          <xdr:colOff>323850</xdr:colOff>
          <xdr:row>112</xdr:row>
          <xdr:rowOff>304800</xdr:rowOff>
        </xdr:to>
        <xdr:sp macro="" textlink="">
          <xdr:nvSpPr>
            <xdr:cNvPr id="59484" name="Check Box 92" hidden="1">
              <a:extLst>
                <a:ext uri="{63B3BB69-23CF-44E3-9099-C40C66FF867C}">
                  <a14:compatExt spid="_x0000_s59484"/>
                </a:ext>
                <a:ext uri="{FF2B5EF4-FFF2-40B4-BE49-F238E27FC236}">
                  <a16:creationId xmlns:a16="http://schemas.microsoft.com/office/drawing/2014/main" id="{00000000-0008-0000-0D00-00005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113</xdr:row>
          <xdr:rowOff>228600</xdr:rowOff>
        </xdr:from>
        <xdr:to>
          <xdr:col>12</xdr:col>
          <xdr:colOff>323850</xdr:colOff>
          <xdr:row>113</xdr:row>
          <xdr:rowOff>495300</xdr:rowOff>
        </xdr:to>
        <xdr:sp macro="" textlink="">
          <xdr:nvSpPr>
            <xdr:cNvPr id="59485" name="Check Box 93" hidden="1">
              <a:extLst>
                <a:ext uri="{63B3BB69-23CF-44E3-9099-C40C66FF867C}">
                  <a14:compatExt spid="_x0000_s59485"/>
                </a:ext>
                <a:ext uri="{FF2B5EF4-FFF2-40B4-BE49-F238E27FC236}">
                  <a16:creationId xmlns:a16="http://schemas.microsoft.com/office/drawing/2014/main" id="{00000000-0008-0000-0D00-00005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114</xdr:row>
          <xdr:rowOff>47625</xdr:rowOff>
        </xdr:from>
        <xdr:to>
          <xdr:col>12</xdr:col>
          <xdr:colOff>323850</xdr:colOff>
          <xdr:row>114</xdr:row>
          <xdr:rowOff>314325</xdr:rowOff>
        </xdr:to>
        <xdr:sp macro="" textlink="">
          <xdr:nvSpPr>
            <xdr:cNvPr id="59486" name="Check Box 94" hidden="1">
              <a:extLst>
                <a:ext uri="{63B3BB69-23CF-44E3-9099-C40C66FF867C}">
                  <a14:compatExt spid="_x0000_s59486"/>
                </a:ext>
                <a:ext uri="{FF2B5EF4-FFF2-40B4-BE49-F238E27FC236}">
                  <a16:creationId xmlns:a16="http://schemas.microsoft.com/office/drawing/2014/main" id="{00000000-0008-0000-0D00-00005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115</xdr:row>
          <xdr:rowOff>38100</xdr:rowOff>
        </xdr:from>
        <xdr:to>
          <xdr:col>12</xdr:col>
          <xdr:colOff>323850</xdr:colOff>
          <xdr:row>115</xdr:row>
          <xdr:rowOff>304800</xdr:rowOff>
        </xdr:to>
        <xdr:sp macro="" textlink="">
          <xdr:nvSpPr>
            <xdr:cNvPr id="59487" name="Check Box 95" hidden="1">
              <a:extLst>
                <a:ext uri="{63B3BB69-23CF-44E3-9099-C40C66FF867C}">
                  <a14:compatExt spid="_x0000_s59487"/>
                </a:ext>
                <a:ext uri="{FF2B5EF4-FFF2-40B4-BE49-F238E27FC236}">
                  <a16:creationId xmlns:a16="http://schemas.microsoft.com/office/drawing/2014/main" id="{00000000-0008-0000-0D00-00005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116</xdr:row>
          <xdr:rowOff>38100</xdr:rowOff>
        </xdr:from>
        <xdr:to>
          <xdr:col>12</xdr:col>
          <xdr:colOff>323850</xdr:colOff>
          <xdr:row>116</xdr:row>
          <xdr:rowOff>304800</xdr:rowOff>
        </xdr:to>
        <xdr:sp macro="" textlink="">
          <xdr:nvSpPr>
            <xdr:cNvPr id="59488" name="Check Box 96" hidden="1">
              <a:extLst>
                <a:ext uri="{63B3BB69-23CF-44E3-9099-C40C66FF867C}">
                  <a14:compatExt spid="_x0000_s59488"/>
                </a:ext>
                <a:ext uri="{FF2B5EF4-FFF2-40B4-BE49-F238E27FC236}">
                  <a16:creationId xmlns:a16="http://schemas.microsoft.com/office/drawing/2014/main" id="{00000000-0008-0000-0D00-00006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117</xdr:row>
          <xdr:rowOff>47625</xdr:rowOff>
        </xdr:from>
        <xdr:to>
          <xdr:col>12</xdr:col>
          <xdr:colOff>323850</xdr:colOff>
          <xdr:row>117</xdr:row>
          <xdr:rowOff>314325</xdr:rowOff>
        </xdr:to>
        <xdr:sp macro="" textlink="">
          <xdr:nvSpPr>
            <xdr:cNvPr id="59489" name="Check Box 97" hidden="1">
              <a:extLst>
                <a:ext uri="{63B3BB69-23CF-44E3-9099-C40C66FF867C}">
                  <a14:compatExt spid="_x0000_s59489"/>
                </a:ext>
                <a:ext uri="{FF2B5EF4-FFF2-40B4-BE49-F238E27FC236}">
                  <a16:creationId xmlns:a16="http://schemas.microsoft.com/office/drawing/2014/main" id="{00000000-0008-0000-0D00-00006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118</xdr:row>
          <xdr:rowOff>47625</xdr:rowOff>
        </xdr:from>
        <xdr:to>
          <xdr:col>12</xdr:col>
          <xdr:colOff>323850</xdr:colOff>
          <xdr:row>118</xdr:row>
          <xdr:rowOff>314325</xdr:rowOff>
        </xdr:to>
        <xdr:sp macro="" textlink="">
          <xdr:nvSpPr>
            <xdr:cNvPr id="59490" name="Check Box 98" hidden="1">
              <a:extLst>
                <a:ext uri="{63B3BB69-23CF-44E3-9099-C40C66FF867C}">
                  <a14:compatExt spid="_x0000_s59490"/>
                </a:ext>
                <a:ext uri="{FF2B5EF4-FFF2-40B4-BE49-F238E27FC236}">
                  <a16:creationId xmlns:a16="http://schemas.microsoft.com/office/drawing/2014/main" id="{00000000-0008-0000-0D00-00006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119</xdr:row>
          <xdr:rowOff>47625</xdr:rowOff>
        </xdr:from>
        <xdr:to>
          <xdr:col>12</xdr:col>
          <xdr:colOff>323850</xdr:colOff>
          <xdr:row>119</xdr:row>
          <xdr:rowOff>314325</xdr:rowOff>
        </xdr:to>
        <xdr:sp macro="" textlink="">
          <xdr:nvSpPr>
            <xdr:cNvPr id="59491" name="Check Box 99" hidden="1">
              <a:extLst>
                <a:ext uri="{63B3BB69-23CF-44E3-9099-C40C66FF867C}">
                  <a14:compatExt spid="_x0000_s59491"/>
                </a:ext>
                <a:ext uri="{FF2B5EF4-FFF2-40B4-BE49-F238E27FC236}">
                  <a16:creationId xmlns:a16="http://schemas.microsoft.com/office/drawing/2014/main" id="{00000000-0008-0000-0D00-00006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120</xdr:row>
          <xdr:rowOff>123825</xdr:rowOff>
        </xdr:from>
        <xdr:to>
          <xdr:col>12</xdr:col>
          <xdr:colOff>323850</xdr:colOff>
          <xdr:row>120</xdr:row>
          <xdr:rowOff>390525</xdr:rowOff>
        </xdr:to>
        <xdr:sp macro="" textlink="">
          <xdr:nvSpPr>
            <xdr:cNvPr id="59492" name="Check Box 100" hidden="1">
              <a:extLst>
                <a:ext uri="{63B3BB69-23CF-44E3-9099-C40C66FF867C}">
                  <a14:compatExt spid="_x0000_s59492"/>
                </a:ext>
                <a:ext uri="{FF2B5EF4-FFF2-40B4-BE49-F238E27FC236}">
                  <a16:creationId xmlns:a16="http://schemas.microsoft.com/office/drawing/2014/main" id="{00000000-0008-0000-0D00-00006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121</xdr:row>
          <xdr:rowOff>47625</xdr:rowOff>
        </xdr:from>
        <xdr:to>
          <xdr:col>12</xdr:col>
          <xdr:colOff>323850</xdr:colOff>
          <xdr:row>121</xdr:row>
          <xdr:rowOff>314325</xdr:rowOff>
        </xdr:to>
        <xdr:sp macro="" textlink="">
          <xdr:nvSpPr>
            <xdr:cNvPr id="59493" name="Check Box 101" hidden="1">
              <a:extLst>
                <a:ext uri="{63B3BB69-23CF-44E3-9099-C40C66FF867C}">
                  <a14:compatExt spid="_x0000_s59493"/>
                </a:ext>
                <a:ext uri="{FF2B5EF4-FFF2-40B4-BE49-F238E27FC236}">
                  <a16:creationId xmlns:a16="http://schemas.microsoft.com/office/drawing/2014/main" id="{00000000-0008-0000-0D00-00006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66675</xdr:rowOff>
        </xdr:from>
        <xdr:to>
          <xdr:col>12</xdr:col>
          <xdr:colOff>323850</xdr:colOff>
          <xdr:row>122</xdr:row>
          <xdr:rowOff>333375</xdr:rowOff>
        </xdr:to>
        <xdr:sp macro="" textlink="">
          <xdr:nvSpPr>
            <xdr:cNvPr id="59494" name="Check Box 102" hidden="1">
              <a:extLst>
                <a:ext uri="{63B3BB69-23CF-44E3-9099-C40C66FF867C}">
                  <a14:compatExt spid="_x0000_s59494"/>
                </a:ext>
                <a:ext uri="{FF2B5EF4-FFF2-40B4-BE49-F238E27FC236}">
                  <a16:creationId xmlns:a16="http://schemas.microsoft.com/office/drawing/2014/main" id="{00000000-0008-0000-0D00-00006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123</xdr:row>
          <xdr:rowOff>180975</xdr:rowOff>
        </xdr:from>
        <xdr:to>
          <xdr:col>12</xdr:col>
          <xdr:colOff>323850</xdr:colOff>
          <xdr:row>123</xdr:row>
          <xdr:rowOff>447675</xdr:rowOff>
        </xdr:to>
        <xdr:sp macro="" textlink="">
          <xdr:nvSpPr>
            <xdr:cNvPr id="59495" name="Check Box 103" hidden="1">
              <a:extLst>
                <a:ext uri="{63B3BB69-23CF-44E3-9099-C40C66FF867C}">
                  <a14:compatExt spid="_x0000_s59495"/>
                </a:ext>
                <a:ext uri="{FF2B5EF4-FFF2-40B4-BE49-F238E27FC236}">
                  <a16:creationId xmlns:a16="http://schemas.microsoft.com/office/drawing/2014/main" id="{00000000-0008-0000-0D00-00006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125</xdr:row>
          <xdr:rowOff>66675</xdr:rowOff>
        </xdr:from>
        <xdr:to>
          <xdr:col>12</xdr:col>
          <xdr:colOff>323850</xdr:colOff>
          <xdr:row>125</xdr:row>
          <xdr:rowOff>333375</xdr:rowOff>
        </xdr:to>
        <xdr:sp macro="" textlink="">
          <xdr:nvSpPr>
            <xdr:cNvPr id="59496" name="Check Box 104" hidden="1">
              <a:extLst>
                <a:ext uri="{63B3BB69-23CF-44E3-9099-C40C66FF867C}">
                  <a14:compatExt spid="_x0000_s59496"/>
                </a:ext>
                <a:ext uri="{FF2B5EF4-FFF2-40B4-BE49-F238E27FC236}">
                  <a16:creationId xmlns:a16="http://schemas.microsoft.com/office/drawing/2014/main" id="{00000000-0008-0000-0D00-00006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127</xdr:row>
          <xdr:rowOff>257175</xdr:rowOff>
        </xdr:from>
        <xdr:to>
          <xdr:col>12</xdr:col>
          <xdr:colOff>323850</xdr:colOff>
          <xdr:row>128</xdr:row>
          <xdr:rowOff>142875</xdr:rowOff>
        </xdr:to>
        <xdr:sp macro="" textlink="">
          <xdr:nvSpPr>
            <xdr:cNvPr id="59497" name="Check Box 105" hidden="1">
              <a:extLst>
                <a:ext uri="{63B3BB69-23CF-44E3-9099-C40C66FF867C}">
                  <a14:compatExt spid="_x0000_s59497"/>
                </a:ext>
                <a:ext uri="{FF2B5EF4-FFF2-40B4-BE49-F238E27FC236}">
                  <a16:creationId xmlns:a16="http://schemas.microsoft.com/office/drawing/2014/main" id="{00000000-0008-0000-0D00-00006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129</xdr:row>
          <xdr:rowOff>38100</xdr:rowOff>
        </xdr:from>
        <xdr:to>
          <xdr:col>12</xdr:col>
          <xdr:colOff>323850</xdr:colOff>
          <xdr:row>129</xdr:row>
          <xdr:rowOff>304800</xdr:rowOff>
        </xdr:to>
        <xdr:sp macro="" textlink="">
          <xdr:nvSpPr>
            <xdr:cNvPr id="59498" name="Check Box 106" hidden="1">
              <a:extLst>
                <a:ext uri="{63B3BB69-23CF-44E3-9099-C40C66FF867C}">
                  <a14:compatExt spid="_x0000_s59498"/>
                </a:ext>
                <a:ext uri="{FF2B5EF4-FFF2-40B4-BE49-F238E27FC236}">
                  <a16:creationId xmlns:a16="http://schemas.microsoft.com/office/drawing/2014/main" id="{00000000-0008-0000-0D00-00006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130</xdr:row>
          <xdr:rowOff>38100</xdr:rowOff>
        </xdr:from>
        <xdr:to>
          <xdr:col>12</xdr:col>
          <xdr:colOff>323850</xdr:colOff>
          <xdr:row>130</xdr:row>
          <xdr:rowOff>304800</xdr:rowOff>
        </xdr:to>
        <xdr:sp macro="" textlink="">
          <xdr:nvSpPr>
            <xdr:cNvPr id="59499" name="Check Box 107" hidden="1">
              <a:extLst>
                <a:ext uri="{63B3BB69-23CF-44E3-9099-C40C66FF867C}">
                  <a14:compatExt spid="_x0000_s59499"/>
                </a:ext>
                <a:ext uri="{FF2B5EF4-FFF2-40B4-BE49-F238E27FC236}">
                  <a16:creationId xmlns:a16="http://schemas.microsoft.com/office/drawing/2014/main" id="{00000000-0008-0000-0D00-00006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132</xdr:row>
          <xdr:rowOff>38100</xdr:rowOff>
        </xdr:from>
        <xdr:to>
          <xdr:col>12</xdr:col>
          <xdr:colOff>323850</xdr:colOff>
          <xdr:row>132</xdr:row>
          <xdr:rowOff>304800</xdr:rowOff>
        </xdr:to>
        <xdr:sp macro="" textlink="">
          <xdr:nvSpPr>
            <xdr:cNvPr id="59500" name="Check Box 108" hidden="1">
              <a:extLst>
                <a:ext uri="{63B3BB69-23CF-44E3-9099-C40C66FF867C}">
                  <a14:compatExt spid="_x0000_s59500"/>
                </a:ext>
                <a:ext uri="{FF2B5EF4-FFF2-40B4-BE49-F238E27FC236}">
                  <a16:creationId xmlns:a16="http://schemas.microsoft.com/office/drawing/2014/main" id="{00000000-0008-0000-0D00-00006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133</xdr:row>
          <xdr:rowOff>371475</xdr:rowOff>
        </xdr:from>
        <xdr:to>
          <xdr:col>12</xdr:col>
          <xdr:colOff>323850</xdr:colOff>
          <xdr:row>133</xdr:row>
          <xdr:rowOff>638175</xdr:rowOff>
        </xdr:to>
        <xdr:sp macro="" textlink="">
          <xdr:nvSpPr>
            <xdr:cNvPr id="59501" name="Check Box 109" hidden="1">
              <a:extLst>
                <a:ext uri="{63B3BB69-23CF-44E3-9099-C40C66FF867C}">
                  <a14:compatExt spid="_x0000_s59501"/>
                </a:ext>
                <a:ext uri="{FF2B5EF4-FFF2-40B4-BE49-F238E27FC236}">
                  <a16:creationId xmlns:a16="http://schemas.microsoft.com/office/drawing/2014/main" id="{00000000-0008-0000-0D00-00006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134</xdr:row>
          <xdr:rowOff>38100</xdr:rowOff>
        </xdr:from>
        <xdr:to>
          <xdr:col>12</xdr:col>
          <xdr:colOff>323850</xdr:colOff>
          <xdr:row>134</xdr:row>
          <xdr:rowOff>304800</xdr:rowOff>
        </xdr:to>
        <xdr:sp macro="" textlink="">
          <xdr:nvSpPr>
            <xdr:cNvPr id="59502" name="Check Box 110" hidden="1">
              <a:extLst>
                <a:ext uri="{63B3BB69-23CF-44E3-9099-C40C66FF867C}">
                  <a14:compatExt spid="_x0000_s59502"/>
                </a:ext>
                <a:ext uri="{FF2B5EF4-FFF2-40B4-BE49-F238E27FC236}">
                  <a16:creationId xmlns:a16="http://schemas.microsoft.com/office/drawing/2014/main" id="{00000000-0008-0000-0D00-00006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135</xdr:row>
          <xdr:rowOff>161925</xdr:rowOff>
        </xdr:from>
        <xdr:to>
          <xdr:col>12</xdr:col>
          <xdr:colOff>323850</xdr:colOff>
          <xdr:row>135</xdr:row>
          <xdr:rowOff>428625</xdr:rowOff>
        </xdr:to>
        <xdr:sp macro="" textlink="">
          <xdr:nvSpPr>
            <xdr:cNvPr id="59503" name="Check Box 111" hidden="1">
              <a:extLst>
                <a:ext uri="{63B3BB69-23CF-44E3-9099-C40C66FF867C}">
                  <a14:compatExt spid="_x0000_s59503"/>
                </a:ext>
                <a:ext uri="{FF2B5EF4-FFF2-40B4-BE49-F238E27FC236}">
                  <a16:creationId xmlns:a16="http://schemas.microsoft.com/office/drawing/2014/main" id="{00000000-0008-0000-0D00-00006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137</xdr:row>
          <xdr:rowOff>28575</xdr:rowOff>
        </xdr:from>
        <xdr:to>
          <xdr:col>12</xdr:col>
          <xdr:colOff>323850</xdr:colOff>
          <xdr:row>137</xdr:row>
          <xdr:rowOff>295275</xdr:rowOff>
        </xdr:to>
        <xdr:sp macro="" textlink="">
          <xdr:nvSpPr>
            <xdr:cNvPr id="59504" name="Check Box 112" hidden="1">
              <a:extLst>
                <a:ext uri="{63B3BB69-23CF-44E3-9099-C40C66FF867C}">
                  <a14:compatExt spid="_x0000_s59504"/>
                </a:ext>
                <a:ext uri="{FF2B5EF4-FFF2-40B4-BE49-F238E27FC236}">
                  <a16:creationId xmlns:a16="http://schemas.microsoft.com/office/drawing/2014/main" id="{00000000-0008-0000-0D00-00007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138</xdr:row>
          <xdr:rowOff>38100</xdr:rowOff>
        </xdr:from>
        <xdr:to>
          <xdr:col>12</xdr:col>
          <xdr:colOff>323850</xdr:colOff>
          <xdr:row>138</xdr:row>
          <xdr:rowOff>304800</xdr:rowOff>
        </xdr:to>
        <xdr:sp macro="" textlink="">
          <xdr:nvSpPr>
            <xdr:cNvPr id="59505" name="Check Box 113" hidden="1">
              <a:extLst>
                <a:ext uri="{63B3BB69-23CF-44E3-9099-C40C66FF867C}">
                  <a14:compatExt spid="_x0000_s59505"/>
                </a:ext>
                <a:ext uri="{FF2B5EF4-FFF2-40B4-BE49-F238E27FC236}">
                  <a16:creationId xmlns:a16="http://schemas.microsoft.com/office/drawing/2014/main" id="{00000000-0008-0000-0D00-00007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139</xdr:row>
          <xdr:rowOff>38100</xdr:rowOff>
        </xdr:from>
        <xdr:to>
          <xdr:col>12</xdr:col>
          <xdr:colOff>323850</xdr:colOff>
          <xdr:row>139</xdr:row>
          <xdr:rowOff>304800</xdr:rowOff>
        </xdr:to>
        <xdr:sp macro="" textlink="">
          <xdr:nvSpPr>
            <xdr:cNvPr id="59506" name="Check Box 114" hidden="1">
              <a:extLst>
                <a:ext uri="{63B3BB69-23CF-44E3-9099-C40C66FF867C}">
                  <a14:compatExt spid="_x0000_s59506"/>
                </a:ext>
                <a:ext uri="{FF2B5EF4-FFF2-40B4-BE49-F238E27FC236}">
                  <a16:creationId xmlns:a16="http://schemas.microsoft.com/office/drawing/2014/main" id="{00000000-0008-0000-0D00-00007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140</xdr:row>
          <xdr:rowOff>57150</xdr:rowOff>
        </xdr:from>
        <xdr:to>
          <xdr:col>12</xdr:col>
          <xdr:colOff>323850</xdr:colOff>
          <xdr:row>140</xdr:row>
          <xdr:rowOff>323850</xdr:rowOff>
        </xdr:to>
        <xdr:sp macro="" textlink="">
          <xdr:nvSpPr>
            <xdr:cNvPr id="59507" name="Check Box 115" hidden="1">
              <a:extLst>
                <a:ext uri="{63B3BB69-23CF-44E3-9099-C40C66FF867C}">
                  <a14:compatExt spid="_x0000_s59507"/>
                </a:ext>
                <a:ext uri="{FF2B5EF4-FFF2-40B4-BE49-F238E27FC236}">
                  <a16:creationId xmlns:a16="http://schemas.microsoft.com/office/drawing/2014/main" id="{00000000-0008-0000-0D00-00007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141</xdr:row>
          <xdr:rowOff>47625</xdr:rowOff>
        </xdr:from>
        <xdr:to>
          <xdr:col>12</xdr:col>
          <xdr:colOff>323850</xdr:colOff>
          <xdr:row>141</xdr:row>
          <xdr:rowOff>314325</xdr:rowOff>
        </xdr:to>
        <xdr:sp macro="" textlink="">
          <xdr:nvSpPr>
            <xdr:cNvPr id="59508" name="Check Box 116" hidden="1">
              <a:extLst>
                <a:ext uri="{63B3BB69-23CF-44E3-9099-C40C66FF867C}">
                  <a14:compatExt spid="_x0000_s59508"/>
                </a:ext>
                <a:ext uri="{FF2B5EF4-FFF2-40B4-BE49-F238E27FC236}">
                  <a16:creationId xmlns:a16="http://schemas.microsoft.com/office/drawing/2014/main" id="{00000000-0008-0000-0D00-00007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142</xdr:row>
          <xdr:rowOff>38100</xdr:rowOff>
        </xdr:from>
        <xdr:to>
          <xdr:col>12</xdr:col>
          <xdr:colOff>323850</xdr:colOff>
          <xdr:row>142</xdr:row>
          <xdr:rowOff>304800</xdr:rowOff>
        </xdr:to>
        <xdr:sp macro="" textlink="">
          <xdr:nvSpPr>
            <xdr:cNvPr id="59509" name="Check Box 117" hidden="1">
              <a:extLst>
                <a:ext uri="{63B3BB69-23CF-44E3-9099-C40C66FF867C}">
                  <a14:compatExt spid="_x0000_s59509"/>
                </a:ext>
                <a:ext uri="{FF2B5EF4-FFF2-40B4-BE49-F238E27FC236}">
                  <a16:creationId xmlns:a16="http://schemas.microsoft.com/office/drawing/2014/main" id="{00000000-0008-0000-0D00-00007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143</xdr:row>
          <xdr:rowOff>238125</xdr:rowOff>
        </xdr:from>
        <xdr:to>
          <xdr:col>12</xdr:col>
          <xdr:colOff>323850</xdr:colOff>
          <xdr:row>143</xdr:row>
          <xdr:rowOff>504825</xdr:rowOff>
        </xdr:to>
        <xdr:sp macro="" textlink="">
          <xdr:nvSpPr>
            <xdr:cNvPr id="59510" name="Check Box 118" hidden="1">
              <a:extLst>
                <a:ext uri="{63B3BB69-23CF-44E3-9099-C40C66FF867C}">
                  <a14:compatExt spid="_x0000_s59510"/>
                </a:ext>
                <a:ext uri="{FF2B5EF4-FFF2-40B4-BE49-F238E27FC236}">
                  <a16:creationId xmlns:a16="http://schemas.microsoft.com/office/drawing/2014/main" id="{00000000-0008-0000-0D00-00007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144</xdr:row>
          <xdr:rowOff>47625</xdr:rowOff>
        </xdr:from>
        <xdr:to>
          <xdr:col>12</xdr:col>
          <xdr:colOff>323850</xdr:colOff>
          <xdr:row>144</xdr:row>
          <xdr:rowOff>314325</xdr:rowOff>
        </xdr:to>
        <xdr:sp macro="" textlink="">
          <xdr:nvSpPr>
            <xdr:cNvPr id="59511" name="Check Box 119" hidden="1">
              <a:extLst>
                <a:ext uri="{63B3BB69-23CF-44E3-9099-C40C66FF867C}">
                  <a14:compatExt spid="_x0000_s59511"/>
                </a:ext>
                <a:ext uri="{FF2B5EF4-FFF2-40B4-BE49-F238E27FC236}">
                  <a16:creationId xmlns:a16="http://schemas.microsoft.com/office/drawing/2014/main" id="{00000000-0008-0000-0D00-00007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147</xdr:row>
          <xdr:rowOff>85725</xdr:rowOff>
        </xdr:from>
        <xdr:to>
          <xdr:col>12</xdr:col>
          <xdr:colOff>323850</xdr:colOff>
          <xdr:row>147</xdr:row>
          <xdr:rowOff>314325</xdr:rowOff>
        </xdr:to>
        <xdr:sp macro="" textlink="">
          <xdr:nvSpPr>
            <xdr:cNvPr id="59513" name="Check Box 121" hidden="1">
              <a:extLst>
                <a:ext uri="{63B3BB69-23CF-44E3-9099-C40C66FF867C}">
                  <a14:compatExt spid="_x0000_s59513"/>
                </a:ext>
                <a:ext uri="{FF2B5EF4-FFF2-40B4-BE49-F238E27FC236}">
                  <a16:creationId xmlns:a16="http://schemas.microsoft.com/office/drawing/2014/main" id="{00000000-0008-0000-0D00-00007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148</xdr:row>
          <xdr:rowOff>38100</xdr:rowOff>
        </xdr:from>
        <xdr:to>
          <xdr:col>12</xdr:col>
          <xdr:colOff>323850</xdr:colOff>
          <xdr:row>148</xdr:row>
          <xdr:rowOff>304800</xdr:rowOff>
        </xdr:to>
        <xdr:sp macro="" textlink="">
          <xdr:nvSpPr>
            <xdr:cNvPr id="59514" name="Check Box 122" hidden="1">
              <a:extLst>
                <a:ext uri="{63B3BB69-23CF-44E3-9099-C40C66FF867C}">
                  <a14:compatExt spid="_x0000_s59514"/>
                </a:ext>
                <a:ext uri="{FF2B5EF4-FFF2-40B4-BE49-F238E27FC236}">
                  <a16:creationId xmlns:a16="http://schemas.microsoft.com/office/drawing/2014/main" id="{00000000-0008-0000-0D00-00007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149</xdr:row>
          <xdr:rowOff>38100</xdr:rowOff>
        </xdr:from>
        <xdr:to>
          <xdr:col>12</xdr:col>
          <xdr:colOff>323850</xdr:colOff>
          <xdr:row>149</xdr:row>
          <xdr:rowOff>304800</xdr:rowOff>
        </xdr:to>
        <xdr:sp macro="" textlink="">
          <xdr:nvSpPr>
            <xdr:cNvPr id="59515" name="Check Box 123" hidden="1">
              <a:extLst>
                <a:ext uri="{63B3BB69-23CF-44E3-9099-C40C66FF867C}">
                  <a14:compatExt spid="_x0000_s59515"/>
                </a:ext>
                <a:ext uri="{FF2B5EF4-FFF2-40B4-BE49-F238E27FC236}">
                  <a16:creationId xmlns:a16="http://schemas.microsoft.com/office/drawing/2014/main" id="{00000000-0008-0000-0D00-00007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150</xdr:row>
          <xdr:rowOff>38100</xdr:rowOff>
        </xdr:from>
        <xdr:to>
          <xdr:col>12</xdr:col>
          <xdr:colOff>323850</xdr:colOff>
          <xdr:row>150</xdr:row>
          <xdr:rowOff>304800</xdr:rowOff>
        </xdr:to>
        <xdr:sp macro="" textlink="">
          <xdr:nvSpPr>
            <xdr:cNvPr id="59516" name="Check Box 124" hidden="1">
              <a:extLst>
                <a:ext uri="{63B3BB69-23CF-44E3-9099-C40C66FF867C}">
                  <a14:compatExt spid="_x0000_s59516"/>
                </a:ext>
                <a:ext uri="{FF2B5EF4-FFF2-40B4-BE49-F238E27FC236}">
                  <a16:creationId xmlns:a16="http://schemas.microsoft.com/office/drawing/2014/main" id="{00000000-0008-0000-0D00-00007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151</xdr:row>
          <xdr:rowOff>38100</xdr:rowOff>
        </xdr:from>
        <xdr:to>
          <xdr:col>12</xdr:col>
          <xdr:colOff>323850</xdr:colOff>
          <xdr:row>151</xdr:row>
          <xdr:rowOff>304800</xdr:rowOff>
        </xdr:to>
        <xdr:sp macro="" textlink="">
          <xdr:nvSpPr>
            <xdr:cNvPr id="59517" name="Check Box 125" hidden="1">
              <a:extLst>
                <a:ext uri="{63B3BB69-23CF-44E3-9099-C40C66FF867C}">
                  <a14:compatExt spid="_x0000_s59517"/>
                </a:ext>
                <a:ext uri="{FF2B5EF4-FFF2-40B4-BE49-F238E27FC236}">
                  <a16:creationId xmlns:a16="http://schemas.microsoft.com/office/drawing/2014/main" id="{00000000-0008-0000-0D00-00007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152</xdr:row>
          <xdr:rowOff>38100</xdr:rowOff>
        </xdr:from>
        <xdr:to>
          <xdr:col>12</xdr:col>
          <xdr:colOff>323850</xdr:colOff>
          <xdr:row>152</xdr:row>
          <xdr:rowOff>304800</xdr:rowOff>
        </xdr:to>
        <xdr:sp macro="" textlink="">
          <xdr:nvSpPr>
            <xdr:cNvPr id="59518" name="Check Box 126" hidden="1">
              <a:extLst>
                <a:ext uri="{63B3BB69-23CF-44E3-9099-C40C66FF867C}">
                  <a14:compatExt spid="_x0000_s59518"/>
                </a:ext>
                <a:ext uri="{FF2B5EF4-FFF2-40B4-BE49-F238E27FC236}">
                  <a16:creationId xmlns:a16="http://schemas.microsoft.com/office/drawing/2014/main" id="{00000000-0008-0000-0D00-00007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163</xdr:row>
          <xdr:rowOff>47625</xdr:rowOff>
        </xdr:from>
        <xdr:to>
          <xdr:col>12</xdr:col>
          <xdr:colOff>323850</xdr:colOff>
          <xdr:row>163</xdr:row>
          <xdr:rowOff>314325</xdr:rowOff>
        </xdr:to>
        <xdr:sp macro="" textlink="">
          <xdr:nvSpPr>
            <xdr:cNvPr id="59519" name="Check Box 127" hidden="1">
              <a:extLst>
                <a:ext uri="{63B3BB69-23CF-44E3-9099-C40C66FF867C}">
                  <a14:compatExt spid="_x0000_s59519"/>
                </a:ext>
                <a:ext uri="{FF2B5EF4-FFF2-40B4-BE49-F238E27FC236}">
                  <a16:creationId xmlns:a16="http://schemas.microsoft.com/office/drawing/2014/main" id="{00000000-0008-0000-0D00-00007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164</xdr:row>
          <xdr:rowOff>38100</xdr:rowOff>
        </xdr:from>
        <xdr:to>
          <xdr:col>12</xdr:col>
          <xdr:colOff>323850</xdr:colOff>
          <xdr:row>164</xdr:row>
          <xdr:rowOff>304800</xdr:rowOff>
        </xdr:to>
        <xdr:sp macro="" textlink="">
          <xdr:nvSpPr>
            <xdr:cNvPr id="59520" name="Check Box 128" hidden="1">
              <a:extLst>
                <a:ext uri="{63B3BB69-23CF-44E3-9099-C40C66FF867C}">
                  <a14:compatExt spid="_x0000_s59520"/>
                </a:ext>
                <a:ext uri="{FF2B5EF4-FFF2-40B4-BE49-F238E27FC236}">
                  <a16:creationId xmlns:a16="http://schemas.microsoft.com/office/drawing/2014/main" id="{00000000-0008-0000-0D00-00008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165</xdr:row>
          <xdr:rowOff>190500</xdr:rowOff>
        </xdr:from>
        <xdr:to>
          <xdr:col>12</xdr:col>
          <xdr:colOff>323850</xdr:colOff>
          <xdr:row>165</xdr:row>
          <xdr:rowOff>457200</xdr:rowOff>
        </xdr:to>
        <xdr:sp macro="" textlink="">
          <xdr:nvSpPr>
            <xdr:cNvPr id="59521" name="Check Box 129" hidden="1">
              <a:extLst>
                <a:ext uri="{63B3BB69-23CF-44E3-9099-C40C66FF867C}">
                  <a14:compatExt spid="_x0000_s59521"/>
                </a:ext>
                <a:ext uri="{FF2B5EF4-FFF2-40B4-BE49-F238E27FC236}">
                  <a16:creationId xmlns:a16="http://schemas.microsoft.com/office/drawing/2014/main" id="{00000000-0008-0000-0D00-00008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153</xdr:row>
          <xdr:rowOff>152400</xdr:rowOff>
        </xdr:from>
        <xdr:to>
          <xdr:col>12</xdr:col>
          <xdr:colOff>323850</xdr:colOff>
          <xdr:row>153</xdr:row>
          <xdr:rowOff>419100</xdr:rowOff>
        </xdr:to>
        <xdr:sp macro="" textlink="">
          <xdr:nvSpPr>
            <xdr:cNvPr id="59522" name="Check Box 130" hidden="1">
              <a:extLst>
                <a:ext uri="{63B3BB69-23CF-44E3-9099-C40C66FF867C}">
                  <a14:compatExt spid="_x0000_s59522"/>
                </a:ext>
                <a:ext uri="{FF2B5EF4-FFF2-40B4-BE49-F238E27FC236}">
                  <a16:creationId xmlns:a16="http://schemas.microsoft.com/office/drawing/2014/main" id="{00000000-0008-0000-0D00-00008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154</xdr:row>
          <xdr:rowOff>38100</xdr:rowOff>
        </xdr:from>
        <xdr:to>
          <xdr:col>12</xdr:col>
          <xdr:colOff>323850</xdr:colOff>
          <xdr:row>154</xdr:row>
          <xdr:rowOff>304800</xdr:rowOff>
        </xdr:to>
        <xdr:sp macro="" textlink="">
          <xdr:nvSpPr>
            <xdr:cNvPr id="59523" name="Check Box 131" hidden="1">
              <a:extLst>
                <a:ext uri="{63B3BB69-23CF-44E3-9099-C40C66FF867C}">
                  <a14:compatExt spid="_x0000_s59523"/>
                </a:ext>
                <a:ext uri="{FF2B5EF4-FFF2-40B4-BE49-F238E27FC236}">
                  <a16:creationId xmlns:a16="http://schemas.microsoft.com/office/drawing/2014/main" id="{00000000-0008-0000-0D00-00008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155</xdr:row>
          <xdr:rowOff>38100</xdr:rowOff>
        </xdr:from>
        <xdr:to>
          <xdr:col>12</xdr:col>
          <xdr:colOff>323850</xdr:colOff>
          <xdr:row>155</xdr:row>
          <xdr:rowOff>304800</xdr:rowOff>
        </xdr:to>
        <xdr:sp macro="" textlink="">
          <xdr:nvSpPr>
            <xdr:cNvPr id="59524" name="Check Box 132" hidden="1">
              <a:extLst>
                <a:ext uri="{63B3BB69-23CF-44E3-9099-C40C66FF867C}">
                  <a14:compatExt spid="_x0000_s59524"/>
                </a:ext>
                <a:ext uri="{FF2B5EF4-FFF2-40B4-BE49-F238E27FC236}">
                  <a16:creationId xmlns:a16="http://schemas.microsoft.com/office/drawing/2014/main" id="{00000000-0008-0000-0D00-00008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156</xdr:row>
          <xdr:rowOff>47625</xdr:rowOff>
        </xdr:from>
        <xdr:to>
          <xdr:col>12</xdr:col>
          <xdr:colOff>323850</xdr:colOff>
          <xdr:row>156</xdr:row>
          <xdr:rowOff>314325</xdr:rowOff>
        </xdr:to>
        <xdr:sp macro="" textlink="">
          <xdr:nvSpPr>
            <xdr:cNvPr id="59525" name="Check Box 133" hidden="1">
              <a:extLst>
                <a:ext uri="{63B3BB69-23CF-44E3-9099-C40C66FF867C}">
                  <a14:compatExt spid="_x0000_s59525"/>
                </a:ext>
                <a:ext uri="{FF2B5EF4-FFF2-40B4-BE49-F238E27FC236}">
                  <a16:creationId xmlns:a16="http://schemas.microsoft.com/office/drawing/2014/main" id="{00000000-0008-0000-0D00-00008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157</xdr:row>
          <xdr:rowOff>38100</xdr:rowOff>
        </xdr:from>
        <xdr:to>
          <xdr:col>12</xdr:col>
          <xdr:colOff>323850</xdr:colOff>
          <xdr:row>157</xdr:row>
          <xdr:rowOff>304800</xdr:rowOff>
        </xdr:to>
        <xdr:sp macro="" textlink="">
          <xdr:nvSpPr>
            <xdr:cNvPr id="59526" name="Check Box 134" hidden="1">
              <a:extLst>
                <a:ext uri="{63B3BB69-23CF-44E3-9099-C40C66FF867C}">
                  <a14:compatExt spid="_x0000_s59526"/>
                </a:ext>
                <a:ext uri="{FF2B5EF4-FFF2-40B4-BE49-F238E27FC236}">
                  <a16:creationId xmlns:a16="http://schemas.microsoft.com/office/drawing/2014/main" id="{00000000-0008-0000-0D00-00008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158</xdr:row>
          <xdr:rowOff>38100</xdr:rowOff>
        </xdr:from>
        <xdr:to>
          <xdr:col>12</xdr:col>
          <xdr:colOff>323850</xdr:colOff>
          <xdr:row>158</xdr:row>
          <xdr:rowOff>304800</xdr:rowOff>
        </xdr:to>
        <xdr:sp macro="" textlink="">
          <xdr:nvSpPr>
            <xdr:cNvPr id="59527" name="Check Box 135" hidden="1">
              <a:extLst>
                <a:ext uri="{63B3BB69-23CF-44E3-9099-C40C66FF867C}">
                  <a14:compatExt spid="_x0000_s59527"/>
                </a:ext>
                <a:ext uri="{FF2B5EF4-FFF2-40B4-BE49-F238E27FC236}">
                  <a16:creationId xmlns:a16="http://schemas.microsoft.com/office/drawing/2014/main" id="{00000000-0008-0000-0D00-00008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159</xdr:row>
          <xdr:rowOff>38100</xdr:rowOff>
        </xdr:from>
        <xdr:to>
          <xdr:col>12</xdr:col>
          <xdr:colOff>323850</xdr:colOff>
          <xdr:row>159</xdr:row>
          <xdr:rowOff>304800</xdr:rowOff>
        </xdr:to>
        <xdr:sp macro="" textlink="">
          <xdr:nvSpPr>
            <xdr:cNvPr id="59528" name="Check Box 136" hidden="1">
              <a:extLst>
                <a:ext uri="{63B3BB69-23CF-44E3-9099-C40C66FF867C}">
                  <a14:compatExt spid="_x0000_s59528"/>
                </a:ext>
                <a:ext uri="{FF2B5EF4-FFF2-40B4-BE49-F238E27FC236}">
                  <a16:creationId xmlns:a16="http://schemas.microsoft.com/office/drawing/2014/main" id="{00000000-0008-0000-0D00-00008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160</xdr:row>
          <xdr:rowOff>38100</xdr:rowOff>
        </xdr:from>
        <xdr:to>
          <xdr:col>12</xdr:col>
          <xdr:colOff>323850</xdr:colOff>
          <xdr:row>160</xdr:row>
          <xdr:rowOff>304800</xdr:rowOff>
        </xdr:to>
        <xdr:sp macro="" textlink="">
          <xdr:nvSpPr>
            <xdr:cNvPr id="59529" name="Check Box 137" hidden="1">
              <a:extLst>
                <a:ext uri="{63B3BB69-23CF-44E3-9099-C40C66FF867C}">
                  <a14:compatExt spid="_x0000_s59529"/>
                </a:ext>
                <a:ext uri="{FF2B5EF4-FFF2-40B4-BE49-F238E27FC236}">
                  <a16:creationId xmlns:a16="http://schemas.microsoft.com/office/drawing/2014/main" id="{00000000-0008-0000-0D00-00008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161</xdr:row>
          <xdr:rowOff>9525</xdr:rowOff>
        </xdr:from>
        <xdr:to>
          <xdr:col>12</xdr:col>
          <xdr:colOff>323850</xdr:colOff>
          <xdr:row>162</xdr:row>
          <xdr:rowOff>0</xdr:rowOff>
        </xdr:to>
        <xdr:sp macro="" textlink="">
          <xdr:nvSpPr>
            <xdr:cNvPr id="59530" name="Check Box 138" hidden="1">
              <a:extLst>
                <a:ext uri="{63B3BB69-23CF-44E3-9099-C40C66FF867C}">
                  <a14:compatExt spid="_x0000_s59530"/>
                </a:ext>
                <a:ext uri="{FF2B5EF4-FFF2-40B4-BE49-F238E27FC236}">
                  <a16:creationId xmlns:a16="http://schemas.microsoft.com/office/drawing/2014/main" id="{00000000-0008-0000-0D00-00008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162</xdr:row>
          <xdr:rowOff>47625</xdr:rowOff>
        </xdr:from>
        <xdr:to>
          <xdr:col>12</xdr:col>
          <xdr:colOff>323850</xdr:colOff>
          <xdr:row>162</xdr:row>
          <xdr:rowOff>314325</xdr:rowOff>
        </xdr:to>
        <xdr:sp macro="" textlink="">
          <xdr:nvSpPr>
            <xdr:cNvPr id="59531" name="Check Box 139" hidden="1">
              <a:extLst>
                <a:ext uri="{63B3BB69-23CF-44E3-9099-C40C66FF867C}">
                  <a14:compatExt spid="_x0000_s59531"/>
                </a:ext>
                <a:ext uri="{FF2B5EF4-FFF2-40B4-BE49-F238E27FC236}">
                  <a16:creationId xmlns:a16="http://schemas.microsoft.com/office/drawing/2014/main" id="{00000000-0008-0000-0D00-00008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166</xdr:row>
          <xdr:rowOff>38100</xdr:rowOff>
        </xdr:from>
        <xdr:to>
          <xdr:col>12</xdr:col>
          <xdr:colOff>323850</xdr:colOff>
          <xdr:row>166</xdr:row>
          <xdr:rowOff>304800</xdr:rowOff>
        </xdr:to>
        <xdr:sp macro="" textlink="">
          <xdr:nvSpPr>
            <xdr:cNvPr id="59532" name="Check Box 140" hidden="1">
              <a:extLst>
                <a:ext uri="{63B3BB69-23CF-44E3-9099-C40C66FF867C}">
                  <a14:compatExt spid="_x0000_s59532"/>
                </a:ext>
                <a:ext uri="{FF2B5EF4-FFF2-40B4-BE49-F238E27FC236}">
                  <a16:creationId xmlns:a16="http://schemas.microsoft.com/office/drawing/2014/main" id="{00000000-0008-0000-0D00-00008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167</xdr:row>
          <xdr:rowOff>76200</xdr:rowOff>
        </xdr:from>
        <xdr:to>
          <xdr:col>12</xdr:col>
          <xdr:colOff>323850</xdr:colOff>
          <xdr:row>167</xdr:row>
          <xdr:rowOff>342900</xdr:rowOff>
        </xdr:to>
        <xdr:sp macro="" textlink="">
          <xdr:nvSpPr>
            <xdr:cNvPr id="59533" name="Check Box 141" hidden="1">
              <a:extLst>
                <a:ext uri="{63B3BB69-23CF-44E3-9099-C40C66FF867C}">
                  <a14:compatExt spid="_x0000_s59533"/>
                </a:ext>
                <a:ext uri="{FF2B5EF4-FFF2-40B4-BE49-F238E27FC236}">
                  <a16:creationId xmlns:a16="http://schemas.microsoft.com/office/drawing/2014/main" id="{00000000-0008-0000-0D00-00008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169</xdr:row>
          <xdr:rowOff>76200</xdr:rowOff>
        </xdr:from>
        <xdr:to>
          <xdr:col>12</xdr:col>
          <xdr:colOff>323850</xdr:colOff>
          <xdr:row>169</xdr:row>
          <xdr:rowOff>342900</xdr:rowOff>
        </xdr:to>
        <xdr:sp macro="" textlink="">
          <xdr:nvSpPr>
            <xdr:cNvPr id="59535" name="Check Box 143" hidden="1">
              <a:extLst>
                <a:ext uri="{63B3BB69-23CF-44E3-9099-C40C66FF867C}">
                  <a14:compatExt spid="_x0000_s59535"/>
                </a:ext>
                <a:ext uri="{FF2B5EF4-FFF2-40B4-BE49-F238E27FC236}">
                  <a16:creationId xmlns:a16="http://schemas.microsoft.com/office/drawing/2014/main" id="{00000000-0008-0000-0D00-00008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170</xdr:row>
          <xdr:rowOff>85725</xdr:rowOff>
        </xdr:from>
        <xdr:to>
          <xdr:col>12</xdr:col>
          <xdr:colOff>323850</xdr:colOff>
          <xdr:row>170</xdr:row>
          <xdr:rowOff>352425</xdr:rowOff>
        </xdr:to>
        <xdr:sp macro="" textlink="">
          <xdr:nvSpPr>
            <xdr:cNvPr id="59537" name="Check Box 145" hidden="1">
              <a:extLst>
                <a:ext uri="{63B3BB69-23CF-44E3-9099-C40C66FF867C}">
                  <a14:compatExt spid="_x0000_s59537"/>
                </a:ext>
                <a:ext uri="{FF2B5EF4-FFF2-40B4-BE49-F238E27FC236}">
                  <a16:creationId xmlns:a16="http://schemas.microsoft.com/office/drawing/2014/main" id="{00000000-0008-0000-0D00-00009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173</xdr:row>
          <xdr:rowOff>38100</xdr:rowOff>
        </xdr:from>
        <xdr:to>
          <xdr:col>12</xdr:col>
          <xdr:colOff>323850</xdr:colOff>
          <xdr:row>173</xdr:row>
          <xdr:rowOff>304800</xdr:rowOff>
        </xdr:to>
        <xdr:sp macro="" textlink="">
          <xdr:nvSpPr>
            <xdr:cNvPr id="59538" name="Check Box 146" hidden="1">
              <a:extLst>
                <a:ext uri="{63B3BB69-23CF-44E3-9099-C40C66FF867C}">
                  <a14:compatExt spid="_x0000_s59538"/>
                </a:ext>
                <a:ext uri="{FF2B5EF4-FFF2-40B4-BE49-F238E27FC236}">
                  <a16:creationId xmlns:a16="http://schemas.microsoft.com/office/drawing/2014/main" id="{00000000-0008-0000-0D00-00009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174</xdr:row>
          <xdr:rowOff>47625</xdr:rowOff>
        </xdr:from>
        <xdr:to>
          <xdr:col>12</xdr:col>
          <xdr:colOff>323850</xdr:colOff>
          <xdr:row>174</xdr:row>
          <xdr:rowOff>314325</xdr:rowOff>
        </xdr:to>
        <xdr:sp macro="" textlink="">
          <xdr:nvSpPr>
            <xdr:cNvPr id="59539" name="Check Box 147" hidden="1">
              <a:extLst>
                <a:ext uri="{63B3BB69-23CF-44E3-9099-C40C66FF867C}">
                  <a14:compatExt spid="_x0000_s59539"/>
                </a:ext>
                <a:ext uri="{FF2B5EF4-FFF2-40B4-BE49-F238E27FC236}">
                  <a16:creationId xmlns:a16="http://schemas.microsoft.com/office/drawing/2014/main" id="{00000000-0008-0000-0D00-00009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175</xdr:row>
          <xdr:rowOff>209550</xdr:rowOff>
        </xdr:from>
        <xdr:to>
          <xdr:col>12</xdr:col>
          <xdr:colOff>323850</xdr:colOff>
          <xdr:row>176</xdr:row>
          <xdr:rowOff>95250</xdr:rowOff>
        </xdr:to>
        <xdr:sp macro="" textlink="">
          <xdr:nvSpPr>
            <xdr:cNvPr id="59540" name="Check Box 148" hidden="1">
              <a:extLst>
                <a:ext uri="{63B3BB69-23CF-44E3-9099-C40C66FF867C}">
                  <a14:compatExt spid="_x0000_s59540"/>
                </a:ext>
                <a:ext uri="{FF2B5EF4-FFF2-40B4-BE49-F238E27FC236}">
                  <a16:creationId xmlns:a16="http://schemas.microsoft.com/office/drawing/2014/main" id="{00000000-0008-0000-0D00-00009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177</xdr:row>
          <xdr:rowOff>38100</xdr:rowOff>
        </xdr:from>
        <xdr:to>
          <xdr:col>12</xdr:col>
          <xdr:colOff>323850</xdr:colOff>
          <xdr:row>177</xdr:row>
          <xdr:rowOff>304800</xdr:rowOff>
        </xdr:to>
        <xdr:sp macro="" textlink="">
          <xdr:nvSpPr>
            <xdr:cNvPr id="59542" name="Check Box 150" hidden="1">
              <a:extLst>
                <a:ext uri="{63B3BB69-23CF-44E3-9099-C40C66FF867C}">
                  <a14:compatExt spid="_x0000_s59542"/>
                </a:ext>
                <a:ext uri="{FF2B5EF4-FFF2-40B4-BE49-F238E27FC236}">
                  <a16:creationId xmlns:a16="http://schemas.microsoft.com/office/drawing/2014/main" id="{00000000-0008-0000-0D00-00009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178</xdr:row>
          <xdr:rowOff>38100</xdr:rowOff>
        </xdr:from>
        <xdr:to>
          <xdr:col>12</xdr:col>
          <xdr:colOff>323850</xdr:colOff>
          <xdr:row>178</xdr:row>
          <xdr:rowOff>304800</xdr:rowOff>
        </xdr:to>
        <xdr:sp macro="" textlink="">
          <xdr:nvSpPr>
            <xdr:cNvPr id="59543" name="Check Box 151" hidden="1">
              <a:extLst>
                <a:ext uri="{63B3BB69-23CF-44E3-9099-C40C66FF867C}">
                  <a14:compatExt spid="_x0000_s59543"/>
                </a:ext>
                <a:ext uri="{FF2B5EF4-FFF2-40B4-BE49-F238E27FC236}">
                  <a16:creationId xmlns:a16="http://schemas.microsoft.com/office/drawing/2014/main" id="{00000000-0008-0000-0D00-00009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179</xdr:row>
          <xdr:rowOff>38100</xdr:rowOff>
        </xdr:from>
        <xdr:to>
          <xdr:col>12</xdr:col>
          <xdr:colOff>323850</xdr:colOff>
          <xdr:row>179</xdr:row>
          <xdr:rowOff>304800</xdr:rowOff>
        </xdr:to>
        <xdr:sp macro="" textlink="">
          <xdr:nvSpPr>
            <xdr:cNvPr id="59544" name="Check Box 152" hidden="1">
              <a:extLst>
                <a:ext uri="{63B3BB69-23CF-44E3-9099-C40C66FF867C}">
                  <a14:compatExt spid="_x0000_s59544"/>
                </a:ext>
                <a:ext uri="{FF2B5EF4-FFF2-40B4-BE49-F238E27FC236}">
                  <a16:creationId xmlns:a16="http://schemas.microsoft.com/office/drawing/2014/main" id="{00000000-0008-0000-0D00-00009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180</xdr:row>
          <xdr:rowOff>38100</xdr:rowOff>
        </xdr:from>
        <xdr:to>
          <xdr:col>12</xdr:col>
          <xdr:colOff>323850</xdr:colOff>
          <xdr:row>180</xdr:row>
          <xdr:rowOff>304800</xdr:rowOff>
        </xdr:to>
        <xdr:sp macro="" textlink="">
          <xdr:nvSpPr>
            <xdr:cNvPr id="59545" name="Check Box 153" hidden="1">
              <a:extLst>
                <a:ext uri="{63B3BB69-23CF-44E3-9099-C40C66FF867C}">
                  <a14:compatExt spid="_x0000_s59545"/>
                </a:ext>
                <a:ext uri="{FF2B5EF4-FFF2-40B4-BE49-F238E27FC236}">
                  <a16:creationId xmlns:a16="http://schemas.microsoft.com/office/drawing/2014/main" id="{00000000-0008-0000-0D00-00009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181</xdr:row>
          <xdr:rowOff>57150</xdr:rowOff>
        </xdr:from>
        <xdr:to>
          <xdr:col>12</xdr:col>
          <xdr:colOff>323850</xdr:colOff>
          <xdr:row>181</xdr:row>
          <xdr:rowOff>323850</xdr:rowOff>
        </xdr:to>
        <xdr:sp macro="" textlink="">
          <xdr:nvSpPr>
            <xdr:cNvPr id="59546" name="Check Box 154" hidden="1">
              <a:extLst>
                <a:ext uri="{63B3BB69-23CF-44E3-9099-C40C66FF867C}">
                  <a14:compatExt spid="_x0000_s59546"/>
                </a:ext>
                <a:ext uri="{FF2B5EF4-FFF2-40B4-BE49-F238E27FC236}">
                  <a16:creationId xmlns:a16="http://schemas.microsoft.com/office/drawing/2014/main" id="{00000000-0008-0000-0D00-00009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182</xdr:row>
          <xdr:rowOff>38100</xdr:rowOff>
        </xdr:from>
        <xdr:to>
          <xdr:col>12</xdr:col>
          <xdr:colOff>323850</xdr:colOff>
          <xdr:row>182</xdr:row>
          <xdr:rowOff>304800</xdr:rowOff>
        </xdr:to>
        <xdr:sp macro="" textlink="">
          <xdr:nvSpPr>
            <xdr:cNvPr id="59547" name="Check Box 155" hidden="1">
              <a:extLst>
                <a:ext uri="{63B3BB69-23CF-44E3-9099-C40C66FF867C}">
                  <a14:compatExt spid="_x0000_s59547"/>
                </a:ext>
                <a:ext uri="{FF2B5EF4-FFF2-40B4-BE49-F238E27FC236}">
                  <a16:creationId xmlns:a16="http://schemas.microsoft.com/office/drawing/2014/main" id="{00000000-0008-0000-0D00-00009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172</xdr:row>
          <xdr:rowOff>152400</xdr:rowOff>
        </xdr:from>
        <xdr:to>
          <xdr:col>12</xdr:col>
          <xdr:colOff>323850</xdr:colOff>
          <xdr:row>172</xdr:row>
          <xdr:rowOff>600075</xdr:rowOff>
        </xdr:to>
        <xdr:sp macro="" textlink="">
          <xdr:nvSpPr>
            <xdr:cNvPr id="59548" name="Check Box 156" hidden="1">
              <a:extLst>
                <a:ext uri="{63B3BB69-23CF-44E3-9099-C40C66FF867C}">
                  <a14:compatExt spid="_x0000_s59548"/>
                </a:ext>
                <a:ext uri="{FF2B5EF4-FFF2-40B4-BE49-F238E27FC236}">
                  <a16:creationId xmlns:a16="http://schemas.microsoft.com/office/drawing/2014/main" id="{00000000-0008-0000-0D00-00009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184</xdr:row>
          <xdr:rowOff>247650</xdr:rowOff>
        </xdr:from>
        <xdr:to>
          <xdr:col>12</xdr:col>
          <xdr:colOff>323850</xdr:colOff>
          <xdr:row>184</xdr:row>
          <xdr:rowOff>476250</xdr:rowOff>
        </xdr:to>
        <xdr:sp macro="" textlink="">
          <xdr:nvSpPr>
            <xdr:cNvPr id="59549" name="Check Box 157" hidden="1">
              <a:extLst>
                <a:ext uri="{63B3BB69-23CF-44E3-9099-C40C66FF867C}">
                  <a14:compatExt spid="_x0000_s59549"/>
                </a:ext>
                <a:ext uri="{FF2B5EF4-FFF2-40B4-BE49-F238E27FC236}">
                  <a16:creationId xmlns:a16="http://schemas.microsoft.com/office/drawing/2014/main" id="{00000000-0008-0000-0D00-00009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185</xdr:row>
          <xdr:rowOff>257175</xdr:rowOff>
        </xdr:from>
        <xdr:to>
          <xdr:col>12</xdr:col>
          <xdr:colOff>323850</xdr:colOff>
          <xdr:row>185</xdr:row>
          <xdr:rowOff>523875</xdr:rowOff>
        </xdr:to>
        <xdr:sp macro="" textlink="">
          <xdr:nvSpPr>
            <xdr:cNvPr id="59550" name="Check Box 158" hidden="1">
              <a:extLst>
                <a:ext uri="{63B3BB69-23CF-44E3-9099-C40C66FF867C}">
                  <a14:compatExt spid="_x0000_s59550"/>
                </a:ext>
                <a:ext uri="{FF2B5EF4-FFF2-40B4-BE49-F238E27FC236}">
                  <a16:creationId xmlns:a16="http://schemas.microsoft.com/office/drawing/2014/main" id="{00000000-0008-0000-0D00-00009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186</xdr:row>
          <xdr:rowOff>38100</xdr:rowOff>
        </xdr:from>
        <xdr:to>
          <xdr:col>12</xdr:col>
          <xdr:colOff>323850</xdr:colOff>
          <xdr:row>186</xdr:row>
          <xdr:rowOff>304800</xdr:rowOff>
        </xdr:to>
        <xdr:sp macro="" textlink="">
          <xdr:nvSpPr>
            <xdr:cNvPr id="59551" name="Check Box 159" hidden="1">
              <a:extLst>
                <a:ext uri="{63B3BB69-23CF-44E3-9099-C40C66FF867C}">
                  <a14:compatExt spid="_x0000_s59551"/>
                </a:ext>
                <a:ext uri="{FF2B5EF4-FFF2-40B4-BE49-F238E27FC236}">
                  <a16:creationId xmlns:a16="http://schemas.microsoft.com/office/drawing/2014/main" id="{00000000-0008-0000-0D00-00009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188</xdr:row>
          <xdr:rowOff>57150</xdr:rowOff>
        </xdr:from>
        <xdr:to>
          <xdr:col>12</xdr:col>
          <xdr:colOff>323850</xdr:colOff>
          <xdr:row>188</xdr:row>
          <xdr:rowOff>323850</xdr:rowOff>
        </xdr:to>
        <xdr:sp macro="" textlink="">
          <xdr:nvSpPr>
            <xdr:cNvPr id="59552" name="Check Box 160" hidden="1">
              <a:extLst>
                <a:ext uri="{63B3BB69-23CF-44E3-9099-C40C66FF867C}">
                  <a14:compatExt spid="_x0000_s59552"/>
                </a:ext>
                <a:ext uri="{FF2B5EF4-FFF2-40B4-BE49-F238E27FC236}">
                  <a16:creationId xmlns:a16="http://schemas.microsoft.com/office/drawing/2014/main" id="{00000000-0008-0000-0D00-0000A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192</xdr:row>
          <xdr:rowOff>76200</xdr:rowOff>
        </xdr:from>
        <xdr:to>
          <xdr:col>12</xdr:col>
          <xdr:colOff>323850</xdr:colOff>
          <xdr:row>192</xdr:row>
          <xdr:rowOff>342900</xdr:rowOff>
        </xdr:to>
        <xdr:sp macro="" textlink="">
          <xdr:nvSpPr>
            <xdr:cNvPr id="59557" name="Check Box 165" hidden="1">
              <a:extLst>
                <a:ext uri="{63B3BB69-23CF-44E3-9099-C40C66FF867C}">
                  <a14:compatExt spid="_x0000_s59557"/>
                </a:ext>
                <a:ext uri="{FF2B5EF4-FFF2-40B4-BE49-F238E27FC236}">
                  <a16:creationId xmlns:a16="http://schemas.microsoft.com/office/drawing/2014/main" id="{00000000-0008-0000-0D00-0000A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21</xdr:row>
          <xdr:rowOff>523875</xdr:rowOff>
        </xdr:from>
        <xdr:to>
          <xdr:col>8</xdr:col>
          <xdr:colOff>485775</xdr:colOff>
          <xdr:row>21</xdr:row>
          <xdr:rowOff>742950</xdr:rowOff>
        </xdr:to>
        <xdr:sp macro="" textlink="">
          <xdr:nvSpPr>
            <xdr:cNvPr id="59559" name="Option Button 167" hidden="1">
              <a:extLst>
                <a:ext uri="{63B3BB69-23CF-44E3-9099-C40C66FF867C}">
                  <a14:compatExt spid="_x0000_s59559"/>
                </a:ext>
                <a:ext uri="{FF2B5EF4-FFF2-40B4-BE49-F238E27FC236}">
                  <a16:creationId xmlns:a16="http://schemas.microsoft.com/office/drawing/2014/main" id="{00000000-0008-0000-0D00-0000A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21</xdr:row>
          <xdr:rowOff>523875</xdr:rowOff>
        </xdr:from>
        <xdr:to>
          <xdr:col>9</xdr:col>
          <xdr:colOff>485775</xdr:colOff>
          <xdr:row>21</xdr:row>
          <xdr:rowOff>742950</xdr:rowOff>
        </xdr:to>
        <xdr:sp macro="" textlink="">
          <xdr:nvSpPr>
            <xdr:cNvPr id="59560" name="Option Button 168" hidden="1">
              <a:extLst>
                <a:ext uri="{63B3BB69-23CF-44E3-9099-C40C66FF867C}">
                  <a14:compatExt spid="_x0000_s59560"/>
                </a:ext>
                <a:ext uri="{FF2B5EF4-FFF2-40B4-BE49-F238E27FC236}">
                  <a16:creationId xmlns:a16="http://schemas.microsoft.com/office/drawing/2014/main" id="{00000000-0008-0000-0D00-0000A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21</xdr:row>
          <xdr:rowOff>523875</xdr:rowOff>
        </xdr:from>
        <xdr:to>
          <xdr:col>10</xdr:col>
          <xdr:colOff>485775</xdr:colOff>
          <xdr:row>21</xdr:row>
          <xdr:rowOff>742950</xdr:rowOff>
        </xdr:to>
        <xdr:sp macro="" textlink="">
          <xdr:nvSpPr>
            <xdr:cNvPr id="59561" name="Option Button 169" hidden="1">
              <a:extLst>
                <a:ext uri="{63B3BB69-23CF-44E3-9099-C40C66FF867C}">
                  <a14:compatExt spid="_x0000_s59561"/>
                </a:ext>
                <a:ext uri="{FF2B5EF4-FFF2-40B4-BE49-F238E27FC236}">
                  <a16:creationId xmlns:a16="http://schemas.microsoft.com/office/drawing/2014/main" id="{00000000-0008-0000-0D00-0000A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504825</xdr:rowOff>
        </xdr:from>
        <xdr:to>
          <xdr:col>10</xdr:col>
          <xdr:colOff>647700</xdr:colOff>
          <xdr:row>21</xdr:row>
          <xdr:rowOff>762000</xdr:rowOff>
        </xdr:to>
        <xdr:sp macro="" textlink="">
          <xdr:nvSpPr>
            <xdr:cNvPr id="59562" name="Group Box 170" hidden="1">
              <a:extLst>
                <a:ext uri="{63B3BB69-23CF-44E3-9099-C40C66FF867C}">
                  <a14:compatExt spid="_x0000_s59562"/>
                </a:ext>
                <a:ext uri="{FF2B5EF4-FFF2-40B4-BE49-F238E27FC236}">
                  <a16:creationId xmlns:a16="http://schemas.microsoft.com/office/drawing/2014/main" id="{00000000-0008-0000-0D00-0000A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23</xdr:row>
          <xdr:rowOff>419100</xdr:rowOff>
        </xdr:from>
        <xdr:to>
          <xdr:col>8</xdr:col>
          <xdr:colOff>485775</xdr:colOff>
          <xdr:row>23</xdr:row>
          <xdr:rowOff>638175</xdr:rowOff>
        </xdr:to>
        <xdr:sp macro="" textlink="">
          <xdr:nvSpPr>
            <xdr:cNvPr id="59563" name="Option Button 171" hidden="1">
              <a:extLst>
                <a:ext uri="{63B3BB69-23CF-44E3-9099-C40C66FF867C}">
                  <a14:compatExt spid="_x0000_s59563"/>
                </a:ext>
                <a:ext uri="{FF2B5EF4-FFF2-40B4-BE49-F238E27FC236}">
                  <a16:creationId xmlns:a16="http://schemas.microsoft.com/office/drawing/2014/main" id="{00000000-0008-0000-0D00-0000A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419100</xdr:rowOff>
        </xdr:from>
        <xdr:to>
          <xdr:col>9</xdr:col>
          <xdr:colOff>485775</xdr:colOff>
          <xdr:row>23</xdr:row>
          <xdr:rowOff>638175</xdr:rowOff>
        </xdr:to>
        <xdr:sp macro="" textlink="">
          <xdr:nvSpPr>
            <xdr:cNvPr id="59564" name="Option Button 172" hidden="1">
              <a:extLst>
                <a:ext uri="{63B3BB69-23CF-44E3-9099-C40C66FF867C}">
                  <a14:compatExt spid="_x0000_s59564"/>
                </a:ext>
                <a:ext uri="{FF2B5EF4-FFF2-40B4-BE49-F238E27FC236}">
                  <a16:creationId xmlns:a16="http://schemas.microsoft.com/office/drawing/2014/main" id="{00000000-0008-0000-0D00-0000A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23</xdr:row>
          <xdr:rowOff>419100</xdr:rowOff>
        </xdr:from>
        <xdr:to>
          <xdr:col>10</xdr:col>
          <xdr:colOff>485775</xdr:colOff>
          <xdr:row>23</xdr:row>
          <xdr:rowOff>638175</xdr:rowOff>
        </xdr:to>
        <xdr:sp macro="" textlink="">
          <xdr:nvSpPr>
            <xdr:cNvPr id="59565" name="Option Button 173" hidden="1">
              <a:extLst>
                <a:ext uri="{63B3BB69-23CF-44E3-9099-C40C66FF867C}">
                  <a14:compatExt spid="_x0000_s59565"/>
                </a:ext>
                <a:ext uri="{FF2B5EF4-FFF2-40B4-BE49-F238E27FC236}">
                  <a16:creationId xmlns:a16="http://schemas.microsoft.com/office/drawing/2014/main" id="{00000000-0008-0000-0D00-0000A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400050</xdr:rowOff>
        </xdr:from>
        <xdr:to>
          <xdr:col>10</xdr:col>
          <xdr:colOff>647700</xdr:colOff>
          <xdr:row>23</xdr:row>
          <xdr:rowOff>647700</xdr:rowOff>
        </xdr:to>
        <xdr:sp macro="" textlink="">
          <xdr:nvSpPr>
            <xdr:cNvPr id="59566" name="Group Box 174" hidden="1">
              <a:extLst>
                <a:ext uri="{63B3BB69-23CF-44E3-9099-C40C66FF867C}">
                  <a14:compatExt spid="_x0000_s59566"/>
                </a:ext>
                <a:ext uri="{FF2B5EF4-FFF2-40B4-BE49-F238E27FC236}">
                  <a16:creationId xmlns:a16="http://schemas.microsoft.com/office/drawing/2014/main" id="{00000000-0008-0000-0D00-0000A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32</xdr:row>
          <xdr:rowOff>609600</xdr:rowOff>
        </xdr:from>
        <xdr:to>
          <xdr:col>8</xdr:col>
          <xdr:colOff>485775</xdr:colOff>
          <xdr:row>32</xdr:row>
          <xdr:rowOff>828675</xdr:rowOff>
        </xdr:to>
        <xdr:sp macro="" textlink="">
          <xdr:nvSpPr>
            <xdr:cNvPr id="59567" name="Option Button 175" hidden="1">
              <a:extLst>
                <a:ext uri="{63B3BB69-23CF-44E3-9099-C40C66FF867C}">
                  <a14:compatExt spid="_x0000_s59567"/>
                </a:ext>
                <a:ext uri="{FF2B5EF4-FFF2-40B4-BE49-F238E27FC236}">
                  <a16:creationId xmlns:a16="http://schemas.microsoft.com/office/drawing/2014/main" id="{00000000-0008-0000-0D00-0000A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32</xdr:row>
          <xdr:rowOff>609600</xdr:rowOff>
        </xdr:from>
        <xdr:to>
          <xdr:col>9</xdr:col>
          <xdr:colOff>485775</xdr:colOff>
          <xdr:row>32</xdr:row>
          <xdr:rowOff>828675</xdr:rowOff>
        </xdr:to>
        <xdr:sp macro="" textlink="">
          <xdr:nvSpPr>
            <xdr:cNvPr id="59568" name="Option Button 176" hidden="1">
              <a:extLst>
                <a:ext uri="{63B3BB69-23CF-44E3-9099-C40C66FF867C}">
                  <a14:compatExt spid="_x0000_s59568"/>
                </a:ext>
                <a:ext uri="{FF2B5EF4-FFF2-40B4-BE49-F238E27FC236}">
                  <a16:creationId xmlns:a16="http://schemas.microsoft.com/office/drawing/2014/main" id="{00000000-0008-0000-0D00-0000B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32</xdr:row>
          <xdr:rowOff>609600</xdr:rowOff>
        </xdr:from>
        <xdr:to>
          <xdr:col>10</xdr:col>
          <xdr:colOff>485775</xdr:colOff>
          <xdr:row>32</xdr:row>
          <xdr:rowOff>828675</xdr:rowOff>
        </xdr:to>
        <xdr:sp macro="" textlink="">
          <xdr:nvSpPr>
            <xdr:cNvPr id="59569" name="Option Button 177" hidden="1">
              <a:extLst>
                <a:ext uri="{63B3BB69-23CF-44E3-9099-C40C66FF867C}">
                  <a14:compatExt spid="_x0000_s59569"/>
                </a:ext>
                <a:ext uri="{FF2B5EF4-FFF2-40B4-BE49-F238E27FC236}">
                  <a16:creationId xmlns:a16="http://schemas.microsoft.com/office/drawing/2014/main" id="{00000000-0008-0000-0D00-0000B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590550</xdr:rowOff>
        </xdr:from>
        <xdr:to>
          <xdr:col>10</xdr:col>
          <xdr:colOff>647700</xdr:colOff>
          <xdr:row>32</xdr:row>
          <xdr:rowOff>838200</xdr:rowOff>
        </xdr:to>
        <xdr:sp macro="" textlink="">
          <xdr:nvSpPr>
            <xdr:cNvPr id="59570" name="Group Box 178" hidden="1">
              <a:extLst>
                <a:ext uri="{63B3BB69-23CF-44E3-9099-C40C66FF867C}">
                  <a14:compatExt spid="_x0000_s59570"/>
                </a:ext>
                <a:ext uri="{FF2B5EF4-FFF2-40B4-BE49-F238E27FC236}">
                  <a16:creationId xmlns:a16="http://schemas.microsoft.com/office/drawing/2014/main" id="{00000000-0008-0000-0D00-0000B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39</xdr:row>
          <xdr:rowOff>200025</xdr:rowOff>
        </xdr:from>
        <xdr:to>
          <xdr:col>8</xdr:col>
          <xdr:colOff>485775</xdr:colOff>
          <xdr:row>39</xdr:row>
          <xdr:rowOff>419100</xdr:rowOff>
        </xdr:to>
        <xdr:sp macro="" textlink="">
          <xdr:nvSpPr>
            <xdr:cNvPr id="59571" name="Option Button 179" hidden="1">
              <a:extLst>
                <a:ext uri="{63B3BB69-23CF-44E3-9099-C40C66FF867C}">
                  <a14:compatExt spid="_x0000_s59571"/>
                </a:ext>
                <a:ext uri="{FF2B5EF4-FFF2-40B4-BE49-F238E27FC236}">
                  <a16:creationId xmlns:a16="http://schemas.microsoft.com/office/drawing/2014/main" id="{00000000-0008-0000-0D00-0000B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200025</xdr:rowOff>
        </xdr:from>
        <xdr:to>
          <xdr:col>9</xdr:col>
          <xdr:colOff>485775</xdr:colOff>
          <xdr:row>39</xdr:row>
          <xdr:rowOff>419100</xdr:rowOff>
        </xdr:to>
        <xdr:sp macro="" textlink="">
          <xdr:nvSpPr>
            <xdr:cNvPr id="59572" name="Option Button 180" hidden="1">
              <a:extLst>
                <a:ext uri="{63B3BB69-23CF-44E3-9099-C40C66FF867C}">
                  <a14:compatExt spid="_x0000_s59572"/>
                </a:ext>
                <a:ext uri="{FF2B5EF4-FFF2-40B4-BE49-F238E27FC236}">
                  <a16:creationId xmlns:a16="http://schemas.microsoft.com/office/drawing/2014/main" id="{00000000-0008-0000-0D00-0000B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39</xdr:row>
          <xdr:rowOff>200025</xdr:rowOff>
        </xdr:from>
        <xdr:to>
          <xdr:col>10</xdr:col>
          <xdr:colOff>485775</xdr:colOff>
          <xdr:row>39</xdr:row>
          <xdr:rowOff>419100</xdr:rowOff>
        </xdr:to>
        <xdr:sp macro="" textlink="">
          <xdr:nvSpPr>
            <xdr:cNvPr id="59573" name="Option Button 181" hidden="1">
              <a:extLst>
                <a:ext uri="{63B3BB69-23CF-44E3-9099-C40C66FF867C}">
                  <a14:compatExt spid="_x0000_s59573"/>
                </a:ext>
                <a:ext uri="{FF2B5EF4-FFF2-40B4-BE49-F238E27FC236}">
                  <a16:creationId xmlns:a16="http://schemas.microsoft.com/office/drawing/2014/main" id="{00000000-0008-0000-0D00-0000B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39</xdr:row>
          <xdr:rowOff>180975</xdr:rowOff>
        </xdr:from>
        <xdr:to>
          <xdr:col>10</xdr:col>
          <xdr:colOff>647700</xdr:colOff>
          <xdr:row>39</xdr:row>
          <xdr:rowOff>438150</xdr:rowOff>
        </xdr:to>
        <xdr:sp macro="" textlink="">
          <xdr:nvSpPr>
            <xdr:cNvPr id="59574" name="Group Box 182" hidden="1">
              <a:extLst>
                <a:ext uri="{63B3BB69-23CF-44E3-9099-C40C66FF867C}">
                  <a14:compatExt spid="_x0000_s59574"/>
                </a:ext>
                <a:ext uri="{FF2B5EF4-FFF2-40B4-BE49-F238E27FC236}">
                  <a16:creationId xmlns:a16="http://schemas.microsoft.com/office/drawing/2014/main" id="{00000000-0008-0000-0D00-0000B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40</xdr:row>
          <xdr:rowOff>838200</xdr:rowOff>
        </xdr:from>
        <xdr:to>
          <xdr:col>8</xdr:col>
          <xdr:colOff>485775</xdr:colOff>
          <xdr:row>40</xdr:row>
          <xdr:rowOff>1057275</xdr:rowOff>
        </xdr:to>
        <xdr:sp macro="" textlink="">
          <xdr:nvSpPr>
            <xdr:cNvPr id="59575" name="Option Button 183" hidden="1">
              <a:extLst>
                <a:ext uri="{63B3BB69-23CF-44E3-9099-C40C66FF867C}">
                  <a14:compatExt spid="_x0000_s59575"/>
                </a:ext>
                <a:ext uri="{FF2B5EF4-FFF2-40B4-BE49-F238E27FC236}">
                  <a16:creationId xmlns:a16="http://schemas.microsoft.com/office/drawing/2014/main" id="{00000000-0008-0000-0D00-0000B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40</xdr:row>
          <xdr:rowOff>838200</xdr:rowOff>
        </xdr:from>
        <xdr:to>
          <xdr:col>9</xdr:col>
          <xdr:colOff>485775</xdr:colOff>
          <xdr:row>40</xdr:row>
          <xdr:rowOff>1057275</xdr:rowOff>
        </xdr:to>
        <xdr:sp macro="" textlink="">
          <xdr:nvSpPr>
            <xdr:cNvPr id="59576" name="Option Button 184" hidden="1">
              <a:extLst>
                <a:ext uri="{63B3BB69-23CF-44E3-9099-C40C66FF867C}">
                  <a14:compatExt spid="_x0000_s59576"/>
                </a:ext>
                <a:ext uri="{FF2B5EF4-FFF2-40B4-BE49-F238E27FC236}">
                  <a16:creationId xmlns:a16="http://schemas.microsoft.com/office/drawing/2014/main" id="{00000000-0008-0000-0D00-0000B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40</xdr:row>
          <xdr:rowOff>838200</xdr:rowOff>
        </xdr:from>
        <xdr:to>
          <xdr:col>10</xdr:col>
          <xdr:colOff>485775</xdr:colOff>
          <xdr:row>40</xdr:row>
          <xdr:rowOff>1057275</xdr:rowOff>
        </xdr:to>
        <xdr:sp macro="" textlink="">
          <xdr:nvSpPr>
            <xdr:cNvPr id="59577" name="Option Button 185" hidden="1">
              <a:extLst>
                <a:ext uri="{63B3BB69-23CF-44E3-9099-C40C66FF867C}">
                  <a14:compatExt spid="_x0000_s59577"/>
                </a:ext>
                <a:ext uri="{FF2B5EF4-FFF2-40B4-BE49-F238E27FC236}">
                  <a16:creationId xmlns:a16="http://schemas.microsoft.com/office/drawing/2014/main" id="{00000000-0008-0000-0D00-0000B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40</xdr:row>
          <xdr:rowOff>819150</xdr:rowOff>
        </xdr:from>
        <xdr:to>
          <xdr:col>10</xdr:col>
          <xdr:colOff>647700</xdr:colOff>
          <xdr:row>40</xdr:row>
          <xdr:rowOff>1076325</xdr:rowOff>
        </xdr:to>
        <xdr:sp macro="" textlink="">
          <xdr:nvSpPr>
            <xdr:cNvPr id="59578" name="Group Box 186" hidden="1">
              <a:extLst>
                <a:ext uri="{63B3BB69-23CF-44E3-9099-C40C66FF867C}">
                  <a14:compatExt spid="_x0000_s59578"/>
                </a:ext>
                <a:ext uri="{FF2B5EF4-FFF2-40B4-BE49-F238E27FC236}">
                  <a16:creationId xmlns:a16="http://schemas.microsoft.com/office/drawing/2014/main" id="{00000000-0008-0000-0D00-0000B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41</xdr:row>
          <xdr:rowOff>0</xdr:rowOff>
        </xdr:from>
        <xdr:to>
          <xdr:col>10</xdr:col>
          <xdr:colOff>647700</xdr:colOff>
          <xdr:row>41</xdr:row>
          <xdr:rowOff>247650</xdr:rowOff>
        </xdr:to>
        <xdr:sp macro="" textlink="">
          <xdr:nvSpPr>
            <xdr:cNvPr id="59582" name="Group Box 190" hidden="1">
              <a:extLst>
                <a:ext uri="{63B3BB69-23CF-44E3-9099-C40C66FF867C}">
                  <a14:compatExt spid="_x0000_s59582"/>
                </a:ext>
                <a:ext uri="{FF2B5EF4-FFF2-40B4-BE49-F238E27FC236}">
                  <a16:creationId xmlns:a16="http://schemas.microsoft.com/office/drawing/2014/main" id="{00000000-0008-0000-0D00-0000B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41</xdr:row>
          <xdr:rowOff>609600</xdr:rowOff>
        </xdr:from>
        <xdr:to>
          <xdr:col>8</xdr:col>
          <xdr:colOff>485775</xdr:colOff>
          <xdr:row>41</xdr:row>
          <xdr:rowOff>828675</xdr:rowOff>
        </xdr:to>
        <xdr:sp macro="" textlink="">
          <xdr:nvSpPr>
            <xdr:cNvPr id="59583" name="Option Button 191" hidden="1">
              <a:extLst>
                <a:ext uri="{63B3BB69-23CF-44E3-9099-C40C66FF867C}">
                  <a14:compatExt spid="_x0000_s59583"/>
                </a:ext>
                <a:ext uri="{FF2B5EF4-FFF2-40B4-BE49-F238E27FC236}">
                  <a16:creationId xmlns:a16="http://schemas.microsoft.com/office/drawing/2014/main" id="{00000000-0008-0000-0D00-0000B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41</xdr:row>
          <xdr:rowOff>609600</xdr:rowOff>
        </xdr:from>
        <xdr:to>
          <xdr:col>9</xdr:col>
          <xdr:colOff>485775</xdr:colOff>
          <xdr:row>41</xdr:row>
          <xdr:rowOff>828675</xdr:rowOff>
        </xdr:to>
        <xdr:sp macro="" textlink="">
          <xdr:nvSpPr>
            <xdr:cNvPr id="59584" name="Option Button 192" hidden="1">
              <a:extLst>
                <a:ext uri="{63B3BB69-23CF-44E3-9099-C40C66FF867C}">
                  <a14:compatExt spid="_x0000_s59584"/>
                </a:ext>
                <a:ext uri="{FF2B5EF4-FFF2-40B4-BE49-F238E27FC236}">
                  <a16:creationId xmlns:a16="http://schemas.microsoft.com/office/drawing/2014/main" id="{00000000-0008-0000-0D00-0000C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41</xdr:row>
          <xdr:rowOff>609600</xdr:rowOff>
        </xdr:from>
        <xdr:to>
          <xdr:col>10</xdr:col>
          <xdr:colOff>485775</xdr:colOff>
          <xdr:row>41</xdr:row>
          <xdr:rowOff>828675</xdr:rowOff>
        </xdr:to>
        <xdr:sp macro="" textlink="">
          <xdr:nvSpPr>
            <xdr:cNvPr id="59585" name="Option Button 193" hidden="1">
              <a:extLst>
                <a:ext uri="{63B3BB69-23CF-44E3-9099-C40C66FF867C}">
                  <a14:compatExt spid="_x0000_s59585"/>
                </a:ext>
                <a:ext uri="{FF2B5EF4-FFF2-40B4-BE49-F238E27FC236}">
                  <a16:creationId xmlns:a16="http://schemas.microsoft.com/office/drawing/2014/main" id="{00000000-0008-0000-0D00-0000C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41</xdr:row>
          <xdr:rowOff>590550</xdr:rowOff>
        </xdr:from>
        <xdr:to>
          <xdr:col>10</xdr:col>
          <xdr:colOff>647700</xdr:colOff>
          <xdr:row>41</xdr:row>
          <xdr:rowOff>838200</xdr:rowOff>
        </xdr:to>
        <xdr:sp macro="" textlink="">
          <xdr:nvSpPr>
            <xdr:cNvPr id="59586" name="Group Box 194" hidden="1">
              <a:extLst>
                <a:ext uri="{63B3BB69-23CF-44E3-9099-C40C66FF867C}">
                  <a14:compatExt spid="_x0000_s59586"/>
                </a:ext>
                <a:ext uri="{FF2B5EF4-FFF2-40B4-BE49-F238E27FC236}">
                  <a16:creationId xmlns:a16="http://schemas.microsoft.com/office/drawing/2014/main" id="{00000000-0008-0000-0D00-0000C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43</xdr:row>
          <xdr:rowOff>390525</xdr:rowOff>
        </xdr:from>
        <xdr:to>
          <xdr:col>8</xdr:col>
          <xdr:colOff>485775</xdr:colOff>
          <xdr:row>43</xdr:row>
          <xdr:rowOff>609600</xdr:rowOff>
        </xdr:to>
        <xdr:sp macro="" textlink="">
          <xdr:nvSpPr>
            <xdr:cNvPr id="59591" name="Option Button 199" hidden="1">
              <a:extLst>
                <a:ext uri="{63B3BB69-23CF-44E3-9099-C40C66FF867C}">
                  <a14:compatExt spid="_x0000_s59591"/>
                </a:ext>
                <a:ext uri="{FF2B5EF4-FFF2-40B4-BE49-F238E27FC236}">
                  <a16:creationId xmlns:a16="http://schemas.microsoft.com/office/drawing/2014/main" id="{00000000-0008-0000-0D00-0000C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43</xdr:row>
          <xdr:rowOff>390525</xdr:rowOff>
        </xdr:from>
        <xdr:to>
          <xdr:col>9</xdr:col>
          <xdr:colOff>485775</xdr:colOff>
          <xdr:row>43</xdr:row>
          <xdr:rowOff>609600</xdr:rowOff>
        </xdr:to>
        <xdr:sp macro="" textlink="">
          <xdr:nvSpPr>
            <xdr:cNvPr id="59592" name="Option Button 200" hidden="1">
              <a:extLst>
                <a:ext uri="{63B3BB69-23CF-44E3-9099-C40C66FF867C}">
                  <a14:compatExt spid="_x0000_s59592"/>
                </a:ext>
                <a:ext uri="{FF2B5EF4-FFF2-40B4-BE49-F238E27FC236}">
                  <a16:creationId xmlns:a16="http://schemas.microsoft.com/office/drawing/2014/main" id="{00000000-0008-0000-0D00-0000C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43</xdr:row>
          <xdr:rowOff>390525</xdr:rowOff>
        </xdr:from>
        <xdr:to>
          <xdr:col>10</xdr:col>
          <xdr:colOff>485775</xdr:colOff>
          <xdr:row>43</xdr:row>
          <xdr:rowOff>609600</xdr:rowOff>
        </xdr:to>
        <xdr:sp macro="" textlink="">
          <xdr:nvSpPr>
            <xdr:cNvPr id="59593" name="Option Button 201" hidden="1">
              <a:extLst>
                <a:ext uri="{63B3BB69-23CF-44E3-9099-C40C66FF867C}">
                  <a14:compatExt spid="_x0000_s59593"/>
                </a:ext>
                <a:ext uri="{FF2B5EF4-FFF2-40B4-BE49-F238E27FC236}">
                  <a16:creationId xmlns:a16="http://schemas.microsoft.com/office/drawing/2014/main" id="{00000000-0008-0000-0D00-0000C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43</xdr:row>
          <xdr:rowOff>371475</xdr:rowOff>
        </xdr:from>
        <xdr:to>
          <xdr:col>10</xdr:col>
          <xdr:colOff>647700</xdr:colOff>
          <xdr:row>43</xdr:row>
          <xdr:rowOff>628650</xdr:rowOff>
        </xdr:to>
        <xdr:sp macro="" textlink="">
          <xdr:nvSpPr>
            <xdr:cNvPr id="59594" name="Group Box 202" hidden="1">
              <a:extLst>
                <a:ext uri="{63B3BB69-23CF-44E3-9099-C40C66FF867C}">
                  <a14:compatExt spid="_x0000_s59594"/>
                </a:ext>
                <a:ext uri="{FF2B5EF4-FFF2-40B4-BE49-F238E27FC236}">
                  <a16:creationId xmlns:a16="http://schemas.microsoft.com/office/drawing/2014/main" id="{00000000-0008-0000-0D00-0000C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46</xdr:row>
          <xdr:rowOff>200025</xdr:rowOff>
        </xdr:from>
        <xdr:to>
          <xdr:col>8</xdr:col>
          <xdr:colOff>485775</xdr:colOff>
          <xdr:row>46</xdr:row>
          <xdr:rowOff>419100</xdr:rowOff>
        </xdr:to>
        <xdr:sp macro="" textlink="">
          <xdr:nvSpPr>
            <xdr:cNvPr id="59595" name="Option Button 203" hidden="1">
              <a:extLst>
                <a:ext uri="{63B3BB69-23CF-44E3-9099-C40C66FF867C}">
                  <a14:compatExt spid="_x0000_s59595"/>
                </a:ext>
                <a:ext uri="{FF2B5EF4-FFF2-40B4-BE49-F238E27FC236}">
                  <a16:creationId xmlns:a16="http://schemas.microsoft.com/office/drawing/2014/main" id="{00000000-0008-0000-0D00-0000C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46</xdr:row>
          <xdr:rowOff>200025</xdr:rowOff>
        </xdr:from>
        <xdr:to>
          <xdr:col>9</xdr:col>
          <xdr:colOff>485775</xdr:colOff>
          <xdr:row>46</xdr:row>
          <xdr:rowOff>419100</xdr:rowOff>
        </xdr:to>
        <xdr:sp macro="" textlink="">
          <xdr:nvSpPr>
            <xdr:cNvPr id="59596" name="Option Button 204" hidden="1">
              <a:extLst>
                <a:ext uri="{63B3BB69-23CF-44E3-9099-C40C66FF867C}">
                  <a14:compatExt spid="_x0000_s59596"/>
                </a:ext>
                <a:ext uri="{FF2B5EF4-FFF2-40B4-BE49-F238E27FC236}">
                  <a16:creationId xmlns:a16="http://schemas.microsoft.com/office/drawing/2014/main" id="{00000000-0008-0000-0D00-0000C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46</xdr:row>
          <xdr:rowOff>200025</xdr:rowOff>
        </xdr:from>
        <xdr:to>
          <xdr:col>10</xdr:col>
          <xdr:colOff>485775</xdr:colOff>
          <xdr:row>46</xdr:row>
          <xdr:rowOff>419100</xdr:rowOff>
        </xdr:to>
        <xdr:sp macro="" textlink="">
          <xdr:nvSpPr>
            <xdr:cNvPr id="59597" name="Option Button 205" hidden="1">
              <a:extLst>
                <a:ext uri="{63B3BB69-23CF-44E3-9099-C40C66FF867C}">
                  <a14:compatExt spid="_x0000_s59597"/>
                </a:ext>
                <a:ext uri="{FF2B5EF4-FFF2-40B4-BE49-F238E27FC236}">
                  <a16:creationId xmlns:a16="http://schemas.microsoft.com/office/drawing/2014/main" id="{00000000-0008-0000-0D00-0000C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180975</xdr:rowOff>
        </xdr:from>
        <xdr:to>
          <xdr:col>10</xdr:col>
          <xdr:colOff>647700</xdr:colOff>
          <xdr:row>46</xdr:row>
          <xdr:rowOff>438150</xdr:rowOff>
        </xdr:to>
        <xdr:sp macro="" textlink="">
          <xdr:nvSpPr>
            <xdr:cNvPr id="59598" name="Group Box 206" hidden="1">
              <a:extLst>
                <a:ext uri="{63B3BB69-23CF-44E3-9099-C40C66FF867C}">
                  <a14:compatExt spid="_x0000_s59598"/>
                </a:ext>
                <a:ext uri="{FF2B5EF4-FFF2-40B4-BE49-F238E27FC236}">
                  <a16:creationId xmlns:a16="http://schemas.microsoft.com/office/drawing/2014/main" id="{00000000-0008-0000-0D00-0000C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58</xdr:row>
          <xdr:rowOff>523875</xdr:rowOff>
        </xdr:from>
        <xdr:to>
          <xdr:col>8</xdr:col>
          <xdr:colOff>485775</xdr:colOff>
          <xdr:row>58</xdr:row>
          <xdr:rowOff>742950</xdr:rowOff>
        </xdr:to>
        <xdr:sp macro="" textlink="">
          <xdr:nvSpPr>
            <xdr:cNvPr id="59611" name="Option Button 219" hidden="1">
              <a:extLst>
                <a:ext uri="{63B3BB69-23CF-44E3-9099-C40C66FF867C}">
                  <a14:compatExt spid="_x0000_s59611"/>
                </a:ext>
                <a:ext uri="{FF2B5EF4-FFF2-40B4-BE49-F238E27FC236}">
                  <a16:creationId xmlns:a16="http://schemas.microsoft.com/office/drawing/2014/main" id="{00000000-0008-0000-0D00-0000D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58</xdr:row>
          <xdr:rowOff>523875</xdr:rowOff>
        </xdr:from>
        <xdr:to>
          <xdr:col>9</xdr:col>
          <xdr:colOff>485775</xdr:colOff>
          <xdr:row>58</xdr:row>
          <xdr:rowOff>742950</xdr:rowOff>
        </xdr:to>
        <xdr:sp macro="" textlink="">
          <xdr:nvSpPr>
            <xdr:cNvPr id="59612" name="Option Button 220" hidden="1">
              <a:extLst>
                <a:ext uri="{63B3BB69-23CF-44E3-9099-C40C66FF867C}">
                  <a14:compatExt spid="_x0000_s59612"/>
                </a:ext>
                <a:ext uri="{FF2B5EF4-FFF2-40B4-BE49-F238E27FC236}">
                  <a16:creationId xmlns:a16="http://schemas.microsoft.com/office/drawing/2014/main" id="{00000000-0008-0000-0D00-0000D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58</xdr:row>
          <xdr:rowOff>523875</xdr:rowOff>
        </xdr:from>
        <xdr:to>
          <xdr:col>10</xdr:col>
          <xdr:colOff>485775</xdr:colOff>
          <xdr:row>58</xdr:row>
          <xdr:rowOff>742950</xdr:rowOff>
        </xdr:to>
        <xdr:sp macro="" textlink="">
          <xdr:nvSpPr>
            <xdr:cNvPr id="59613" name="Option Button 221" hidden="1">
              <a:extLst>
                <a:ext uri="{63B3BB69-23CF-44E3-9099-C40C66FF867C}">
                  <a14:compatExt spid="_x0000_s59613"/>
                </a:ext>
                <a:ext uri="{FF2B5EF4-FFF2-40B4-BE49-F238E27FC236}">
                  <a16:creationId xmlns:a16="http://schemas.microsoft.com/office/drawing/2014/main" id="{00000000-0008-0000-0D00-0000D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58</xdr:row>
          <xdr:rowOff>504825</xdr:rowOff>
        </xdr:from>
        <xdr:to>
          <xdr:col>10</xdr:col>
          <xdr:colOff>647700</xdr:colOff>
          <xdr:row>58</xdr:row>
          <xdr:rowOff>762000</xdr:rowOff>
        </xdr:to>
        <xdr:sp macro="" textlink="">
          <xdr:nvSpPr>
            <xdr:cNvPr id="59614" name="Group Box 222" hidden="1">
              <a:extLst>
                <a:ext uri="{63B3BB69-23CF-44E3-9099-C40C66FF867C}">
                  <a14:compatExt spid="_x0000_s59614"/>
                </a:ext>
                <a:ext uri="{FF2B5EF4-FFF2-40B4-BE49-F238E27FC236}">
                  <a16:creationId xmlns:a16="http://schemas.microsoft.com/office/drawing/2014/main" id="{00000000-0008-0000-0D00-0000D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59</xdr:row>
          <xdr:rowOff>390525</xdr:rowOff>
        </xdr:from>
        <xdr:to>
          <xdr:col>8</xdr:col>
          <xdr:colOff>485775</xdr:colOff>
          <xdr:row>59</xdr:row>
          <xdr:rowOff>609600</xdr:rowOff>
        </xdr:to>
        <xdr:sp macro="" textlink="">
          <xdr:nvSpPr>
            <xdr:cNvPr id="59615" name="Option Button 223" hidden="1">
              <a:extLst>
                <a:ext uri="{63B3BB69-23CF-44E3-9099-C40C66FF867C}">
                  <a14:compatExt spid="_x0000_s59615"/>
                </a:ext>
                <a:ext uri="{FF2B5EF4-FFF2-40B4-BE49-F238E27FC236}">
                  <a16:creationId xmlns:a16="http://schemas.microsoft.com/office/drawing/2014/main" id="{00000000-0008-0000-0D00-0000D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390525</xdr:rowOff>
        </xdr:from>
        <xdr:to>
          <xdr:col>9</xdr:col>
          <xdr:colOff>485775</xdr:colOff>
          <xdr:row>59</xdr:row>
          <xdr:rowOff>609600</xdr:rowOff>
        </xdr:to>
        <xdr:sp macro="" textlink="">
          <xdr:nvSpPr>
            <xdr:cNvPr id="59616" name="Option Button 224" hidden="1">
              <a:extLst>
                <a:ext uri="{63B3BB69-23CF-44E3-9099-C40C66FF867C}">
                  <a14:compatExt spid="_x0000_s59616"/>
                </a:ext>
                <a:ext uri="{FF2B5EF4-FFF2-40B4-BE49-F238E27FC236}">
                  <a16:creationId xmlns:a16="http://schemas.microsoft.com/office/drawing/2014/main" id="{00000000-0008-0000-0D00-0000E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59</xdr:row>
          <xdr:rowOff>390525</xdr:rowOff>
        </xdr:from>
        <xdr:to>
          <xdr:col>10</xdr:col>
          <xdr:colOff>485775</xdr:colOff>
          <xdr:row>59</xdr:row>
          <xdr:rowOff>609600</xdr:rowOff>
        </xdr:to>
        <xdr:sp macro="" textlink="">
          <xdr:nvSpPr>
            <xdr:cNvPr id="59617" name="Option Button 225" hidden="1">
              <a:extLst>
                <a:ext uri="{63B3BB69-23CF-44E3-9099-C40C66FF867C}">
                  <a14:compatExt spid="_x0000_s59617"/>
                </a:ext>
                <a:ext uri="{FF2B5EF4-FFF2-40B4-BE49-F238E27FC236}">
                  <a16:creationId xmlns:a16="http://schemas.microsoft.com/office/drawing/2014/main" id="{00000000-0008-0000-0D00-0000E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59</xdr:row>
          <xdr:rowOff>371475</xdr:rowOff>
        </xdr:from>
        <xdr:to>
          <xdr:col>10</xdr:col>
          <xdr:colOff>647700</xdr:colOff>
          <xdr:row>59</xdr:row>
          <xdr:rowOff>628650</xdr:rowOff>
        </xdr:to>
        <xdr:sp macro="" textlink="">
          <xdr:nvSpPr>
            <xdr:cNvPr id="59618" name="Group Box 226" hidden="1">
              <a:extLst>
                <a:ext uri="{63B3BB69-23CF-44E3-9099-C40C66FF867C}">
                  <a14:compatExt spid="_x0000_s59618"/>
                </a:ext>
                <a:ext uri="{FF2B5EF4-FFF2-40B4-BE49-F238E27FC236}">
                  <a16:creationId xmlns:a16="http://schemas.microsoft.com/office/drawing/2014/main" id="{00000000-0008-0000-0D00-0000E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60</xdr:row>
          <xdr:rowOff>514350</xdr:rowOff>
        </xdr:from>
        <xdr:to>
          <xdr:col>8</xdr:col>
          <xdr:colOff>485775</xdr:colOff>
          <xdr:row>60</xdr:row>
          <xdr:rowOff>733425</xdr:rowOff>
        </xdr:to>
        <xdr:sp macro="" textlink="">
          <xdr:nvSpPr>
            <xdr:cNvPr id="59619" name="Option Button 227" hidden="1">
              <a:extLst>
                <a:ext uri="{63B3BB69-23CF-44E3-9099-C40C66FF867C}">
                  <a14:compatExt spid="_x0000_s59619"/>
                </a:ext>
                <a:ext uri="{FF2B5EF4-FFF2-40B4-BE49-F238E27FC236}">
                  <a16:creationId xmlns:a16="http://schemas.microsoft.com/office/drawing/2014/main" id="{00000000-0008-0000-0D00-0000E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60</xdr:row>
          <xdr:rowOff>514350</xdr:rowOff>
        </xdr:from>
        <xdr:to>
          <xdr:col>9</xdr:col>
          <xdr:colOff>485775</xdr:colOff>
          <xdr:row>60</xdr:row>
          <xdr:rowOff>733425</xdr:rowOff>
        </xdr:to>
        <xdr:sp macro="" textlink="">
          <xdr:nvSpPr>
            <xdr:cNvPr id="59620" name="Option Button 228" hidden="1">
              <a:extLst>
                <a:ext uri="{63B3BB69-23CF-44E3-9099-C40C66FF867C}">
                  <a14:compatExt spid="_x0000_s59620"/>
                </a:ext>
                <a:ext uri="{FF2B5EF4-FFF2-40B4-BE49-F238E27FC236}">
                  <a16:creationId xmlns:a16="http://schemas.microsoft.com/office/drawing/2014/main" id="{00000000-0008-0000-0D00-0000E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60</xdr:row>
          <xdr:rowOff>514350</xdr:rowOff>
        </xdr:from>
        <xdr:to>
          <xdr:col>10</xdr:col>
          <xdr:colOff>485775</xdr:colOff>
          <xdr:row>60</xdr:row>
          <xdr:rowOff>733425</xdr:rowOff>
        </xdr:to>
        <xdr:sp macro="" textlink="">
          <xdr:nvSpPr>
            <xdr:cNvPr id="59621" name="Option Button 229" hidden="1">
              <a:extLst>
                <a:ext uri="{63B3BB69-23CF-44E3-9099-C40C66FF867C}">
                  <a14:compatExt spid="_x0000_s59621"/>
                </a:ext>
                <a:ext uri="{FF2B5EF4-FFF2-40B4-BE49-F238E27FC236}">
                  <a16:creationId xmlns:a16="http://schemas.microsoft.com/office/drawing/2014/main" id="{00000000-0008-0000-0D00-0000E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60</xdr:row>
          <xdr:rowOff>495300</xdr:rowOff>
        </xdr:from>
        <xdr:to>
          <xdr:col>10</xdr:col>
          <xdr:colOff>647700</xdr:colOff>
          <xdr:row>60</xdr:row>
          <xdr:rowOff>742950</xdr:rowOff>
        </xdr:to>
        <xdr:sp macro="" textlink="">
          <xdr:nvSpPr>
            <xdr:cNvPr id="59622" name="Group Box 230" hidden="1">
              <a:extLst>
                <a:ext uri="{63B3BB69-23CF-44E3-9099-C40C66FF867C}">
                  <a14:compatExt spid="_x0000_s59622"/>
                </a:ext>
                <a:ext uri="{FF2B5EF4-FFF2-40B4-BE49-F238E27FC236}">
                  <a16:creationId xmlns:a16="http://schemas.microsoft.com/office/drawing/2014/main" id="{00000000-0008-0000-0D00-0000E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84</xdr:row>
          <xdr:rowOff>323850</xdr:rowOff>
        </xdr:from>
        <xdr:to>
          <xdr:col>8</xdr:col>
          <xdr:colOff>485775</xdr:colOff>
          <xdr:row>84</xdr:row>
          <xdr:rowOff>542925</xdr:rowOff>
        </xdr:to>
        <xdr:sp macro="" textlink="">
          <xdr:nvSpPr>
            <xdr:cNvPr id="59627" name="Option Button 235" hidden="1">
              <a:extLst>
                <a:ext uri="{63B3BB69-23CF-44E3-9099-C40C66FF867C}">
                  <a14:compatExt spid="_x0000_s59627"/>
                </a:ext>
                <a:ext uri="{FF2B5EF4-FFF2-40B4-BE49-F238E27FC236}">
                  <a16:creationId xmlns:a16="http://schemas.microsoft.com/office/drawing/2014/main" id="{00000000-0008-0000-0D00-0000E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84</xdr:row>
          <xdr:rowOff>323850</xdr:rowOff>
        </xdr:from>
        <xdr:to>
          <xdr:col>9</xdr:col>
          <xdr:colOff>485775</xdr:colOff>
          <xdr:row>84</xdr:row>
          <xdr:rowOff>542925</xdr:rowOff>
        </xdr:to>
        <xdr:sp macro="" textlink="">
          <xdr:nvSpPr>
            <xdr:cNvPr id="59628" name="Option Button 236" hidden="1">
              <a:extLst>
                <a:ext uri="{63B3BB69-23CF-44E3-9099-C40C66FF867C}">
                  <a14:compatExt spid="_x0000_s59628"/>
                </a:ext>
                <a:ext uri="{FF2B5EF4-FFF2-40B4-BE49-F238E27FC236}">
                  <a16:creationId xmlns:a16="http://schemas.microsoft.com/office/drawing/2014/main" id="{00000000-0008-0000-0D00-0000E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84</xdr:row>
          <xdr:rowOff>323850</xdr:rowOff>
        </xdr:from>
        <xdr:to>
          <xdr:col>10</xdr:col>
          <xdr:colOff>485775</xdr:colOff>
          <xdr:row>84</xdr:row>
          <xdr:rowOff>542925</xdr:rowOff>
        </xdr:to>
        <xdr:sp macro="" textlink="">
          <xdr:nvSpPr>
            <xdr:cNvPr id="59629" name="Option Button 237" hidden="1">
              <a:extLst>
                <a:ext uri="{63B3BB69-23CF-44E3-9099-C40C66FF867C}">
                  <a14:compatExt spid="_x0000_s59629"/>
                </a:ext>
                <a:ext uri="{FF2B5EF4-FFF2-40B4-BE49-F238E27FC236}">
                  <a16:creationId xmlns:a16="http://schemas.microsoft.com/office/drawing/2014/main" id="{00000000-0008-0000-0D00-0000E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84</xdr:row>
          <xdr:rowOff>304800</xdr:rowOff>
        </xdr:from>
        <xdr:to>
          <xdr:col>10</xdr:col>
          <xdr:colOff>647700</xdr:colOff>
          <xdr:row>84</xdr:row>
          <xdr:rowOff>552450</xdr:rowOff>
        </xdr:to>
        <xdr:sp macro="" textlink="">
          <xdr:nvSpPr>
            <xdr:cNvPr id="59630" name="Group Box 238" hidden="1">
              <a:extLst>
                <a:ext uri="{63B3BB69-23CF-44E3-9099-C40C66FF867C}">
                  <a14:compatExt spid="_x0000_s59630"/>
                </a:ext>
                <a:ext uri="{FF2B5EF4-FFF2-40B4-BE49-F238E27FC236}">
                  <a16:creationId xmlns:a16="http://schemas.microsoft.com/office/drawing/2014/main" id="{00000000-0008-0000-0D00-0000E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85</xdr:row>
          <xdr:rowOff>190500</xdr:rowOff>
        </xdr:from>
        <xdr:to>
          <xdr:col>8</xdr:col>
          <xdr:colOff>485775</xdr:colOff>
          <xdr:row>85</xdr:row>
          <xdr:rowOff>400050</xdr:rowOff>
        </xdr:to>
        <xdr:sp macro="" textlink="">
          <xdr:nvSpPr>
            <xdr:cNvPr id="59631" name="Option Button 239" hidden="1">
              <a:extLst>
                <a:ext uri="{63B3BB69-23CF-44E3-9099-C40C66FF867C}">
                  <a14:compatExt spid="_x0000_s59631"/>
                </a:ext>
                <a:ext uri="{FF2B5EF4-FFF2-40B4-BE49-F238E27FC236}">
                  <a16:creationId xmlns:a16="http://schemas.microsoft.com/office/drawing/2014/main" id="{00000000-0008-0000-0D00-0000E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85</xdr:row>
          <xdr:rowOff>190500</xdr:rowOff>
        </xdr:from>
        <xdr:to>
          <xdr:col>9</xdr:col>
          <xdr:colOff>485775</xdr:colOff>
          <xdr:row>85</xdr:row>
          <xdr:rowOff>400050</xdr:rowOff>
        </xdr:to>
        <xdr:sp macro="" textlink="">
          <xdr:nvSpPr>
            <xdr:cNvPr id="59632" name="Option Button 240" hidden="1">
              <a:extLst>
                <a:ext uri="{63B3BB69-23CF-44E3-9099-C40C66FF867C}">
                  <a14:compatExt spid="_x0000_s59632"/>
                </a:ext>
                <a:ext uri="{FF2B5EF4-FFF2-40B4-BE49-F238E27FC236}">
                  <a16:creationId xmlns:a16="http://schemas.microsoft.com/office/drawing/2014/main" id="{00000000-0008-0000-0D00-0000F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85</xdr:row>
          <xdr:rowOff>190500</xdr:rowOff>
        </xdr:from>
        <xdr:to>
          <xdr:col>10</xdr:col>
          <xdr:colOff>485775</xdr:colOff>
          <xdr:row>85</xdr:row>
          <xdr:rowOff>400050</xdr:rowOff>
        </xdr:to>
        <xdr:sp macro="" textlink="">
          <xdr:nvSpPr>
            <xdr:cNvPr id="59633" name="Option Button 241" hidden="1">
              <a:extLst>
                <a:ext uri="{63B3BB69-23CF-44E3-9099-C40C66FF867C}">
                  <a14:compatExt spid="_x0000_s59633"/>
                </a:ext>
                <a:ext uri="{FF2B5EF4-FFF2-40B4-BE49-F238E27FC236}">
                  <a16:creationId xmlns:a16="http://schemas.microsoft.com/office/drawing/2014/main" id="{00000000-0008-0000-0D00-0000F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85</xdr:row>
          <xdr:rowOff>171450</xdr:rowOff>
        </xdr:from>
        <xdr:to>
          <xdr:col>10</xdr:col>
          <xdr:colOff>647700</xdr:colOff>
          <xdr:row>85</xdr:row>
          <xdr:rowOff>419100</xdr:rowOff>
        </xdr:to>
        <xdr:sp macro="" textlink="">
          <xdr:nvSpPr>
            <xdr:cNvPr id="59634" name="Group Box 242" hidden="1">
              <a:extLst>
                <a:ext uri="{63B3BB69-23CF-44E3-9099-C40C66FF867C}">
                  <a14:compatExt spid="_x0000_s59634"/>
                </a:ext>
                <a:ext uri="{FF2B5EF4-FFF2-40B4-BE49-F238E27FC236}">
                  <a16:creationId xmlns:a16="http://schemas.microsoft.com/office/drawing/2014/main" id="{00000000-0008-0000-0D00-0000F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87</xdr:row>
          <xdr:rowOff>514350</xdr:rowOff>
        </xdr:from>
        <xdr:to>
          <xdr:col>8</xdr:col>
          <xdr:colOff>485775</xdr:colOff>
          <xdr:row>87</xdr:row>
          <xdr:rowOff>733425</xdr:rowOff>
        </xdr:to>
        <xdr:sp macro="" textlink="">
          <xdr:nvSpPr>
            <xdr:cNvPr id="59635" name="Option Button 243" hidden="1">
              <a:extLst>
                <a:ext uri="{63B3BB69-23CF-44E3-9099-C40C66FF867C}">
                  <a14:compatExt spid="_x0000_s59635"/>
                </a:ext>
                <a:ext uri="{FF2B5EF4-FFF2-40B4-BE49-F238E27FC236}">
                  <a16:creationId xmlns:a16="http://schemas.microsoft.com/office/drawing/2014/main" id="{00000000-0008-0000-0D00-0000F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87</xdr:row>
          <xdr:rowOff>514350</xdr:rowOff>
        </xdr:from>
        <xdr:to>
          <xdr:col>9</xdr:col>
          <xdr:colOff>485775</xdr:colOff>
          <xdr:row>87</xdr:row>
          <xdr:rowOff>733425</xdr:rowOff>
        </xdr:to>
        <xdr:sp macro="" textlink="">
          <xdr:nvSpPr>
            <xdr:cNvPr id="59636" name="Option Button 244" hidden="1">
              <a:extLst>
                <a:ext uri="{63B3BB69-23CF-44E3-9099-C40C66FF867C}">
                  <a14:compatExt spid="_x0000_s59636"/>
                </a:ext>
                <a:ext uri="{FF2B5EF4-FFF2-40B4-BE49-F238E27FC236}">
                  <a16:creationId xmlns:a16="http://schemas.microsoft.com/office/drawing/2014/main" id="{00000000-0008-0000-0D00-0000F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87</xdr:row>
          <xdr:rowOff>514350</xdr:rowOff>
        </xdr:from>
        <xdr:to>
          <xdr:col>10</xdr:col>
          <xdr:colOff>485775</xdr:colOff>
          <xdr:row>87</xdr:row>
          <xdr:rowOff>733425</xdr:rowOff>
        </xdr:to>
        <xdr:sp macro="" textlink="">
          <xdr:nvSpPr>
            <xdr:cNvPr id="59637" name="Option Button 245" hidden="1">
              <a:extLst>
                <a:ext uri="{63B3BB69-23CF-44E3-9099-C40C66FF867C}">
                  <a14:compatExt spid="_x0000_s59637"/>
                </a:ext>
                <a:ext uri="{FF2B5EF4-FFF2-40B4-BE49-F238E27FC236}">
                  <a16:creationId xmlns:a16="http://schemas.microsoft.com/office/drawing/2014/main" id="{00000000-0008-0000-0D00-0000F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87</xdr:row>
          <xdr:rowOff>495300</xdr:rowOff>
        </xdr:from>
        <xdr:to>
          <xdr:col>10</xdr:col>
          <xdr:colOff>647700</xdr:colOff>
          <xdr:row>87</xdr:row>
          <xdr:rowOff>742950</xdr:rowOff>
        </xdr:to>
        <xdr:sp macro="" textlink="">
          <xdr:nvSpPr>
            <xdr:cNvPr id="59638" name="Group Box 246" hidden="1">
              <a:extLst>
                <a:ext uri="{63B3BB69-23CF-44E3-9099-C40C66FF867C}">
                  <a14:compatExt spid="_x0000_s59638"/>
                </a:ext>
                <a:ext uri="{FF2B5EF4-FFF2-40B4-BE49-F238E27FC236}">
                  <a16:creationId xmlns:a16="http://schemas.microsoft.com/office/drawing/2014/main" id="{00000000-0008-0000-0D00-0000F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88</xdr:row>
          <xdr:rowOff>419100</xdr:rowOff>
        </xdr:from>
        <xdr:to>
          <xdr:col>8</xdr:col>
          <xdr:colOff>485775</xdr:colOff>
          <xdr:row>88</xdr:row>
          <xdr:rowOff>638175</xdr:rowOff>
        </xdr:to>
        <xdr:sp macro="" textlink="">
          <xdr:nvSpPr>
            <xdr:cNvPr id="59639" name="Option Button 247" hidden="1">
              <a:extLst>
                <a:ext uri="{63B3BB69-23CF-44E3-9099-C40C66FF867C}">
                  <a14:compatExt spid="_x0000_s59639"/>
                </a:ext>
                <a:ext uri="{FF2B5EF4-FFF2-40B4-BE49-F238E27FC236}">
                  <a16:creationId xmlns:a16="http://schemas.microsoft.com/office/drawing/2014/main" id="{00000000-0008-0000-0D00-0000F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88</xdr:row>
          <xdr:rowOff>419100</xdr:rowOff>
        </xdr:from>
        <xdr:to>
          <xdr:col>9</xdr:col>
          <xdr:colOff>485775</xdr:colOff>
          <xdr:row>88</xdr:row>
          <xdr:rowOff>638175</xdr:rowOff>
        </xdr:to>
        <xdr:sp macro="" textlink="">
          <xdr:nvSpPr>
            <xdr:cNvPr id="59640" name="Option Button 248" hidden="1">
              <a:extLst>
                <a:ext uri="{63B3BB69-23CF-44E3-9099-C40C66FF867C}">
                  <a14:compatExt spid="_x0000_s59640"/>
                </a:ext>
                <a:ext uri="{FF2B5EF4-FFF2-40B4-BE49-F238E27FC236}">
                  <a16:creationId xmlns:a16="http://schemas.microsoft.com/office/drawing/2014/main" id="{00000000-0008-0000-0D00-0000F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88</xdr:row>
          <xdr:rowOff>419100</xdr:rowOff>
        </xdr:from>
        <xdr:to>
          <xdr:col>10</xdr:col>
          <xdr:colOff>485775</xdr:colOff>
          <xdr:row>88</xdr:row>
          <xdr:rowOff>638175</xdr:rowOff>
        </xdr:to>
        <xdr:sp macro="" textlink="">
          <xdr:nvSpPr>
            <xdr:cNvPr id="59641" name="Option Button 249" hidden="1">
              <a:extLst>
                <a:ext uri="{63B3BB69-23CF-44E3-9099-C40C66FF867C}">
                  <a14:compatExt spid="_x0000_s59641"/>
                </a:ext>
                <a:ext uri="{FF2B5EF4-FFF2-40B4-BE49-F238E27FC236}">
                  <a16:creationId xmlns:a16="http://schemas.microsoft.com/office/drawing/2014/main" id="{00000000-0008-0000-0D00-0000F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88</xdr:row>
          <xdr:rowOff>400050</xdr:rowOff>
        </xdr:from>
        <xdr:to>
          <xdr:col>10</xdr:col>
          <xdr:colOff>647700</xdr:colOff>
          <xdr:row>88</xdr:row>
          <xdr:rowOff>647700</xdr:rowOff>
        </xdr:to>
        <xdr:sp macro="" textlink="">
          <xdr:nvSpPr>
            <xdr:cNvPr id="59642" name="Group Box 250" hidden="1">
              <a:extLst>
                <a:ext uri="{63B3BB69-23CF-44E3-9099-C40C66FF867C}">
                  <a14:compatExt spid="_x0000_s59642"/>
                </a:ext>
                <a:ext uri="{FF2B5EF4-FFF2-40B4-BE49-F238E27FC236}">
                  <a16:creationId xmlns:a16="http://schemas.microsoft.com/office/drawing/2014/main" id="{00000000-0008-0000-0D00-0000F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99</xdr:row>
          <xdr:rowOff>542925</xdr:rowOff>
        </xdr:from>
        <xdr:to>
          <xdr:col>8</xdr:col>
          <xdr:colOff>485775</xdr:colOff>
          <xdr:row>99</xdr:row>
          <xdr:rowOff>752475</xdr:rowOff>
        </xdr:to>
        <xdr:sp macro="" textlink="">
          <xdr:nvSpPr>
            <xdr:cNvPr id="59647" name="Option Button 255" hidden="1">
              <a:extLst>
                <a:ext uri="{63B3BB69-23CF-44E3-9099-C40C66FF867C}">
                  <a14:compatExt spid="_x0000_s59647"/>
                </a:ext>
                <a:ext uri="{FF2B5EF4-FFF2-40B4-BE49-F238E27FC236}">
                  <a16:creationId xmlns:a16="http://schemas.microsoft.com/office/drawing/2014/main" id="{00000000-0008-0000-0D00-0000F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99</xdr:row>
          <xdr:rowOff>542925</xdr:rowOff>
        </xdr:from>
        <xdr:to>
          <xdr:col>9</xdr:col>
          <xdr:colOff>485775</xdr:colOff>
          <xdr:row>99</xdr:row>
          <xdr:rowOff>752475</xdr:rowOff>
        </xdr:to>
        <xdr:sp macro="" textlink="">
          <xdr:nvSpPr>
            <xdr:cNvPr id="59648" name="Option Button 256" hidden="1">
              <a:extLst>
                <a:ext uri="{63B3BB69-23CF-44E3-9099-C40C66FF867C}">
                  <a14:compatExt spid="_x0000_s59648"/>
                </a:ext>
                <a:ext uri="{FF2B5EF4-FFF2-40B4-BE49-F238E27FC236}">
                  <a16:creationId xmlns:a16="http://schemas.microsoft.com/office/drawing/2014/main" id="{00000000-0008-0000-0D00-000000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99</xdr:row>
          <xdr:rowOff>542925</xdr:rowOff>
        </xdr:from>
        <xdr:to>
          <xdr:col>10</xdr:col>
          <xdr:colOff>485775</xdr:colOff>
          <xdr:row>99</xdr:row>
          <xdr:rowOff>752475</xdr:rowOff>
        </xdr:to>
        <xdr:sp macro="" textlink="">
          <xdr:nvSpPr>
            <xdr:cNvPr id="59649" name="Option Button 257" hidden="1">
              <a:extLst>
                <a:ext uri="{63B3BB69-23CF-44E3-9099-C40C66FF867C}">
                  <a14:compatExt spid="_x0000_s59649"/>
                </a:ext>
                <a:ext uri="{FF2B5EF4-FFF2-40B4-BE49-F238E27FC236}">
                  <a16:creationId xmlns:a16="http://schemas.microsoft.com/office/drawing/2014/main" id="{00000000-0008-0000-0D00-000001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99</xdr:row>
          <xdr:rowOff>523875</xdr:rowOff>
        </xdr:from>
        <xdr:to>
          <xdr:col>10</xdr:col>
          <xdr:colOff>647700</xdr:colOff>
          <xdr:row>99</xdr:row>
          <xdr:rowOff>771525</xdr:rowOff>
        </xdr:to>
        <xdr:sp macro="" textlink="">
          <xdr:nvSpPr>
            <xdr:cNvPr id="59650" name="Group Box 258" hidden="1">
              <a:extLst>
                <a:ext uri="{63B3BB69-23CF-44E3-9099-C40C66FF867C}">
                  <a14:compatExt spid="_x0000_s59650"/>
                </a:ext>
                <a:ext uri="{FF2B5EF4-FFF2-40B4-BE49-F238E27FC236}">
                  <a16:creationId xmlns:a16="http://schemas.microsoft.com/office/drawing/2014/main" id="{00000000-0008-0000-0D00-000002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135</xdr:row>
          <xdr:rowOff>228600</xdr:rowOff>
        </xdr:from>
        <xdr:to>
          <xdr:col>8</xdr:col>
          <xdr:colOff>485775</xdr:colOff>
          <xdr:row>135</xdr:row>
          <xdr:rowOff>447675</xdr:rowOff>
        </xdr:to>
        <xdr:sp macro="" textlink="">
          <xdr:nvSpPr>
            <xdr:cNvPr id="59655" name="Option Button 263" hidden="1">
              <a:extLst>
                <a:ext uri="{63B3BB69-23CF-44E3-9099-C40C66FF867C}">
                  <a14:compatExt spid="_x0000_s59655"/>
                </a:ext>
                <a:ext uri="{FF2B5EF4-FFF2-40B4-BE49-F238E27FC236}">
                  <a16:creationId xmlns:a16="http://schemas.microsoft.com/office/drawing/2014/main" id="{00000000-0008-0000-0D00-000007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135</xdr:row>
          <xdr:rowOff>228600</xdr:rowOff>
        </xdr:from>
        <xdr:to>
          <xdr:col>9</xdr:col>
          <xdr:colOff>485775</xdr:colOff>
          <xdr:row>135</xdr:row>
          <xdr:rowOff>447675</xdr:rowOff>
        </xdr:to>
        <xdr:sp macro="" textlink="">
          <xdr:nvSpPr>
            <xdr:cNvPr id="59656" name="Option Button 264" hidden="1">
              <a:extLst>
                <a:ext uri="{63B3BB69-23CF-44E3-9099-C40C66FF867C}">
                  <a14:compatExt spid="_x0000_s59656"/>
                </a:ext>
                <a:ext uri="{FF2B5EF4-FFF2-40B4-BE49-F238E27FC236}">
                  <a16:creationId xmlns:a16="http://schemas.microsoft.com/office/drawing/2014/main" id="{00000000-0008-0000-0D00-000008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135</xdr:row>
          <xdr:rowOff>228600</xdr:rowOff>
        </xdr:from>
        <xdr:to>
          <xdr:col>10</xdr:col>
          <xdr:colOff>485775</xdr:colOff>
          <xdr:row>135</xdr:row>
          <xdr:rowOff>447675</xdr:rowOff>
        </xdr:to>
        <xdr:sp macro="" textlink="">
          <xdr:nvSpPr>
            <xdr:cNvPr id="59657" name="Option Button 265" hidden="1">
              <a:extLst>
                <a:ext uri="{63B3BB69-23CF-44E3-9099-C40C66FF867C}">
                  <a14:compatExt spid="_x0000_s59657"/>
                </a:ext>
                <a:ext uri="{FF2B5EF4-FFF2-40B4-BE49-F238E27FC236}">
                  <a16:creationId xmlns:a16="http://schemas.microsoft.com/office/drawing/2014/main" id="{00000000-0008-0000-0D00-000009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135</xdr:row>
          <xdr:rowOff>209550</xdr:rowOff>
        </xdr:from>
        <xdr:to>
          <xdr:col>10</xdr:col>
          <xdr:colOff>647700</xdr:colOff>
          <xdr:row>135</xdr:row>
          <xdr:rowOff>457200</xdr:rowOff>
        </xdr:to>
        <xdr:sp macro="" textlink="">
          <xdr:nvSpPr>
            <xdr:cNvPr id="59658" name="Group Box 266" hidden="1">
              <a:extLst>
                <a:ext uri="{63B3BB69-23CF-44E3-9099-C40C66FF867C}">
                  <a14:compatExt spid="_x0000_s59658"/>
                </a:ext>
                <a:ext uri="{FF2B5EF4-FFF2-40B4-BE49-F238E27FC236}">
                  <a16:creationId xmlns:a16="http://schemas.microsoft.com/office/drawing/2014/main" id="{00000000-0008-0000-0D00-00000A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153</xdr:row>
          <xdr:rowOff>200025</xdr:rowOff>
        </xdr:from>
        <xdr:to>
          <xdr:col>8</xdr:col>
          <xdr:colOff>485775</xdr:colOff>
          <xdr:row>153</xdr:row>
          <xdr:rowOff>419100</xdr:rowOff>
        </xdr:to>
        <xdr:sp macro="" textlink="">
          <xdr:nvSpPr>
            <xdr:cNvPr id="59663" name="Option Button 271" hidden="1">
              <a:extLst>
                <a:ext uri="{63B3BB69-23CF-44E3-9099-C40C66FF867C}">
                  <a14:compatExt spid="_x0000_s59663"/>
                </a:ext>
                <a:ext uri="{FF2B5EF4-FFF2-40B4-BE49-F238E27FC236}">
                  <a16:creationId xmlns:a16="http://schemas.microsoft.com/office/drawing/2014/main" id="{00000000-0008-0000-0D00-00000F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153</xdr:row>
          <xdr:rowOff>200025</xdr:rowOff>
        </xdr:from>
        <xdr:to>
          <xdr:col>9</xdr:col>
          <xdr:colOff>485775</xdr:colOff>
          <xdr:row>153</xdr:row>
          <xdr:rowOff>419100</xdr:rowOff>
        </xdr:to>
        <xdr:sp macro="" textlink="">
          <xdr:nvSpPr>
            <xdr:cNvPr id="59664" name="Option Button 272" hidden="1">
              <a:extLst>
                <a:ext uri="{63B3BB69-23CF-44E3-9099-C40C66FF867C}">
                  <a14:compatExt spid="_x0000_s59664"/>
                </a:ext>
                <a:ext uri="{FF2B5EF4-FFF2-40B4-BE49-F238E27FC236}">
                  <a16:creationId xmlns:a16="http://schemas.microsoft.com/office/drawing/2014/main" id="{00000000-0008-0000-0D00-000010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153</xdr:row>
          <xdr:rowOff>200025</xdr:rowOff>
        </xdr:from>
        <xdr:to>
          <xdr:col>10</xdr:col>
          <xdr:colOff>485775</xdr:colOff>
          <xdr:row>153</xdr:row>
          <xdr:rowOff>419100</xdr:rowOff>
        </xdr:to>
        <xdr:sp macro="" textlink="">
          <xdr:nvSpPr>
            <xdr:cNvPr id="59665" name="Option Button 273" hidden="1">
              <a:extLst>
                <a:ext uri="{63B3BB69-23CF-44E3-9099-C40C66FF867C}">
                  <a14:compatExt spid="_x0000_s59665"/>
                </a:ext>
                <a:ext uri="{FF2B5EF4-FFF2-40B4-BE49-F238E27FC236}">
                  <a16:creationId xmlns:a16="http://schemas.microsoft.com/office/drawing/2014/main" id="{00000000-0008-0000-0D00-000011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153</xdr:row>
          <xdr:rowOff>180975</xdr:rowOff>
        </xdr:from>
        <xdr:to>
          <xdr:col>10</xdr:col>
          <xdr:colOff>647700</xdr:colOff>
          <xdr:row>153</xdr:row>
          <xdr:rowOff>438150</xdr:rowOff>
        </xdr:to>
        <xdr:sp macro="" textlink="">
          <xdr:nvSpPr>
            <xdr:cNvPr id="59666" name="Group Box 274" hidden="1">
              <a:extLst>
                <a:ext uri="{63B3BB69-23CF-44E3-9099-C40C66FF867C}">
                  <a14:compatExt spid="_x0000_s59666"/>
                </a:ext>
                <a:ext uri="{FF2B5EF4-FFF2-40B4-BE49-F238E27FC236}">
                  <a16:creationId xmlns:a16="http://schemas.microsoft.com/office/drawing/2014/main" id="{00000000-0008-0000-0D00-000012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188</xdr:row>
          <xdr:rowOff>95250</xdr:rowOff>
        </xdr:from>
        <xdr:to>
          <xdr:col>8</xdr:col>
          <xdr:colOff>485775</xdr:colOff>
          <xdr:row>188</xdr:row>
          <xdr:rowOff>304800</xdr:rowOff>
        </xdr:to>
        <xdr:sp macro="" textlink="">
          <xdr:nvSpPr>
            <xdr:cNvPr id="59675" name="Option Button 283" hidden="1">
              <a:extLst>
                <a:ext uri="{63B3BB69-23CF-44E3-9099-C40C66FF867C}">
                  <a14:compatExt spid="_x0000_s59675"/>
                </a:ext>
                <a:ext uri="{FF2B5EF4-FFF2-40B4-BE49-F238E27FC236}">
                  <a16:creationId xmlns:a16="http://schemas.microsoft.com/office/drawing/2014/main" id="{00000000-0008-0000-0D00-00001B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188</xdr:row>
          <xdr:rowOff>95250</xdr:rowOff>
        </xdr:from>
        <xdr:to>
          <xdr:col>9</xdr:col>
          <xdr:colOff>485775</xdr:colOff>
          <xdr:row>188</xdr:row>
          <xdr:rowOff>304800</xdr:rowOff>
        </xdr:to>
        <xdr:sp macro="" textlink="">
          <xdr:nvSpPr>
            <xdr:cNvPr id="59676" name="Option Button 284" hidden="1">
              <a:extLst>
                <a:ext uri="{63B3BB69-23CF-44E3-9099-C40C66FF867C}">
                  <a14:compatExt spid="_x0000_s59676"/>
                </a:ext>
                <a:ext uri="{FF2B5EF4-FFF2-40B4-BE49-F238E27FC236}">
                  <a16:creationId xmlns:a16="http://schemas.microsoft.com/office/drawing/2014/main" id="{00000000-0008-0000-0D00-00001C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188</xdr:row>
          <xdr:rowOff>95250</xdr:rowOff>
        </xdr:from>
        <xdr:to>
          <xdr:col>10</xdr:col>
          <xdr:colOff>485775</xdr:colOff>
          <xdr:row>188</xdr:row>
          <xdr:rowOff>304800</xdr:rowOff>
        </xdr:to>
        <xdr:sp macro="" textlink="">
          <xdr:nvSpPr>
            <xdr:cNvPr id="59677" name="Option Button 285" hidden="1">
              <a:extLst>
                <a:ext uri="{63B3BB69-23CF-44E3-9099-C40C66FF867C}">
                  <a14:compatExt spid="_x0000_s59677"/>
                </a:ext>
                <a:ext uri="{FF2B5EF4-FFF2-40B4-BE49-F238E27FC236}">
                  <a16:creationId xmlns:a16="http://schemas.microsoft.com/office/drawing/2014/main" id="{00000000-0008-0000-0D00-00001D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188</xdr:row>
          <xdr:rowOff>76200</xdr:rowOff>
        </xdr:from>
        <xdr:to>
          <xdr:col>10</xdr:col>
          <xdr:colOff>647700</xdr:colOff>
          <xdr:row>188</xdr:row>
          <xdr:rowOff>323850</xdr:rowOff>
        </xdr:to>
        <xdr:sp macro="" textlink="">
          <xdr:nvSpPr>
            <xdr:cNvPr id="59678" name="Group Box 286" hidden="1">
              <a:extLst>
                <a:ext uri="{63B3BB69-23CF-44E3-9099-C40C66FF867C}">
                  <a14:compatExt spid="_x0000_s59678"/>
                </a:ext>
                <a:ext uri="{FF2B5EF4-FFF2-40B4-BE49-F238E27FC236}">
                  <a16:creationId xmlns:a16="http://schemas.microsoft.com/office/drawing/2014/main" id="{00000000-0008-0000-0D00-00001E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absolute">
    <xdr:from>
      <xdr:col>0</xdr:col>
      <xdr:colOff>43312</xdr:colOff>
      <xdr:row>191</xdr:row>
      <xdr:rowOff>337079</xdr:rowOff>
    </xdr:from>
    <xdr:to>
      <xdr:col>0</xdr:col>
      <xdr:colOff>763312</xdr:colOff>
      <xdr:row>193</xdr:row>
      <xdr:rowOff>287271</xdr:rowOff>
    </xdr:to>
    <xdr:pic>
      <xdr:nvPicPr>
        <xdr:cNvPr id="299" name="ゴール１７">
          <a:extLst>
            <a:ext uri="{FF2B5EF4-FFF2-40B4-BE49-F238E27FC236}">
              <a16:creationId xmlns:a16="http://schemas.microsoft.com/office/drawing/2014/main" id="{00000000-0008-0000-0500-00002B010000}"/>
            </a:ext>
          </a:extLst>
        </xdr:cNvPr>
        <xdr:cNvPicPr>
          <a:picLocks/>
        </xdr:cNvPicPr>
      </xdr:nvPicPr>
      <xdr:blipFill>
        <a:blip xmlns:r="http://schemas.openxmlformats.org/officeDocument/2006/relationships" r:embed="rId1"/>
        <a:stretch>
          <a:fillRect/>
        </a:stretch>
      </xdr:blipFill>
      <xdr:spPr>
        <a:xfrm>
          <a:off x="43312" y="99397079"/>
          <a:ext cx="720000" cy="721263"/>
        </a:xfrm>
        <a:prstGeom prst="rect">
          <a:avLst/>
        </a:prstGeom>
      </xdr:spPr>
    </xdr:pic>
    <xdr:clientData/>
  </xdr:twoCellAnchor>
  <xdr:twoCellAnchor editAs="absolute">
    <xdr:from>
      <xdr:col>0</xdr:col>
      <xdr:colOff>43312</xdr:colOff>
      <xdr:row>189</xdr:row>
      <xdr:rowOff>600913</xdr:rowOff>
    </xdr:from>
    <xdr:to>
      <xdr:col>0</xdr:col>
      <xdr:colOff>763312</xdr:colOff>
      <xdr:row>189</xdr:row>
      <xdr:rowOff>1311658</xdr:rowOff>
    </xdr:to>
    <xdr:pic>
      <xdr:nvPicPr>
        <xdr:cNvPr id="300" name="ゴール１６">
          <a:extLst>
            <a:ext uri="{FF2B5EF4-FFF2-40B4-BE49-F238E27FC236}">
              <a16:creationId xmlns:a16="http://schemas.microsoft.com/office/drawing/2014/main" id="{00000000-0008-0000-0500-00002C010000}"/>
            </a:ext>
          </a:extLst>
        </xdr:cNvPr>
        <xdr:cNvPicPr>
          <a:picLocks/>
        </xdr:cNvPicPr>
      </xdr:nvPicPr>
      <xdr:blipFill>
        <a:blip xmlns:r="http://schemas.openxmlformats.org/officeDocument/2006/relationships" r:embed="rId2"/>
        <a:stretch>
          <a:fillRect/>
        </a:stretch>
      </xdr:blipFill>
      <xdr:spPr>
        <a:xfrm>
          <a:off x="43312" y="97891984"/>
          <a:ext cx="720000" cy="710745"/>
        </a:xfrm>
        <a:prstGeom prst="rect">
          <a:avLst/>
        </a:prstGeom>
      </xdr:spPr>
    </xdr:pic>
    <xdr:clientData/>
  </xdr:twoCellAnchor>
  <xdr:twoCellAnchor editAs="absolute">
    <xdr:from>
      <xdr:col>0</xdr:col>
      <xdr:colOff>43312</xdr:colOff>
      <xdr:row>184</xdr:row>
      <xdr:rowOff>540052</xdr:rowOff>
    </xdr:from>
    <xdr:to>
      <xdr:col>0</xdr:col>
      <xdr:colOff>763312</xdr:colOff>
      <xdr:row>185</xdr:row>
      <xdr:rowOff>553514</xdr:rowOff>
    </xdr:to>
    <xdr:pic>
      <xdr:nvPicPr>
        <xdr:cNvPr id="301" name="ゴール１５">
          <a:extLst>
            <a:ext uri="{FF2B5EF4-FFF2-40B4-BE49-F238E27FC236}">
              <a16:creationId xmlns:a16="http://schemas.microsoft.com/office/drawing/2014/main" id="{00000000-0008-0000-0500-00002D010000}"/>
            </a:ext>
          </a:extLst>
        </xdr:cNvPr>
        <xdr:cNvPicPr>
          <a:picLocks/>
        </xdr:cNvPicPr>
      </xdr:nvPicPr>
      <xdr:blipFill>
        <a:blip xmlns:r="http://schemas.openxmlformats.org/officeDocument/2006/relationships" r:embed="rId3"/>
        <a:stretch>
          <a:fillRect/>
        </a:stretch>
      </xdr:blipFill>
      <xdr:spPr>
        <a:xfrm>
          <a:off x="43312" y="95177731"/>
          <a:ext cx="720000" cy="705158"/>
        </a:xfrm>
        <a:prstGeom prst="rect">
          <a:avLst/>
        </a:prstGeom>
      </xdr:spPr>
    </xdr:pic>
    <xdr:clientData/>
  </xdr:twoCellAnchor>
  <xdr:twoCellAnchor editAs="absolute">
    <xdr:from>
      <xdr:col>0</xdr:col>
      <xdr:colOff>43312</xdr:colOff>
      <xdr:row>183</xdr:row>
      <xdr:rowOff>554142</xdr:rowOff>
    </xdr:from>
    <xdr:to>
      <xdr:col>0</xdr:col>
      <xdr:colOff>763312</xdr:colOff>
      <xdr:row>183</xdr:row>
      <xdr:rowOff>1280409</xdr:rowOff>
    </xdr:to>
    <xdr:pic>
      <xdr:nvPicPr>
        <xdr:cNvPr id="302" name="ゴール１４">
          <a:extLst>
            <a:ext uri="{FF2B5EF4-FFF2-40B4-BE49-F238E27FC236}">
              <a16:creationId xmlns:a16="http://schemas.microsoft.com/office/drawing/2014/main" id="{00000000-0008-0000-0500-00002E010000}"/>
            </a:ext>
          </a:extLst>
        </xdr:cNvPr>
        <xdr:cNvPicPr>
          <a:picLocks/>
        </xdr:cNvPicPr>
      </xdr:nvPicPr>
      <xdr:blipFill>
        <a:blip xmlns:r="http://schemas.openxmlformats.org/officeDocument/2006/relationships" r:embed="rId4"/>
        <a:stretch>
          <a:fillRect/>
        </a:stretch>
      </xdr:blipFill>
      <xdr:spPr>
        <a:xfrm>
          <a:off x="43312" y="93831106"/>
          <a:ext cx="720000" cy="726267"/>
        </a:xfrm>
        <a:prstGeom prst="rect">
          <a:avLst/>
        </a:prstGeom>
      </xdr:spPr>
    </xdr:pic>
    <xdr:clientData/>
  </xdr:twoCellAnchor>
  <xdr:twoCellAnchor editAs="absolute">
    <xdr:from>
      <xdr:col>0</xdr:col>
      <xdr:colOff>43312</xdr:colOff>
      <xdr:row>170</xdr:row>
      <xdr:rowOff>176776</xdr:rowOff>
    </xdr:from>
    <xdr:to>
      <xdr:col>0</xdr:col>
      <xdr:colOff>763312</xdr:colOff>
      <xdr:row>171</xdr:row>
      <xdr:rowOff>487004</xdr:rowOff>
    </xdr:to>
    <xdr:pic>
      <xdr:nvPicPr>
        <xdr:cNvPr id="303" name="ゴール１３">
          <a:extLst>
            <a:ext uri="{FF2B5EF4-FFF2-40B4-BE49-F238E27FC236}">
              <a16:creationId xmlns:a16="http://schemas.microsoft.com/office/drawing/2014/main" id="{00000000-0008-0000-0500-00002F010000}"/>
            </a:ext>
          </a:extLst>
        </xdr:cNvPr>
        <xdr:cNvPicPr>
          <a:picLocks/>
        </xdr:cNvPicPr>
      </xdr:nvPicPr>
      <xdr:blipFill>
        <a:blip xmlns:r="http://schemas.openxmlformats.org/officeDocument/2006/relationships" r:embed="rId5"/>
        <a:stretch>
          <a:fillRect/>
        </a:stretch>
      </xdr:blipFill>
      <xdr:spPr>
        <a:xfrm>
          <a:off x="43312" y="86672847"/>
          <a:ext cx="720000" cy="718443"/>
        </a:xfrm>
        <a:prstGeom prst="rect">
          <a:avLst/>
        </a:prstGeom>
      </xdr:spPr>
    </xdr:pic>
    <xdr:clientData/>
  </xdr:twoCellAnchor>
  <xdr:twoCellAnchor editAs="absolute">
    <xdr:from>
      <xdr:col>0</xdr:col>
      <xdr:colOff>43312</xdr:colOff>
      <xdr:row>138</xdr:row>
      <xdr:rowOff>152509</xdr:rowOff>
    </xdr:from>
    <xdr:to>
      <xdr:col>0</xdr:col>
      <xdr:colOff>763312</xdr:colOff>
      <xdr:row>140</xdr:row>
      <xdr:rowOff>105973</xdr:rowOff>
    </xdr:to>
    <xdr:pic>
      <xdr:nvPicPr>
        <xdr:cNvPr id="304" name="ゴール１２">
          <a:extLst>
            <a:ext uri="{FF2B5EF4-FFF2-40B4-BE49-F238E27FC236}">
              <a16:creationId xmlns:a16="http://schemas.microsoft.com/office/drawing/2014/main" id="{00000000-0008-0000-0500-000030010000}"/>
            </a:ext>
          </a:extLst>
        </xdr:cNvPr>
        <xdr:cNvPicPr>
          <a:picLocks/>
        </xdr:cNvPicPr>
      </xdr:nvPicPr>
      <xdr:blipFill>
        <a:blip xmlns:r="http://schemas.openxmlformats.org/officeDocument/2006/relationships" r:embed="rId6"/>
        <a:stretch>
          <a:fillRect/>
        </a:stretch>
      </xdr:blipFill>
      <xdr:spPr>
        <a:xfrm>
          <a:off x="43312" y="72587866"/>
          <a:ext cx="720000" cy="724536"/>
        </a:xfrm>
        <a:prstGeom prst="rect">
          <a:avLst/>
        </a:prstGeom>
      </xdr:spPr>
    </xdr:pic>
    <xdr:clientData/>
  </xdr:twoCellAnchor>
  <xdr:twoCellAnchor editAs="absolute">
    <xdr:from>
      <xdr:col>0</xdr:col>
      <xdr:colOff>43312</xdr:colOff>
      <xdr:row>103</xdr:row>
      <xdr:rowOff>52398</xdr:rowOff>
    </xdr:from>
    <xdr:to>
      <xdr:col>0</xdr:col>
      <xdr:colOff>763312</xdr:colOff>
      <xdr:row>105</xdr:row>
      <xdr:rowOff>5031</xdr:rowOff>
    </xdr:to>
    <xdr:pic>
      <xdr:nvPicPr>
        <xdr:cNvPr id="305" name="ゴール１１">
          <a:extLst>
            <a:ext uri="{FF2B5EF4-FFF2-40B4-BE49-F238E27FC236}">
              <a16:creationId xmlns:a16="http://schemas.microsoft.com/office/drawing/2014/main" id="{00000000-0008-0000-0500-000031010000}"/>
            </a:ext>
          </a:extLst>
        </xdr:cNvPr>
        <xdr:cNvPicPr>
          <a:picLocks/>
        </xdr:cNvPicPr>
      </xdr:nvPicPr>
      <xdr:blipFill>
        <a:blip xmlns:r="http://schemas.openxmlformats.org/officeDocument/2006/relationships" r:embed="rId7"/>
        <a:stretch>
          <a:fillRect/>
        </a:stretch>
      </xdr:blipFill>
      <xdr:spPr>
        <a:xfrm>
          <a:off x="43312" y="56506015"/>
          <a:ext cx="720000" cy="714633"/>
        </a:xfrm>
        <a:prstGeom prst="rect">
          <a:avLst/>
        </a:prstGeom>
      </xdr:spPr>
    </xdr:pic>
    <xdr:clientData/>
  </xdr:twoCellAnchor>
  <xdr:twoCellAnchor editAs="absolute">
    <xdr:from>
      <xdr:col>0</xdr:col>
      <xdr:colOff>43312</xdr:colOff>
      <xdr:row>100</xdr:row>
      <xdr:rowOff>561078</xdr:rowOff>
    </xdr:from>
    <xdr:to>
      <xdr:col>0</xdr:col>
      <xdr:colOff>763312</xdr:colOff>
      <xdr:row>100</xdr:row>
      <xdr:rowOff>1286232</xdr:rowOff>
    </xdr:to>
    <xdr:pic>
      <xdr:nvPicPr>
        <xdr:cNvPr id="306" name="ゴール１０">
          <a:extLst>
            <a:ext uri="{FF2B5EF4-FFF2-40B4-BE49-F238E27FC236}">
              <a16:creationId xmlns:a16="http://schemas.microsoft.com/office/drawing/2014/main" id="{00000000-0008-0000-0500-000032010000}"/>
            </a:ext>
          </a:extLst>
        </xdr:cNvPr>
        <xdr:cNvPicPr>
          <a:picLocks/>
        </xdr:cNvPicPr>
      </xdr:nvPicPr>
      <xdr:blipFill>
        <a:blip xmlns:r="http://schemas.openxmlformats.org/officeDocument/2006/relationships" r:embed="rId8"/>
        <a:stretch>
          <a:fillRect/>
        </a:stretch>
      </xdr:blipFill>
      <xdr:spPr>
        <a:xfrm>
          <a:off x="43312" y="54966971"/>
          <a:ext cx="720000" cy="725154"/>
        </a:xfrm>
        <a:prstGeom prst="rect">
          <a:avLst/>
        </a:prstGeom>
      </xdr:spPr>
    </xdr:pic>
    <xdr:clientData/>
  </xdr:twoCellAnchor>
  <xdr:twoCellAnchor editAs="absolute">
    <xdr:from>
      <xdr:col>0</xdr:col>
      <xdr:colOff>43312</xdr:colOff>
      <xdr:row>87</xdr:row>
      <xdr:rowOff>504715</xdr:rowOff>
    </xdr:from>
    <xdr:to>
      <xdr:col>0</xdr:col>
      <xdr:colOff>763312</xdr:colOff>
      <xdr:row>87</xdr:row>
      <xdr:rowOff>1221238</xdr:rowOff>
    </xdr:to>
    <xdr:pic>
      <xdr:nvPicPr>
        <xdr:cNvPr id="307" name="ゴール９">
          <a:extLst>
            <a:ext uri="{FF2B5EF4-FFF2-40B4-BE49-F238E27FC236}">
              <a16:creationId xmlns:a16="http://schemas.microsoft.com/office/drawing/2014/main" id="{00000000-0008-0000-0500-000033010000}"/>
            </a:ext>
          </a:extLst>
        </xdr:cNvPr>
        <xdr:cNvPicPr>
          <a:picLocks/>
        </xdr:cNvPicPr>
      </xdr:nvPicPr>
      <xdr:blipFill>
        <a:blip xmlns:r="http://schemas.openxmlformats.org/officeDocument/2006/relationships" r:embed="rId9"/>
        <a:stretch>
          <a:fillRect/>
        </a:stretch>
      </xdr:blipFill>
      <xdr:spPr>
        <a:xfrm>
          <a:off x="43312" y="46441673"/>
          <a:ext cx="720000" cy="718640"/>
        </a:xfrm>
        <a:prstGeom prst="rect">
          <a:avLst/>
        </a:prstGeom>
      </xdr:spPr>
    </xdr:pic>
    <xdr:clientData/>
  </xdr:twoCellAnchor>
  <xdr:twoCellAnchor editAs="absolute">
    <xdr:from>
      <xdr:col>0</xdr:col>
      <xdr:colOff>43312</xdr:colOff>
      <xdr:row>65</xdr:row>
      <xdr:rowOff>558863</xdr:rowOff>
    </xdr:from>
    <xdr:to>
      <xdr:col>0</xdr:col>
      <xdr:colOff>763312</xdr:colOff>
      <xdr:row>65</xdr:row>
      <xdr:rowOff>1278302</xdr:rowOff>
    </xdr:to>
    <xdr:pic>
      <xdr:nvPicPr>
        <xdr:cNvPr id="308" name="ゴール８">
          <a:extLst>
            <a:ext uri="{FF2B5EF4-FFF2-40B4-BE49-F238E27FC236}">
              <a16:creationId xmlns:a16="http://schemas.microsoft.com/office/drawing/2014/main" id="{00000000-0008-0000-0500-000034010000}"/>
            </a:ext>
          </a:extLst>
        </xdr:cNvPr>
        <xdr:cNvPicPr>
          <a:picLocks/>
        </xdr:cNvPicPr>
      </xdr:nvPicPr>
      <xdr:blipFill>
        <a:blip xmlns:r="http://schemas.openxmlformats.org/officeDocument/2006/relationships" r:embed="rId10"/>
        <a:stretch>
          <a:fillRect/>
        </a:stretch>
      </xdr:blipFill>
      <xdr:spPr>
        <a:xfrm>
          <a:off x="43312" y="36470914"/>
          <a:ext cx="720000" cy="720000"/>
        </a:xfrm>
        <a:prstGeom prst="rect">
          <a:avLst/>
        </a:prstGeom>
      </xdr:spPr>
    </xdr:pic>
    <xdr:clientData/>
  </xdr:twoCellAnchor>
  <xdr:twoCellAnchor editAs="absolute">
    <xdr:from>
      <xdr:col>0</xdr:col>
      <xdr:colOff>43312</xdr:colOff>
      <xdr:row>56</xdr:row>
      <xdr:rowOff>351261</xdr:rowOff>
    </xdr:from>
    <xdr:to>
      <xdr:col>0</xdr:col>
      <xdr:colOff>763312</xdr:colOff>
      <xdr:row>58</xdr:row>
      <xdr:rowOff>333928</xdr:rowOff>
    </xdr:to>
    <xdr:pic>
      <xdr:nvPicPr>
        <xdr:cNvPr id="309" name="ゴール７">
          <a:extLst>
            <a:ext uri="{FF2B5EF4-FFF2-40B4-BE49-F238E27FC236}">
              <a16:creationId xmlns:a16="http://schemas.microsoft.com/office/drawing/2014/main" id="{00000000-0008-0000-0500-000035010000}"/>
            </a:ext>
          </a:extLst>
        </xdr:cNvPr>
        <xdr:cNvPicPr>
          <a:picLocks/>
        </xdr:cNvPicPr>
      </xdr:nvPicPr>
      <xdr:blipFill>
        <a:blip xmlns:r="http://schemas.openxmlformats.org/officeDocument/2006/relationships" r:embed="rId11"/>
        <a:stretch>
          <a:fillRect/>
        </a:stretch>
      </xdr:blipFill>
      <xdr:spPr>
        <a:xfrm>
          <a:off x="43312" y="30044919"/>
          <a:ext cx="720000" cy="721384"/>
        </a:xfrm>
        <a:prstGeom prst="rect">
          <a:avLst/>
        </a:prstGeom>
      </xdr:spPr>
    </xdr:pic>
    <xdr:clientData/>
  </xdr:twoCellAnchor>
  <xdr:twoCellAnchor editAs="absolute">
    <xdr:from>
      <xdr:col>0</xdr:col>
      <xdr:colOff>43312</xdr:colOff>
      <xdr:row>48</xdr:row>
      <xdr:rowOff>273078</xdr:rowOff>
    </xdr:from>
    <xdr:to>
      <xdr:col>0</xdr:col>
      <xdr:colOff>763312</xdr:colOff>
      <xdr:row>50</xdr:row>
      <xdr:rowOff>339506</xdr:rowOff>
    </xdr:to>
    <xdr:pic>
      <xdr:nvPicPr>
        <xdr:cNvPr id="310" name="ゴール６">
          <a:extLst>
            <a:ext uri="{FF2B5EF4-FFF2-40B4-BE49-F238E27FC236}">
              <a16:creationId xmlns:a16="http://schemas.microsoft.com/office/drawing/2014/main" id="{00000000-0008-0000-0500-000036010000}"/>
            </a:ext>
          </a:extLst>
        </xdr:cNvPr>
        <xdr:cNvPicPr>
          <a:picLocks/>
        </xdr:cNvPicPr>
      </xdr:nvPicPr>
      <xdr:blipFill>
        <a:blip xmlns:r="http://schemas.openxmlformats.org/officeDocument/2006/relationships" r:embed="rId12"/>
        <a:stretch>
          <a:fillRect/>
        </a:stretch>
      </xdr:blipFill>
      <xdr:spPr>
        <a:xfrm>
          <a:off x="43312" y="26498578"/>
          <a:ext cx="720000" cy="733178"/>
        </a:xfrm>
        <a:prstGeom prst="rect">
          <a:avLst/>
        </a:prstGeom>
      </xdr:spPr>
    </xdr:pic>
    <xdr:clientData/>
  </xdr:twoCellAnchor>
  <xdr:twoCellAnchor editAs="absolute">
    <xdr:from>
      <xdr:col>0</xdr:col>
      <xdr:colOff>43312</xdr:colOff>
      <xdr:row>43</xdr:row>
      <xdr:rowOff>345334</xdr:rowOff>
    </xdr:from>
    <xdr:to>
      <xdr:col>0</xdr:col>
      <xdr:colOff>763312</xdr:colOff>
      <xdr:row>44</xdr:row>
      <xdr:rowOff>27898</xdr:rowOff>
    </xdr:to>
    <xdr:pic>
      <xdr:nvPicPr>
        <xdr:cNvPr id="311" name="ゴール５">
          <a:extLst>
            <a:ext uri="{FF2B5EF4-FFF2-40B4-BE49-F238E27FC236}">
              <a16:creationId xmlns:a16="http://schemas.microsoft.com/office/drawing/2014/main" id="{00000000-0008-0000-0500-000037010000}"/>
            </a:ext>
          </a:extLst>
        </xdr:cNvPr>
        <xdr:cNvPicPr>
          <a:picLocks/>
        </xdr:cNvPicPr>
      </xdr:nvPicPr>
      <xdr:blipFill>
        <a:blip xmlns:r="http://schemas.openxmlformats.org/officeDocument/2006/relationships" r:embed="rId13"/>
        <a:stretch>
          <a:fillRect/>
        </a:stretch>
      </xdr:blipFill>
      <xdr:spPr>
        <a:xfrm>
          <a:off x="43312" y="23395834"/>
          <a:ext cx="720000" cy="719731"/>
        </a:xfrm>
        <a:prstGeom prst="rect">
          <a:avLst/>
        </a:prstGeom>
      </xdr:spPr>
    </xdr:pic>
    <xdr:clientData/>
  </xdr:twoCellAnchor>
  <xdr:twoCellAnchor editAs="absolute">
    <xdr:from>
      <xdr:col>0</xdr:col>
      <xdr:colOff>43312</xdr:colOff>
      <xdr:row>32</xdr:row>
      <xdr:rowOff>780322</xdr:rowOff>
    </xdr:from>
    <xdr:to>
      <xdr:col>0</xdr:col>
      <xdr:colOff>763312</xdr:colOff>
      <xdr:row>33</xdr:row>
      <xdr:rowOff>65969</xdr:rowOff>
    </xdr:to>
    <xdr:pic>
      <xdr:nvPicPr>
        <xdr:cNvPr id="312" name="ゴール４">
          <a:extLst>
            <a:ext uri="{FF2B5EF4-FFF2-40B4-BE49-F238E27FC236}">
              <a16:creationId xmlns:a16="http://schemas.microsoft.com/office/drawing/2014/main" id="{00000000-0008-0000-0500-000038010000}"/>
            </a:ext>
          </a:extLst>
        </xdr:cNvPr>
        <xdr:cNvPicPr>
          <a:picLocks/>
        </xdr:cNvPicPr>
      </xdr:nvPicPr>
      <xdr:blipFill>
        <a:blip xmlns:r="http://schemas.openxmlformats.org/officeDocument/2006/relationships" r:embed="rId14"/>
        <a:stretch>
          <a:fillRect/>
        </a:stretch>
      </xdr:blipFill>
      <xdr:spPr>
        <a:xfrm>
          <a:off x="43312" y="16121175"/>
          <a:ext cx="720000" cy="720000"/>
        </a:xfrm>
        <a:prstGeom prst="rect">
          <a:avLst/>
        </a:prstGeom>
      </xdr:spPr>
    </xdr:pic>
    <xdr:clientData/>
  </xdr:twoCellAnchor>
  <xdr:twoCellAnchor editAs="absolute">
    <xdr:from>
      <xdr:col>0</xdr:col>
      <xdr:colOff>43312</xdr:colOff>
      <xdr:row>9</xdr:row>
      <xdr:rowOff>387194</xdr:rowOff>
    </xdr:from>
    <xdr:to>
      <xdr:col>0</xdr:col>
      <xdr:colOff>763312</xdr:colOff>
      <xdr:row>11</xdr:row>
      <xdr:rowOff>290765</xdr:rowOff>
    </xdr:to>
    <xdr:pic>
      <xdr:nvPicPr>
        <xdr:cNvPr id="313" name="ゴール３">
          <a:extLst>
            <a:ext uri="{FF2B5EF4-FFF2-40B4-BE49-F238E27FC236}">
              <a16:creationId xmlns:a16="http://schemas.microsoft.com/office/drawing/2014/main" id="{00000000-0008-0000-0500-000039010000}"/>
            </a:ext>
          </a:extLst>
        </xdr:cNvPr>
        <xdr:cNvPicPr>
          <a:picLocks/>
        </xdr:cNvPicPr>
      </xdr:nvPicPr>
      <xdr:blipFill>
        <a:blip xmlns:r="http://schemas.openxmlformats.org/officeDocument/2006/relationships" r:embed="rId15"/>
        <a:stretch>
          <a:fillRect/>
        </a:stretch>
      </xdr:blipFill>
      <xdr:spPr>
        <a:xfrm>
          <a:off x="43312" y="4634223"/>
          <a:ext cx="720000" cy="732807"/>
        </a:xfrm>
        <a:prstGeom prst="rect">
          <a:avLst/>
        </a:prstGeom>
      </xdr:spPr>
    </xdr:pic>
    <xdr:clientData/>
  </xdr:twoCellAnchor>
  <xdr:twoCellAnchor editAs="absolute">
    <xdr:from>
      <xdr:col>0</xdr:col>
      <xdr:colOff>43312</xdr:colOff>
      <xdr:row>7</xdr:row>
      <xdr:rowOff>432550</xdr:rowOff>
    </xdr:from>
    <xdr:to>
      <xdr:col>0</xdr:col>
      <xdr:colOff>763312</xdr:colOff>
      <xdr:row>8</xdr:row>
      <xdr:rowOff>1225</xdr:rowOff>
    </xdr:to>
    <xdr:pic>
      <xdr:nvPicPr>
        <xdr:cNvPr id="314" name="ゴール２">
          <a:extLst>
            <a:ext uri="{FF2B5EF4-FFF2-40B4-BE49-F238E27FC236}">
              <a16:creationId xmlns:a16="http://schemas.microsoft.com/office/drawing/2014/main" id="{00000000-0008-0000-0500-00003A010000}"/>
            </a:ext>
          </a:extLst>
        </xdr:cNvPr>
        <xdr:cNvPicPr>
          <a:picLocks/>
        </xdr:cNvPicPr>
      </xdr:nvPicPr>
      <xdr:blipFill>
        <a:blip xmlns:r="http://schemas.openxmlformats.org/officeDocument/2006/relationships" r:embed="rId16"/>
        <a:stretch>
          <a:fillRect/>
        </a:stretch>
      </xdr:blipFill>
      <xdr:spPr>
        <a:xfrm>
          <a:off x="43312" y="3099550"/>
          <a:ext cx="720000" cy="725282"/>
        </a:xfrm>
        <a:prstGeom prst="rect">
          <a:avLst/>
        </a:prstGeom>
      </xdr:spPr>
    </xdr:pic>
    <xdr:clientData/>
  </xdr:twoCellAnchor>
  <xdr:twoCellAnchor editAs="absolute">
    <xdr:from>
      <xdr:col>0</xdr:col>
      <xdr:colOff>43312</xdr:colOff>
      <xdr:row>6</xdr:row>
      <xdr:rowOff>429027</xdr:rowOff>
    </xdr:from>
    <xdr:to>
      <xdr:col>0</xdr:col>
      <xdr:colOff>763312</xdr:colOff>
      <xdr:row>6</xdr:row>
      <xdr:rowOff>1149027</xdr:rowOff>
    </xdr:to>
    <xdr:pic>
      <xdr:nvPicPr>
        <xdr:cNvPr id="315" name="ゴール１">
          <a:extLst>
            <a:ext uri="{FF2B5EF4-FFF2-40B4-BE49-F238E27FC236}">
              <a16:creationId xmlns:a16="http://schemas.microsoft.com/office/drawing/2014/main" id="{00000000-0008-0000-0500-00003B010000}"/>
            </a:ext>
          </a:extLst>
        </xdr:cNvPr>
        <xdr:cNvPicPr>
          <a:picLocks/>
        </xdr:cNvPicPr>
      </xdr:nvPicPr>
      <xdr:blipFill>
        <a:blip xmlns:r="http://schemas.openxmlformats.org/officeDocument/2006/relationships" r:embed="rId17"/>
        <a:stretch>
          <a:fillRect/>
        </a:stretch>
      </xdr:blipFill>
      <xdr:spPr>
        <a:xfrm>
          <a:off x="43312" y="1931046"/>
          <a:ext cx="720000" cy="720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76200</xdr:colOff>
          <xdr:row>12</xdr:row>
          <xdr:rowOff>66675</xdr:rowOff>
        </xdr:from>
        <xdr:to>
          <xdr:col>12</xdr:col>
          <xdr:colOff>323850</xdr:colOff>
          <xdr:row>12</xdr:row>
          <xdr:rowOff>342900</xdr:rowOff>
        </xdr:to>
        <xdr:sp macro="" textlink="">
          <xdr:nvSpPr>
            <xdr:cNvPr id="59701" name="Check Box 309" hidden="1">
              <a:extLst>
                <a:ext uri="{63B3BB69-23CF-44E3-9099-C40C66FF867C}">
                  <a14:compatExt spid="_x0000_s59701"/>
                </a:ext>
                <a:ext uri="{FF2B5EF4-FFF2-40B4-BE49-F238E27FC236}">
                  <a16:creationId xmlns:a16="http://schemas.microsoft.com/office/drawing/2014/main" id="{00000000-0008-0000-0D00-000035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xdr:row>
          <xdr:rowOff>85725</xdr:rowOff>
        </xdr:from>
        <xdr:to>
          <xdr:col>12</xdr:col>
          <xdr:colOff>323850</xdr:colOff>
          <xdr:row>13</xdr:row>
          <xdr:rowOff>352425</xdr:rowOff>
        </xdr:to>
        <xdr:sp macro="" textlink="">
          <xdr:nvSpPr>
            <xdr:cNvPr id="59702" name="Check Box 310" hidden="1">
              <a:extLst>
                <a:ext uri="{63B3BB69-23CF-44E3-9099-C40C66FF867C}">
                  <a14:compatExt spid="_x0000_s59702"/>
                </a:ext>
                <a:ext uri="{FF2B5EF4-FFF2-40B4-BE49-F238E27FC236}">
                  <a16:creationId xmlns:a16="http://schemas.microsoft.com/office/drawing/2014/main" id="{00000000-0008-0000-0D00-000036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85725</xdr:rowOff>
        </xdr:from>
        <xdr:to>
          <xdr:col>12</xdr:col>
          <xdr:colOff>323850</xdr:colOff>
          <xdr:row>14</xdr:row>
          <xdr:rowOff>352425</xdr:rowOff>
        </xdr:to>
        <xdr:sp macro="" textlink="">
          <xdr:nvSpPr>
            <xdr:cNvPr id="59703" name="Check Box 311" hidden="1">
              <a:extLst>
                <a:ext uri="{63B3BB69-23CF-44E3-9099-C40C66FF867C}">
                  <a14:compatExt spid="_x0000_s59703"/>
                </a:ext>
                <a:ext uri="{FF2B5EF4-FFF2-40B4-BE49-F238E27FC236}">
                  <a16:creationId xmlns:a16="http://schemas.microsoft.com/office/drawing/2014/main" id="{00000000-0008-0000-0D00-000037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66675</xdr:rowOff>
        </xdr:from>
        <xdr:to>
          <xdr:col>12</xdr:col>
          <xdr:colOff>323850</xdr:colOff>
          <xdr:row>15</xdr:row>
          <xdr:rowOff>342900</xdr:rowOff>
        </xdr:to>
        <xdr:sp macro="" textlink="">
          <xdr:nvSpPr>
            <xdr:cNvPr id="59704" name="Check Box 312" hidden="1">
              <a:extLst>
                <a:ext uri="{63B3BB69-23CF-44E3-9099-C40C66FF867C}">
                  <a14:compatExt spid="_x0000_s59704"/>
                </a:ext>
                <a:ext uri="{FF2B5EF4-FFF2-40B4-BE49-F238E27FC236}">
                  <a16:creationId xmlns:a16="http://schemas.microsoft.com/office/drawing/2014/main" id="{00000000-0008-0000-0D00-000038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66675</xdr:rowOff>
        </xdr:from>
        <xdr:to>
          <xdr:col>12</xdr:col>
          <xdr:colOff>323850</xdr:colOff>
          <xdr:row>16</xdr:row>
          <xdr:rowOff>342900</xdr:rowOff>
        </xdr:to>
        <xdr:sp macro="" textlink="">
          <xdr:nvSpPr>
            <xdr:cNvPr id="59705" name="Check Box 313" hidden="1">
              <a:extLst>
                <a:ext uri="{63B3BB69-23CF-44E3-9099-C40C66FF867C}">
                  <a14:compatExt spid="_x0000_s59705"/>
                </a:ext>
                <a:ext uri="{FF2B5EF4-FFF2-40B4-BE49-F238E27FC236}">
                  <a16:creationId xmlns:a16="http://schemas.microsoft.com/office/drawing/2014/main" id="{00000000-0008-0000-0D00-000039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44</xdr:row>
          <xdr:rowOff>47625</xdr:rowOff>
        </xdr:from>
        <xdr:to>
          <xdr:col>12</xdr:col>
          <xdr:colOff>323850</xdr:colOff>
          <xdr:row>44</xdr:row>
          <xdr:rowOff>314325</xdr:rowOff>
        </xdr:to>
        <xdr:sp macro="" textlink="">
          <xdr:nvSpPr>
            <xdr:cNvPr id="59706" name="Check Box 314" hidden="1">
              <a:extLst>
                <a:ext uri="{63B3BB69-23CF-44E3-9099-C40C66FF867C}">
                  <a14:compatExt spid="_x0000_s59706"/>
                </a:ext>
                <a:ext uri="{FF2B5EF4-FFF2-40B4-BE49-F238E27FC236}">
                  <a16:creationId xmlns:a16="http://schemas.microsoft.com/office/drawing/2014/main" id="{00000000-0008-0000-0D00-00003A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45</xdr:row>
          <xdr:rowOff>285750</xdr:rowOff>
        </xdr:from>
        <xdr:to>
          <xdr:col>12</xdr:col>
          <xdr:colOff>323850</xdr:colOff>
          <xdr:row>45</xdr:row>
          <xdr:rowOff>552450</xdr:rowOff>
        </xdr:to>
        <xdr:sp macro="" textlink="">
          <xdr:nvSpPr>
            <xdr:cNvPr id="59707" name="Check Box 315" hidden="1">
              <a:extLst>
                <a:ext uri="{63B3BB69-23CF-44E3-9099-C40C66FF867C}">
                  <a14:compatExt spid="_x0000_s59707"/>
                </a:ext>
                <a:ext uri="{FF2B5EF4-FFF2-40B4-BE49-F238E27FC236}">
                  <a16:creationId xmlns:a16="http://schemas.microsoft.com/office/drawing/2014/main" id="{00000000-0008-0000-0D00-00003B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45</xdr:row>
          <xdr:rowOff>295275</xdr:rowOff>
        </xdr:from>
        <xdr:to>
          <xdr:col>8</xdr:col>
          <xdr:colOff>485775</xdr:colOff>
          <xdr:row>45</xdr:row>
          <xdr:rowOff>514350</xdr:rowOff>
        </xdr:to>
        <xdr:sp macro="" textlink="">
          <xdr:nvSpPr>
            <xdr:cNvPr id="59708" name="Option Button 316" hidden="1">
              <a:extLst>
                <a:ext uri="{63B3BB69-23CF-44E3-9099-C40C66FF867C}">
                  <a14:compatExt spid="_x0000_s59708"/>
                </a:ext>
                <a:ext uri="{FF2B5EF4-FFF2-40B4-BE49-F238E27FC236}">
                  <a16:creationId xmlns:a16="http://schemas.microsoft.com/office/drawing/2014/main" id="{00000000-0008-0000-0D00-00003C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45</xdr:row>
          <xdr:rowOff>295275</xdr:rowOff>
        </xdr:from>
        <xdr:to>
          <xdr:col>9</xdr:col>
          <xdr:colOff>485775</xdr:colOff>
          <xdr:row>45</xdr:row>
          <xdr:rowOff>514350</xdr:rowOff>
        </xdr:to>
        <xdr:sp macro="" textlink="">
          <xdr:nvSpPr>
            <xdr:cNvPr id="59709" name="Option Button 317" hidden="1">
              <a:extLst>
                <a:ext uri="{63B3BB69-23CF-44E3-9099-C40C66FF867C}">
                  <a14:compatExt spid="_x0000_s59709"/>
                </a:ext>
                <a:ext uri="{FF2B5EF4-FFF2-40B4-BE49-F238E27FC236}">
                  <a16:creationId xmlns:a16="http://schemas.microsoft.com/office/drawing/2014/main" id="{00000000-0008-0000-0D00-00003D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45</xdr:row>
          <xdr:rowOff>295275</xdr:rowOff>
        </xdr:from>
        <xdr:to>
          <xdr:col>10</xdr:col>
          <xdr:colOff>485775</xdr:colOff>
          <xdr:row>45</xdr:row>
          <xdr:rowOff>514350</xdr:rowOff>
        </xdr:to>
        <xdr:sp macro="" textlink="">
          <xdr:nvSpPr>
            <xdr:cNvPr id="59710" name="Option Button 318" hidden="1">
              <a:extLst>
                <a:ext uri="{63B3BB69-23CF-44E3-9099-C40C66FF867C}">
                  <a14:compatExt spid="_x0000_s59710"/>
                </a:ext>
                <a:ext uri="{FF2B5EF4-FFF2-40B4-BE49-F238E27FC236}">
                  <a16:creationId xmlns:a16="http://schemas.microsoft.com/office/drawing/2014/main" id="{00000000-0008-0000-0D00-00003E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45</xdr:row>
          <xdr:rowOff>276225</xdr:rowOff>
        </xdr:from>
        <xdr:to>
          <xdr:col>10</xdr:col>
          <xdr:colOff>647700</xdr:colOff>
          <xdr:row>45</xdr:row>
          <xdr:rowOff>533400</xdr:rowOff>
        </xdr:to>
        <xdr:sp macro="" textlink="">
          <xdr:nvSpPr>
            <xdr:cNvPr id="59711" name="Group Box 319" hidden="1">
              <a:extLst>
                <a:ext uri="{63B3BB69-23CF-44E3-9099-C40C66FF867C}">
                  <a14:compatExt spid="_x0000_s59711"/>
                </a:ext>
                <a:ext uri="{FF2B5EF4-FFF2-40B4-BE49-F238E27FC236}">
                  <a16:creationId xmlns:a16="http://schemas.microsoft.com/office/drawing/2014/main" id="{00000000-0008-0000-0D00-00003F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52</xdr:row>
          <xdr:rowOff>47625</xdr:rowOff>
        </xdr:from>
        <xdr:to>
          <xdr:col>12</xdr:col>
          <xdr:colOff>323850</xdr:colOff>
          <xdr:row>52</xdr:row>
          <xdr:rowOff>314325</xdr:rowOff>
        </xdr:to>
        <xdr:sp macro="" textlink="">
          <xdr:nvSpPr>
            <xdr:cNvPr id="59741" name="Check Box 349" hidden="1">
              <a:extLst>
                <a:ext uri="{63B3BB69-23CF-44E3-9099-C40C66FF867C}">
                  <a14:compatExt spid="_x0000_s59741"/>
                </a:ext>
                <a:ext uri="{FF2B5EF4-FFF2-40B4-BE49-F238E27FC236}">
                  <a16:creationId xmlns:a16="http://schemas.microsoft.com/office/drawing/2014/main" id="{00000000-0008-0000-0D00-00005D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52</xdr:row>
          <xdr:rowOff>47625</xdr:rowOff>
        </xdr:from>
        <xdr:to>
          <xdr:col>12</xdr:col>
          <xdr:colOff>323850</xdr:colOff>
          <xdr:row>52</xdr:row>
          <xdr:rowOff>314325</xdr:rowOff>
        </xdr:to>
        <xdr:sp macro="" textlink="">
          <xdr:nvSpPr>
            <xdr:cNvPr id="59742" name="Check Box 350" hidden="1">
              <a:extLst>
                <a:ext uri="{63B3BB69-23CF-44E3-9099-C40C66FF867C}">
                  <a14:compatExt spid="_x0000_s59742"/>
                </a:ext>
                <a:ext uri="{FF2B5EF4-FFF2-40B4-BE49-F238E27FC236}">
                  <a16:creationId xmlns:a16="http://schemas.microsoft.com/office/drawing/2014/main" id="{00000000-0008-0000-0D00-00005E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50</xdr:row>
          <xdr:rowOff>171450</xdr:rowOff>
        </xdr:from>
        <xdr:to>
          <xdr:col>12</xdr:col>
          <xdr:colOff>323850</xdr:colOff>
          <xdr:row>50</xdr:row>
          <xdr:rowOff>438150</xdr:rowOff>
        </xdr:to>
        <xdr:sp macro="" textlink="">
          <xdr:nvSpPr>
            <xdr:cNvPr id="59748" name="Check Box 356" hidden="1">
              <a:extLst>
                <a:ext uri="{63B3BB69-23CF-44E3-9099-C40C66FF867C}">
                  <a14:compatExt spid="_x0000_s59748"/>
                </a:ext>
                <a:ext uri="{FF2B5EF4-FFF2-40B4-BE49-F238E27FC236}">
                  <a16:creationId xmlns:a16="http://schemas.microsoft.com/office/drawing/2014/main" id="{00000000-0008-0000-0D00-000064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50</xdr:row>
          <xdr:rowOff>200025</xdr:rowOff>
        </xdr:from>
        <xdr:to>
          <xdr:col>8</xdr:col>
          <xdr:colOff>485775</xdr:colOff>
          <xdr:row>50</xdr:row>
          <xdr:rowOff>419100</xdr:rowOff>
        </xdr:to>
        <xdr:sp macro="" textlink="">
          <xdr:nvSpPr>
            <xdr:cNvPr id="59749" name="Option Button 357" hidden="1">
              <a:extLst>
                <a:ext uri="{63B3BB69-23CF-44E3-9099-C40C66FF867C}">
                  <a14:compatExt spid="_x0000_s59749"/>
                </a:ext>
                <a:ext uri="{FF2B5EF4-FFF2-40B4-BE49-F238E27FC236}">
                  <a16:creationId xmlns:a16="http://schemas.microsoft.com/office/drawing/2014/main" id="{00000000-0008-0000-0D00-000065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50</xdr:row>
          <xdr:rowOff>200025</xdr:rowOff>
        </xdr:from>
        <xdr:to>
          <xdr:col>9</xdr:col>
          <xdr:colOff>485775</xdr:colOff>
          <xdr:row>50</xdr:row>
          <xdr:rowOff>419100</xdr:rowOff>
        </xdr:to>
        <xdr:sp macro="" textlink="">
          <xdr:nvSpPr>
            <xdr:cNvPr id="59750" name="Option Button 358" hidden="1">
              <a:extLst>
                <a:ext uri="{63B3BB69-23CF-44E3-9099-C40C66FF867C}">
                  <a14:compatExt spid="_x0000_s59750"/>
                </a:ext>
                <a:ext uri="{FF2B5EF4-FFF2-40B4-BE49-F238E27FC236}">
                  <a16:creationId xmlns:a16="http://schemas.microsoft.com/office/drawing/2014/main" id="{00000000-0008-0000-0D00-000066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50</xdr:row>
          <xdr:rowOff>200025</xdr:rowOff>
        </xdr:from>
        <xdr:to>
          <xdr:col>10</xdr:col>
          <xdr:colOff>485775</xdr:colOff>
          <xdr:row>50</xdr:row>
          <xdr:rowOff>419100</xdr:rowOff>
        </xdr:to>
        <xdr:sp macro="" textlink="">
          <xdr:nvSpPr>
            <xdr:cNvPr id="59751" name="Option Button 359" hidden="1">
              <a:extLst>
                <a:ext uri="{63B3BB69-23CF-44E3-9099-C40C66FF867C}">
                  <a14:compatExt spid="_x0000_s59751"/>
                </a:ext>
                <a:ext uri="{FF2B5EF4-FFF2-40B4-BE49-F238E27FC236}">
                  <a16:creationId xmlns:a16="http://schemas.microsoft.com/office/drawing/2014/main" id="{00000000-0008-0000-0D00-000067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180975</xdr:rowOff>
        </xdr:from>
        <xdr:to>
          <xdr:col>10</xdr:col>
          <xdr:colOff>647700</xdr:colOff>
          <xdr:row>50</xdr:row>
          <xdr:rowOff>438150</xdr:rowOff>
        </xdr:to>
        <xdr:sp macro="" textlink="">
          <xdr:nvSpPr>
            <xdr:cNvPr id="59752" name="Group Box 360" hidden="1">
              <a:extLst>
                <a:ext uri="{63B3BB69-23CF-44E3-9099-C40C66FF867C}">
                  <a14:compatExt spid="_x0000_s59752"/>
                </a:ext>
                <a:ext uri="{FF2B5EF4-FFF2-40B4-BE49-F238E27FC236}">
                  <a16:creationId xmlns:a16="http://schemas.microsoft.com/office/drawing/2014/main" id="{00000000-0008-0000-0D00-000068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52</xdr:row>
          <xdr:rowOff>47625</xdr:rowOff>
        </xdr:from>
        <xdr:to>
          <xdr:col>12</xdr:col>
          <xdr:colOff>323850</xdr:colOff>
          <xdr:row>52</xdr:row>
          <xdr:rowOff>314325</xdr:rowOff>
        </xdr:to>
        <xdr:sp macro="" textlink="">
          <xdr:nvSpPr>
            <xdr:cNvPr id="59753" name="Check Box 361" hidden="1">
              <a:extLst>
                <a:ext uri="{63B3BB69-23CF-44E3-9099-C40C66FF867C}">
                  <a14:compatExt spid="_x0000_s59753"/>
                </a:ext>
                <a:ext uri="{FF2B5EF4-FFF2-40B4-BE49-F238E27FC236}">
                  <a16:creationId xmlns:a16="http://schemas.microsoft.com/office/drawing/2014/main" id="{00000000-0008-0000-0D00-000069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51</xdr:row>
          <xdr:rowOff>161925</xdr:rowOff>
        </xdr:from>
        <xdr:to>
          <xdr:col>12</xdr:col>
          <xdr:colOff>323850</xdr:colOff>
          <xdr:row>51</xdr:row>
          <xdr:rowOff>428625</xdr:rowOff>
        </xdr:to>
        <xdr:sp macro="" textlink="">
          <xdr:nvSpPr>
            <xdr:cNvPr id="59799" name="Check Box 407" hidden="1">
              <a:extLst>
                <a:ext uri="{63B3BB69-23CF-44E3-9099-C40C66FF867C}">
                  <a14:compatExt spid="_x0000_s59799"/>
                </a:ext>
                <a:ext uri="{FF2B5EF4-FFF2-40B4-BE49-F238E27FC236}">
                  <a16:creationId xmlns:a16="http://schemas.microsoft.com/office/drawing/2014/main" id="{00000000-0008-0000-0D00-000097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51</xdr:row>
          <xdr:rowOff>228600</xdr:rowOff>
        </xdr:from>
        <xdr:to>
          <xdr:col>8</xdr:col>
          <xdr:colOff>485775</xdr:colOff>
          <xdr:row>51</xdr:row>
          <xdr:rowOff>447675</xdr:rowOff>
        </xdr:to>
        <xdr:sp macro="" textlink="">
          <xdr:nvSpPr>
            <xdr:cNvPr id="59800" name="Option Button 408" hidden="1">
              <a:extLst>
                <a:ext uri="{63B3BB69-23CF-44E3-9099-C40C66FF867C}">
                  <a14:compatExt spid="_x0000_s59800"/>
                </a:ext>
                <a:ext uri="{FF2B5EF4-FFF2-40B4-BE49-F238E27FC236}">
                  <a16:creationId xmlns:a16="http://schemas.microsoft.com/office/drawing/2014/main" id="{00000000-0008-0000-0D00-000098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51</xdr:row>
          <xdr:rowOff>228600</xdr:rowOff>
        </xdr:from>
        <xdr:to>
          <xdr:col>9</xdr:col>
          <xdr:colOff>485775</xdr:colOff>
          <xdr:row>51</xdr:row>
          <xdr:rowOff>447675</xdr:rowOff>
        </xdr:to>
        <xdr:sp macro="" textlink="">
          <xdr:nvSpPr>
            <xdr:cNvPr id="59801" name="Option Button 409" hidden="1">
              <a:extLst>
                <a:ext uri="{63B3BB69-23CF-44E3-9099-C40C66FF867C}">
                  <a14:compatExt spid="_x0000_s59801"/>
                </a:ext>
                <a:ext uri="{FF2B5EF4-FFF2-40B4-BE49-F238E27FC236}">
                  <a16:creationId xmlns:a16="http://schemas.microsoft.com/office/drawing/2014/main" id="{00000000-0008-0000-0D00-000099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51</xdr:row>
          <xdr:rowOff>228600</xdr:rowOff>
        </xdr:from>
        <xdr:to>
          <xdr:col>10</xdr:col>
          <xdr:colOff>485775</xdr:colOff>
          <xdr:row>51</xdr:row>
          <xdr:rowOff>447675</xdr:rowOff>
        </xdr:to>
        <xdr:sp macro="" textlink="">
          <xdr:nvSpPr>
            <xdr:cNvPr id="59802" name="Option Button 410" hidden="1">
              <a:extLst>
                <a:ext uri="{63B3BB69-23CF-44E3-9099-C40C66FF867C}">
                  <a14:compatExt spid="_x0000_s59802"/>
                </a:ext>
                <a:ext uri="{FF2B5EF4-FFF2-40B4-BE49-F238E27FC236}">
                  <a16:creationId xmlns:a16="http://schemas.microsoft.com/office/drawing/2014/main" id="{00000000-0008-0000-0D00-00009A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209550</xdr:rowOff>
        </xdr:from>
        <xdr:to>
          <xdr:col>10</xdr:col>
          <xdr:colOff>647700</xdr:colOff>
          <xdr:row>51</xdr:row>
          <xdr:rowOff>457200</xdr:rowOff>
        </xdr:to>
        <xdr:sp macro="" textlink="">
          <xdr:nvSpPr>
            <xdr:cNvPr id="59803" name="Group Box 411" hidden="1">
              <a:extLst>
                <a:ext uri="{63B3BB69-23CF-44E3-9099-C40C66FF867C}">
                  <a14:compatExt spid="_x0000_s59803"/>
                </a:ext>
                <a:ext uri="{FF2B5EF4-FFF2-40B4-BE49-F238E27FC236}">
                  <a16:creationId xmlns:a16="http://schemas.microsoft.com/office/drawing/2014/main" id="{00000000-0008-0000-0D00-00009B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65</xdr:row>
          <xdr:rowOff>552450</xdr:rowOff>
        </xdr:from>
        <xdr:to>
          <xdr:col>12</xdr:col>
          <xdr:colOff>323850</xdr:colOff>
          <xdr:row>65</xdr:row>
          <xdr:rowOff>819150</xdr:rowOff>
        </xdr:to>
        <xdr:sp macro="" textlink="">
          <xdr:nvSpPr>
            <xdr:cNvPr id="59809" name="Check Box 417" hidden="1">
              <a:extLst>
                <a:ext uri="{63B3BB69-23CF-44E3-9099-C40C66FF867C}">
                  <a14:compatExt spid="_x0000_s59809"/>
                </a:ext>
                <a:ext uri="{FF2B5EF4-FFF2-40B4-BE49-F238E27FC236}">
                  <a16:creationId xmlns:a16="http://schemas.microsoft.com/office/drawing/2014/main" id="{00000000-0008-0000-0D00-0000A1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65</xdr:row>
          <xdr:rowOff>590550</xdr:rowOff>
        </xdr:from>
        <xdr:to>
          <xdr:col>8</xdr:col>
          <xdr:colOff>485775</xdr:colOff>
          <xdr:row>65</xdr:row>
          <xdr:rowOff>809625</xdr:rowOff>
        </xdr:to>
        <xdr:sp macro="" textlink="">
          <xdr:nvSpPr>
            <xdr:cNvPr id="59810" name="Option Button 418" hidden="1">
              <a:extLst>
                <a:ext uri="{63B3BB69-23CF-44E3-9099-C40C66FF867C}">
                  <a14:compatExt spid="_x0000_s59810"/>
                </a:ext>
                <a:ext uri="{FF2B5EF4-FFF2-40B4-BE49-F238E27FC236}">
                  <a16:creationId xmlns:a16="http://schemas.microsoft.com/office/drawing/2014/main" id="{00000000-0008-0000-0D00-0000A2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65</xdr:row>
          <xdr:rowOff>590550</xdr:rowOff>
        </xdr:from>
        <xdr:to>
          <xdr:col>9</xdr:col>
          <xdr:colOff>485775</xdr:colOff>
          <xdr:row>65</xdr:row>
          <xdr:rowOff>809625</xdr:rowOff>
        </xdr:to>
        <xdr:sp macro="" textlink="">
          <xdr:nvSpPr>
            <xdr:cNvPr id="59811" name="Option Button 419" hidden="1">
              <a:extLst>
                <a:ext uri="{63B3BB69-23CF-44E3-9099-C40C66FF867C}">
                  <a14:compatExt spid="_x0000_s59811"/>
                </a:ext>
                <a:ext uri="{FF2B5EF4-FFF2-40B4-BE49-F238E27FC236}">
                  <a16:creationId xmlns:a16="http://schemas.microsoft.com/office/drawing/2014/main" id="{00000000-0008-0000-0D00-0000A3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65</xdr:row>
          <xdr:rowOff>590550</xdr:rowOff>
        </xdr:from>
        <xdr:to>
          <xdr:col>10</xdr:col>
          <xdr:colOff>485775</xdr:colOff>
          <xdr:row>65</xdr:row>
          <xdr:rowOff>809625</xdr:rowOff>
        </xdr:to>
        <xdr:sp macro="" textlink="">
          <xdr:nvSpPr>
            <xdr:cNvPr id="59812" name="Option Button 420" hidden="1">
              <a:extLst>
                <a:ext uri="{63B3BB69-23CF-44E3-9099-C40C66FF867C}">
                  <a14:compatExt spid="_x0000_s59812"/>
                </a:ext>
                <a:ext uri="{FF2B5EF4-FFF2-40B4-BE49-F238E27FC236}">
                  <a16:creationId xmlns:a16="http://schemas.microsoft.com/office/drawing/2014/main" id="{00000000-0008-0000-0D00-0000A4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65</xdr:row>
          <xdr:rowOff>581025</xdr:rowOff>
        </xdr:from>
        <xdr:to>
          <xdr:col>10</xdr:col>
          <xdr:colOff>647700</xdr:colOff>
          <xdr:row>65</xdr:row>
          <xdr:rowOff>828675</xdr:rowOff>
        </xdr:to>
        <xdr:sp macro="" textlink="">
          <xdr:nvSpPr>
            <xdr:cNvPr id="59813" name="Group Box 421" hidden="1">
              <a:extLst>
                <a:ext uri="{63B3BB69-23CF-44E3-9099-C40C66FF867C}">
                  <a14:compatExt spid="_x0000_s59813"/>
                </a:ext>
                <a:ext uri="{FF2B5EF4-FFF2-40B4-BE49-F238E27FC236}">
                  <a16:creationId xmlns:a16="http://schemas.microsoft.com/office/drawing/2014/main" id="{00000000-0008-0000-0D00-0000A5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81</xdr:row>
          <xdr:rowOff>57150</xdr:rowOff>
        </xdr:from>
        <xdr:to>
          <xdr:col>12</xdr:col>
          <xdr:colOff>323850</xdr:colOff>
          <xdr:row>81</xdr:row>
          <xdr:rowOff>323850</xdr:rowOff>
        </xdr:to>
        <xdr:sp macro="" textlink="">
          <xdr:nvSpPr>
            <xdr:cNvPr id="59814" name="Check Box 422" hidden="1">
              <a:extLst>
                <a:ext uri="{63B3BB69-23CF-44E3-9099-C40C66FF867C}">
                  <a14:compatExt spid="_x0000_s59814"/>
                </a:ext>
                <a:ext uri="{FF2B5EF4-FFF2-40B4-BE49-F238E27FC236}">
                  <a16:creationId xmlns:a16="http://schemas.microsoft.com/office/drawing/2014/main" id="{00000000-0008-0000-0D00-0000A6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82</xdr:row>
          <xdr:rowOff>47625</xdr:rowOff>
        </xdr:from>
        <xdr:to>
          <xdr:col>12</xdr:col>
          <xdr:colOff>323850</xdr:colOff>
          <xdr:row>82</xdr:row>
          <xdr:rowOff>314325</xdr:rowOff>
        </xdr:to>
        <xdr:sp macro="" textlink="">
          <xdr:nvSpPr>
            <xdr:cNvPr id="59815" name="Check Box 423" hidden="1">
              <a:extLst>
                <a:ext uri="{63B3BB69-23CF-44E3-9099-C40C66FF867C}">
                  <a14:compatExt spid="_x0000_s59815"/>
                </a:ext>
                <a:ext uri="{FF2B5EF4-FFF2-40B4-BE49-F238E27FC236}">
                  <a16:creationId xmlns:a16="http://schemas.microsoft.com/office/drawing/2014/main" id="{00000000-0008-0000-0D00-0000A7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83</xdr:row>
          <xdr:rowOff>38100</xdr:rowOff>
        </xdr:from>
        <xdr:to>
          <xdr:col>12</xdr:col>
          <xdr:colOff>323850</xdr:colOff>
          <xdr:row>83</xdr:row>
          <xdr:rowOff>304800</xdr:rowOff>
        </xdr:to>
        <xdr:sp macro="" textlink="">
          <xdr:nvSpPr>
            <xdr:cNvPr id="59816" name="Check Box 424" hidden="1">
              <a:extLst>
                <a:ext uri="{63B3BB69-23CF-44E3-9099-C40C66FF867C}">
                  <a14:compatExt spid="_x0000_s59816"/>
                </a:ext>
                <a:ext uri="{FF2B5EF4-FFF2-40B4-BE49-F238E27FC236}">
                  <a16:creationId xmlns:a16="http://schemas.microsoft.com/office/drawing/2014/main" id="{00000000-0008-0000-0D00-0000A8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91</xdr:row>
          <xdr:rowOff>38100</xdr:rowOff>
        </xdr:from>
        <xdr:to>
          <xdr:col>12</xdr:col>
          <xdr:colOff>323850</xdr:colOff>
          <xdr:row>91</xdr:row>
          <xdr:rowOff>304800</xdr:rowOff>
        </xdr:to>
        <xdr:sp macro="" textlink="">
          <xdr:nvSpPr>
            <xdr:cNvPr id="59817" name="Check Box 425" hidden="1">
              <a:extLst>
                <a:ext uri="{63B3BB69-23CF-44E3-9099-C40C66FF867C}">
                  <a14:compatExt spid="_x0000_s59817"/>
                </a:ext>
                <a:ext uri="{FF2B5EF4-FFF2-40B4-BE49-F238E27FC236}">
                  <a16:creationId xmlns:a16="http://schemas.microsoft.com/office/drawing/2014/main" id="{00000000-0008-0000-0D00-0000A9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131</xdr:row>
          <xdr:rowOff>85725</xdr:rowOff>
        </xdr:from>
        <xdr:to>
          <xdr:col>12</xdr:col>
          <xdr:colOff>323850</xdr:colOff>
          <xdr:row>131</xdr:row>
          <xdr:rowOff>352425</xdr:rowOff>
        </xdr:to>
        <xdr:sp macro="" textlink="">
          <xdr:nvSpPr>
            <xdr:cNvPr id="59829" name="Check Box 437" hidden="1">
              <a:extLst>
                <a:ext uri="{63B3BB69-23CF-44E3-9099-C40C66FF867C}">
                  <a14:compatExt spid="_x0000_s59829"/>
                </a:ext>
                <a:ext uri="{FF2B5EF4-FFF2-40B4-BE49-F238E27FC236}">
                  <a16:creationId xmlns:a16="http://schemas.microsoft.com/office/drawing/2014/main" id="{00000000-0008-0000-0D00-0000B5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145</xdr:row>
          <xdr:rowOff>38100</xdr:rowOff>
        </xdr:from>
        <xdr:to>
          <xdr:col>12</xdr:col>
          <xdr:colOff>323850</xdr:colOff>
          <xdr:row>145</xdr:row>
          <xdr:rowOff>304800</xdr:rowOff>
        </xdr:to>
        <xdr:sp macro="" textlink="">
          <xdr:nvSpPr>
            <xdr:cNvPr id="59851" name="Check Box 459" hidden="1">
              <a:extLst>
                <a:ext uri="{63B3BB69-23CF-44E3-9099-C40C66FF867C}">
                  <a14:compatExt spid="_x0000_s59851"/>
                </a:ext>
                <a:ext uri="{FF2B5EF4-FFF2-40B4-BE49-F238E27FC236}">
                  <a16:creationId xmlns:a16="http://schemas.microsoft.com/office/drawing/2014/main" id="{00000000-0008-0000-0D00-0000CB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146</xdr:row>
          <xdr:rowOff>57150</xdr:rowOff>
        </xdr:from>
        <xdr:to>
          <xdr:col>12</xdr:col>
          <xdr:colOff>323850</xdr:colOff>
          <xdr:row>146</xdr:row>
          <xdr:rowOff>323850</xdr:rowOff>
        </xdr:to>
        <xdr:sp macro="" textlink="">
          <xdr:nvSpPr>
            <xdr:cNvPr id="59852" name="Check Box 460" hidden="1">
              <a:extLst>
                <a:ext uri="{63B3BB69-23CF-44E3-9099-C40C66FF867C}">
                  <a14:compatExt spid="_x0000_s59852"/>
                </a:ext>
                <a:ext uri="{FF2B5EF4-FFF2-40B4-BE49-F238E27FC236}">
                  <a16:creationId xmlns:a16="http://schemas.microsoft.com/office/drawing/2014/main" id="{00000000-0008-0000-0D00-0000CC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90</xdr:row>
          <xdr:rowOff>390525</xdr:rowOff>
        </xdr:from>
        <xdr:to>
          <xdr:col>12</xdr:col>
          <xdr:colOff>323850</xdr:colOff>
          <xdr:row>90</xdr:row>
          <xdr:rowOff>657225</xdr:rowOff>
        </xdr:to>
        <xdr:sp macro="" textlink="">
          <xdr:nvSpPr>
            <xdr:cNvPr id="59882" name="Check Box 490" hidden="1">
              <a:extLst>
                <a:ext uri="{63B3BB69-23CF-44E3-9099-C40C66FF867C}">
                  <a14:compatExt spid="_x0000_s59882"/>
                </a:ext>
                <a:ext uri="{FF2B5EF4-FFF2-40B4-BE49-F238E27FC236}">
                  <a16:creationId xmlns:a16="http://schemas.microsoft.com/office/drawing/2014/main" id="{00000000-0008-0000-0D00-0000EA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171</xdr:row>
          <xdr:rowOff>800100</xdr:rowOff>
        </xdr:from>
        <xdr:to>
          <xdr:col>12</xdr:col>
          <xdr:colOff>323850</xdr:colOff>
          <xdr:row>171</xdr:row>
          <xdr:rowOff>1066800</xdr:rowOff>
        </xdr:to>
        <xdr:sp macro="" textlink="">
          <xdr:nvSpPr>
            <xdr:cNvPr id="59897" name="Check Box 505" hidden="1">
              <a:extLst>
                <a:ext uri="{63B3BB69-23CF-44E3-9099-C40C66FF867C}">
                  <a14:compatExt spid="_x0000_s59897"/>
                </a:ext>
                <a:ext uri="{FF2B5EF4-FFF2-40B4-BE49-F238E27FC236}">
                  <a16:creationId xmlns:a16="http://schemas.microsoft.com/office/drawing/2014/main" id="{00000000-0008-0000-0D00-0000F9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107</xdr:row>
          <xdr:rowOff>428625</xdr:rowOff>
        </xdr:from>
        <xdr:to>
          <xdr:col>12</xdr:col>
          <xdr:colOff>323850</xdr:colOff>
          <xdr:row>107</xdr:row>
          <xdr:rowOff>695325</xdr:rowOff>
        </xdr:to>
        <xdr:sp macro="" textlink="">
          <xdr:nvSpPr>
            <xdr:cNvPr id="59932" name="Check Box 540" hidden="1">
              <a:extLst>
                <a:ext uri="{63B3BB69-23CF-44E3-9099-C40C66FF867C}">
                  <a14:compatExt spid="_x0000_s59932"/>
                </a:ext>
                <a:ext uri="{FF2B5EF4-FFF2-40B4-BE49-F238E27FC236}">
                  <a16:creationId xmlns:a16="http://schemas.microsoft.com/office/drawing/2014/main" id="{00000000-0008-0000-0D00-00001C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63</xdr:row>
          <xdr:rowOff>57150</xdr:rowOff>
        </xdr:from>
        <xdr:to>
          <xdr:col>12</xdr:col>
          <xdr:colOff>323850</xdr:colOff>
          <xdr:row>63</xdr:row>
          <xdr:rowOff>323850</xdr:rowOff>
        </xdr:to>
        <xdr:sp macro="" textlink="">
          <xdr:nvSpPr>
            <xdr:cNvPr id="59947" name="Check Box 555" hidden="1">
              <a:extLst>
                <a:ext uri="{63B3BB69-23CF-44E3-9099-C40C66FF867C}">
                  <a14:compatExt spid="_x0000_s59947"/>
                </a:ext>
                <a:ext uri="{FF2B5EF4-FFF2-40B4-BE49-F238E27FC236}">
                  <a16:creationId xmlns:a16="http://schemas.microsoft.com/office/drawing/2014/main" id="{00000000-0008-0000-0D00-00002B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168</xdr:row>
          <xdr:rowOff>457200</xdr:rowOff>
        </xdr:from>
        <xdr:to>
          <xdr:col>12</xdr:col>
          <xdr:colOff>323850</xdr:colOff>
          <xdr:row>168</xdr:row>
          <xdr:rowOff>723900</xdr:rowOff>
        </xdr:to>
        <xdr:sp macro="" textlink="">
          <xdr:nvSpPr>
            <xdr:cNvPr id="59952" name="Check Box 560" hidden="1">
              <a:extLst>
                <a:ext uri="{63B3BB69-23CF-44E3-9099-C40C66FF867C}">
                  <a14:compatExt spid="_x0000_s59952"/>
                </a:ext>
                <a:ext uri="{FF2B5EF4-FFF2-40B4-BE49-F238E27FC236}">
                  <a16:creationId xmlns:a16="http://schemas.microsoft.com/office/drawing/2014/main" id="{00000000-0008-0000-0D00-000030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190</xdr:row>
          <xdr:rowOff>85725</xdr:rowOff>
        </xdr:from>
        <xdr:to>
          <xdr:col>12</xdr:col>
          <xdr:colOff>323850</xdr:colOff>
          <xdr:row>190</xdr:row>
          <xdr:rowOff>352425</xdr:rowOff>
        </xdr:to>
        <xdr:sp macro="" textlink="">
          <xdr:nvSpPr>
            <xdr:cNvPr id="59961" name="Check Box 569" hidden="1">
              <a:extLst>
                <a:ext uri="{63B3BB69-23CF-44E3-9099-C40C66FF867C}">
                  <a14:compatExt spid="_x0000_s59961"/>
                </a:ext>
                <a:ext uri="{FF2B5EF4-FFF2-40B4-BE49-F238E27FC236}">
                  <a16:creationId xmlns:a16="http://schemas.microsoft.com/office/drawing/2014/main" id="{00000000-0008-0000-0D00-000039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194</xdr:row>
          <xdr:rowOff>295275</xdr:rowOff>
        </xdr:from>
        <xdr:to>
          <xdr:col>12</xdr:col>
          <xdr:colOff>323850</xdr:colOff>
          <xdr:row>194</xdr:row>
          <xdr:rowOff>561975</xdr:rowOff>
        </xdr:to>
        <xdr:sp macro="" textlink="">
          <xdr:nvSpPr>
            <xdr:cNvPr id="59971" name="Check Box 579" hidden="1">
              <a:extLst>
                <a:ext uri="{63B3BB69-23CF-44E3-9099-C40C66FF867C}">
                  <a14:compatExt spid="_x0000_s59971"/>
                </a:ext>
                <a:ext uri="{FF2B5EF4-FFF2-40B4-BE49-F238E27FC236}">
                  <a16:creationId xmlns:a16="http://schemas.microsoft.com/office/drawing/2014/main" id="{00000000-0008-0000-0D00-000043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195</xdr:row>
          <xdr:rowOff>57150</xdr:rowOff>
        </xdr:from>
        <xdr:to>
          <xdr:col>12</xdr:col>
          <xdr:colOff>323850</xdr:colOff>
          <xdr:row>195</xdr:row>
          <xdr:rowOff>323850</xdr:rowOff>
        </xdr:to>
        <xdr:sp macro="" textlink="">
          <xdr:nvSpPr>
            <xdr:cNvPr id="59976" name="Check Box 584" hidden="1">
              <a:extLst>
                <a:ext uri="{63B3BB69-23CF-44E3-9099-C40C66FF867C}">
                  <a14:compatExt spid="_x0000_s59976"/>
                </a:ext>
                <a:ext uri="{FF2B5EF4-FFF2-40B4-BE49-F238E27FC236}">
                  <a16:creationId xmlns:a16="http://schemas.microsoft.com/office/drawing/2014/main" id="{00000000-0008-0000-0D00-000048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195</xdr:row>
          <xdr:rowOff>95250</xdr:rowOff>
        </xdr:from>
        <xdr:to>
          <xdr:col>8</xdr:col>
          <xdr:colOff>485775</xdr:colOff>
          <xdr:row>195</xdr:row>
          <xdr:rowOff>304800</xdr:rowOff>
        </xdr:to>
        <xdr:sp macro="" textlink="">
          <xdr:nvSpPr>
            <xdr:cNvPr id="59977" name="Option Button 585" hidden="1">
              <a:extLst>
                <a:ext uri="{63B3BB69-23CF-44E3-9099-C40C66FF867C}">
                  <a14:compatExt spid="_x0000_s59977"/>
                </a:ext>
                <a:ext uri="{FF2B5EF4-FFF2-40B4-BE49-F238E27FC236}">
                  <a16:creationId xmlns:a16="http://schemas.microsoft.com/office/drawing/2014/main" id="{00000000-0008-0000-0D00-000049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195</xdr:row>
          <xdr:rowOff>95250</xdr:rowOff>
        </xdr:from>
        <xdr:to>
          <xdr:col>9</xdr:col>
          <xdr:colOff>485775</xdr:colOff>
          <xdr:row>195</xdr:row>
          <xdr:rowOff>304800</xdr:rowOff>
        </xdr:to>
        <xdr:sp macro="" textlink="">
          <xdr:nvSpPr>
            <xdr:cNvPr id="59978" name="Option Button 586" hidden="1">
              <a:extLst>
                <a:ext uri="{63B3BB69-23CF-44E3-9099-C40C66FF867C}">
                  <a14:compatExt spid="_x0000_s59978"/>
                </a:ext>
                <a:ext uri="{FF2B5EF4-FFF2-40B4-BE49-F238E27FC236}">
                  <a16:creationId xmlns:a16="http://schemas.microsoft.com/office/drawing/2014/main" id="{00000000-0008-0000-0D00-00004A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195</xdr:row>
          <xdr:rowOff>95250</xdr:rowOff>
        </xdr:from>
        <xdr:to>
          <xdr:col>10</xdr:col>
          <xdr:colOff>485775</xdr:colOff>
          <xdr:row>195</xdr:row>
          <xdr:rowOff>304800</xdr:rowOff>
        </xdr:to>
        <xdr:sp macro="" textlink="">
          <xdr:nvSpPr>
            <xdr:cNvPr id="59979" name="Option Button 587" hidden="1">
              <a:extLst>
                <a:ext uri="{63B3BB69-23CF-44E3-9099-C40C66FF867C}">
                  <a14:compatExt spid="_x0000_s59979"/>
                </a:ext>
                <a:ext uri="{FF2B5EF4-FFF2-40B4-BE49-F238E27FC236}">
                  <a16:creationId xmlns:a16="http://schemas.microsoft.com/office/drawing/2014/main" id="{00000000-0008-0000-0D00-00004B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195</xdr:row>
          <xdr:rowOff>76200</xdr:rowOff>
        </xdr:from>
        <xdr:to>
          <xdr:col>10</xdr:col>
          <xdr:colOff>647700</xdr:colOff>
          <xdr:row>195</xdr:row>
          <xdr:rowOff>323850</xdr:rowOff>
        </xdr:to>
        <xdr:sp macro="" textlink="">
          <xdr:nvSpPr>
            <xdr:cNvPr id="59980" name="Group Box 588" hidden="1">
              <a:extLst>
                <a:ext uri="{63B3BB69-23CF-44E3-9099-C40C66FF867C}">
                  <a14:compatExt spid="_x0000_s59980"/>
                </a:ext>
                <a:ext uri="{FF2B5EF4-FFF2-40B4-BE49-F238E27FC236}">
                  <a16:creationId xmlns:a16="http://schemas.microsoft.com/office/drawing/2014/main" id="{00000000-0008-0000-0D00-00004C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196</xdr:row>
          <xdr:rowOff>228600</xdr:rowOff>
        </xdr:from>
        <xdr:to>
          <xdr:col>12</xdr:col>
          <xdr:colOff>323850</xdr:colOff>
          <xdr:row>196</xdr:row>
          <xdr:rowOff>495300</xdr:rowOff>
        </xdr:to>
        <xdr:sp macro="" textlink="">
          <xdr:nvSpPr>
            <xdr:cNvPr id="59981" name="Check Box 589" hidden="1">
              <a:extLst>
                <a:ext uri="{63B3BB69-23CF-44E3-9099-C40C66FF867C}">
                  <a14:compatExt spid="_x0000_s59981"/>
                </a:ext>
                <a:ext uri="{FF2B5EF4-FFF2-40B4-BE49-F238E27FC236}">
                  <a16:creationId xmlns:a16="http://schemas.microsoft.com/office/drawing/2014/main" id="{00000000-0008-0000-0D00-00004D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196</xdr:row>
          <xdr:rowOff>228600</xdr:rowOff>
        </xdr:from>
        <xdr:to>
          <xdr:col>8</xdr:col>
          <xdr:colOff>485775</xdr:colOff>
          <xdr:row>196</xdr:row>
          <xdr:rowOff>438150</xdr:rowOff>
        </xdr:to>
        <xdr:sp macro="" textlink="">
          <xdr:nvSpPr>
            <xdr:cNvPr id="59986" name="Option Button 594" hidden="1">
              <a:extLst>
                <a:ext uri="{63B3BB69-23CF-44E3-9099-C40C66FF867C}">
                  <a14:compatExt spid="_x0000_s59986"/>
                </a:ext>
                <a:ext uri="{FF2B5EF4-FFF2-40B4-BE49-F238E27FC236}">
                  <a16:creationId xmlns:a16="http://schemas.microsoft.com/office/drawing/2014/main" id="{00000000-0008-0000-0D00-000052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196</xdr:row>
          <xdr:rowOff>228600</xdr:rowOff>
        </xdr:from>
        <xdr:to>
          <xdr:col>9</xdr:col>
          <xdr:colOff>485775</xdr:colOff>
          <xdr:row>196</xdr:row>
          <xdr:rowOff>438150</xdr:rowOff>
        </xdr:to>
        <xdr:sp macro="" textlink="">
          <xdr:nvSpPr>
            <xdr:cNvPr id="59987" name="Option Button 595" hidden="1">
              <a:extLst>
                <a:ext uri="{63B3BB69-23CF-44E3-9099-C40C66FF867C}">
                  <a14:compatExt spid="_x0000_s59987"/>
                </a:ext>
                <a:ext uri="{FF2B5EF4-FFF2-40B4-BE49-F238E27FC236}">
                  <a16:creationId xmlns:a16="http://schemas.microsoft.com/office/drawing/2014/main" id="{00000000-0008-0000-0D00-000053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196</xdr:row>
          <xdr:rowOff>228600</xdr:rowOff>
        </xdr:from>
        <xdr:to>
          <xdr:col>10</xdr:col>
          <xdr:colOff>485775</xdr:colOff>
          <xdr:row>196</xdr:row>
          <xdr:rowOff>438150</xdr:rowOff>
        </xdr:to>
        <xdr:sp macro="" textlink="">
          <xdr:nvSpPr>
            <xdr:cNvPr id="59988" name="Option Button 596" hidden="1">
              <a:extLst>
                <a:ext uri="{63B3BB69-23CF-44E3-9099-C40C66FF867C}">
                  <a14:compatExt spid="_x0000_s59988"/>
                </a:ext>
                <a:ext uri="{FF2B5EF4-FFF2-40B4-BE49-F238E27FC236}">
                  <a16:creationId xmlns:a16="http://schemas.microsoft.com/office/drawing/2014/main" id="{00000000-0008-0000-0D00-000054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196</xdr:row>
          <xdr:rowOff>209550</xdr:rowOff>
        </xdr:from>
        <xdr:to>
          <xdr:col>10</xdr:col>
          <xdr:colOff>647700</xdr:colOff>
          <xdr:row>196</xdr:row>
          <xdr:rowOff>457200</xdr:rowOff>
        </xdr:to>
        <xdr:sp macro="" textlink="">
          <xdr:nvSpPr>
            <xdr:cNvPr id="59989" name="Group Box 597" hidden="1">
              <a:extLst>
                <a:ext uri="{63B3BB69-23CF-44E3-9099-C40C66FF867C}">
                  <a14:compatExt spid="_x0000_s59989"/>
                </a:ext>
                <a:ext uri="{FF2B5EF4-FFF2-40B4-BE49-F238E27FC236}">
                  <a16:creationId xmlns:a16="http://schemas.microsoft.com/office/drawing/2014/main" id="{00000000-0008-0000-0D00-000055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194</xdr:row>
          <xdr:rowOff>304800</xdr:rowOff>
        </xdr:from>
        <xdr:to>
          <xdr:col>8</xdr:col>
          <xdr:colOff>485775</xdr:colOff>
          <xdr:row>194</xdr:row>
          <xdr:rowOff>514350</xdr:rowOff>
        </xdr:to>
        <xdr:sp macro="" textlink="">
          <xdr:nvSpPr>
            <xdr:cNvPr id="59990" name="Option Button 598" hidden="1">
              <a:extLst>
                <a:ext uri="{63B3BB69-23CF-44E3-9099-C40C66FF867C}">
                  <a14:compatExt spid="_x0000_s59990"/>
                </a:ext>
                <a:ext uri="{FF2B5EF4-FFF2-40B4-BE49-F238E27FC236}">
                  <a16:creationId xmlns:a16="http://schemas.microsoft.com/office/drawing/2014/main" id="{00000000-0008-0000-0D00-000056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194</xdr:row>
          <xdr:rowOff>304800</xdr:rowOff>
        </xdr:from>
        <xdr:to>
          <xdr:col>9</xdr:col>
          <xdr:colOff>485775</xdr:colOff>
          <xdr:row>194</xdr:row>
          <xdr:rowOff>514350</xdr:rowOff>
        </xdr:to>
        <xdr:sp macro="" textlink="">
          <xdr:nvSpPr>
            <xdr:cNvPr id="59991" name="Option Button 599" hidden="1">
              <a:extLst>
                <a:ext uri="{63B3BB69-23CF-44E3-9099-C40C66FF867C}">
                  <a14:compatExt spid="_x0000_s59991"/>
                </a:ext>
                <a:ext uri="{FF2B5EF4-FFF2-40B4-BE49-F238E27FC236}">
                  <a16:creationId xmlns:a16="http://schemas.microsoft.com/office/drawing/2014/main" id="{00000000-0008-0000-0D00-000057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194</xdr:row>
          <xdr:rowOff>304800</xdr:rowOff>
        </xdr:from>
        <xdr:to>
          <xdr:col>10</xdr:col>
          <xdr:colOff>485775</xdr:colOff>
          <xdr:row>194</xdr:row>
          <xdr:rowOff>514350</xdr:rowOff>
        </xdr:to>
        <xdr:sp macro="" textlink="">
          <xdr:nvSpPr>
            <xdr:cNvPr id="59992" name="Option Button 600" hidden="1">
              <a:extLst>
                <a:ext uri="{63B3BB69-23CF-44E3-9099-C40C66FF867C}">
                  <a14:compatExt spid="_x0000_s59992"/>
                </a:ext>
                <a:ext uri="{FF2B5EF4-FFF2-40B4-BE49-F238E27FC236}">
                  <a16:creationId xmlns:a16="http://schemas.microsoft.com/office/drawing/2014/main" id="{00000000-0008-0000-0D00-000058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194</xdr:row>
          <xdr:rowOff>285750</xdr:rowOff>
        </xdr:from>
        <xdr:to>
          <xdr:col>10</xdr:col>
          <xdr:colOff>647700</xdr:colOff>
          <xdr:row>194</xdr:row>
          <xdr:rowOff>533400</xdr:rowOff>
        </xdr:to>
        <xdr:sp macro="" textlink="">
          <xdr:nvSpPr>
            <xdr:cNvPr id="59993" name="Group Box 601" hidden="1">
              <a:extLst>
                <a:ext uri="{63B3BB69-23CF-44E3-9099-C40C66FF867C}">
                  <a14:compatExt spid="_x0000_s59993"/>
                </a:ext>
                <a:ext uri="{FF2B5EF4-FFF2-40B4-BE49-F238E27FC236}">
                  <a16:creationId xmlns:a16="http://schemas.microsoft.com/office/drawing/2014/main" id="{00000000-0008-0000-0D00-000059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193</xdr:row>
          <xdr:rowOff>571500</xdr:rowOff>
        </xdr:from>
        <xdr:to>
          <xdr:col>10</xdr:col>
          <xdr:colOff>647700</xdr:colOff>
          <xdr:row>194</xdr:row>
          <xdr:rowOff>247650</xdr:rowOff>
        </xdr:to>
        <xdr:sp macro="" textlink="">
          <xdr:nvSpPr>
            <xdr:cNvPr id="59997" name="Group Box 605" hidden="1">
              <a:extLst>
                <a:ext uri="{63B3BB69-23CF-44E3-9099-C40C66FF867C}">
                  <a14:compatExt spid="_x0000_s59997"/>
                </a:ext>
                <a:ext uri="{FF2B5EF4-FFF2-40B4-BE49-F238E27FC236}">
                  <a16:creationId xmlns:a16="http://schemas.microsoft.com/office/drawing/2014/main" id="{00000000-0008-0000-0D00-00005D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190</xdr:row>
          <xdr:rowOff>409575</xdr:rowOff>
        </xdr:from>
        <xdr:to>
          <xdr:col>10</xdr:col>
          <xdr:colOff>647700</xdr:colOff>
          <xdr:row>191</xdr:row>
          <xdr:rowOff>247650</xdr:rowOff>
        </xdr:to>
        <xdr:sp macro="" textlink="">
          <xdr:nvSpPr>
            <xdr:cNvPr id="60001" name="Group Box 609" hidden="1">
              <a:extLst>
                <a:ext uri="{63B3BB69-23CF-44E3-9099-C40C66FF867C}">
                  <a14:compatExt spid="_x0000_s60001"/>
                </a:ext>
                <a:ext uri="{FF2B5EF4-FFF2-40B4-BE49-F238E27FC236}">
                  <a16:creationId xmlns:a16="http://schemas.microsoft.com/office/drawing/2014/main" id="{00000000-0008-0000-0D00-000061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171</xdr:row>
          <xdr:rowOff>800100</xdr:rowOff>
        </xdr:from>
        <xdr:to>
          <xdr:col>8</xdr:col>
          <xdr:colOff>485775</xdr:colOff>
          <xdr:row>171</xdr:row>
          <xdr:rowOff>1009650</xdr:rowOff>
        </xdr:to>
        <xdr:sp macro="" textlink="">
          <xdr:nvSpPr>
            <xdr:cNvPr id="60002" name="Option Button 610" hidden="1">
              <a:extLst>
                <a:ext uri="{63B3BB69-23CF-44E3-9099-C40C66FF867C}">
                  <a14:compatExt spid="_x0000_s60002"/>
                </a:ext>
                <a:ext uri="{FF2B5EF4-FFF2-40B4-BE49-F238E27FC236}">
                  <a16:creationId xmlns:a16="http://schemas.microsoft.com/office/drawing/2014/main" id="{00000000-0008-0000-0D00-000062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171</xdr:row>
          <xdr:rowOff>800100</xdr:rowOff>
        </xdr:from>
        <xdr:to>
          <xdr:col>9</xdr:col>
          <xdr:colOff>485775</xdr:colOff>
          <xdr:row>171</xdr:row>
          <xdr:rowOff>1009650</xdr:rowOff>
        </xdr:to>
        <xdr:sp macro="" textlink="">
          <xdr:nvSpPr>
            <xdr:cNvPr id="60003" name="Option Button 611" hidden="1">
              <a:extLst>
                <a:ext uri="{63B3BB69-23CF-44E3-9099-C40C66FF867C}">
                  <a14:compatExt spid="_x0000_s60003"/>
                </a:ext>
                <a:ext uri="{FF2B5EF4-FFF2-40B4-BE49-F238E27FC236}">
                  <a16:creationId xmlns:a16="http://schemas.microsoft.com/office/drawing/2014/main" id="{00000000-0008-0000-0D00-000063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171</xdr:row>
          <xdr:rowOff>800100</xdr:rowOff>
        </xdr:from>
        <xdr:to>
          <xdr:col>10</xdr:col>
          <xdr:colOff>485775</xdr:colOff>
          <xdr:row>171</xdr:row>
          <xdr:rowOff>1009650</xdr:rowOff>
        </xdr:to>
        <xdr:sp macro="" textlink="">
          <xdr:nvSpPr>
            <xdr:cNvPr id="60004" name="Option Button 612" hidden="1">
              <a:extLst>
                <a:ext uri="{63B3BB69-23CF-44E3-9099-C40C66FF867C}">
                  <a14:compatExt spid="_x0000_s60004"/>
                </a:ext>
                <a:ext uri="{FF2B5EF4-FFF2-40B4-BE49-F238E27FC236}">
                  <a16:creationId xmlns:a16="http://schemas.microsoft.com/office/drawing/2014/main" id="{00000000-0008-0000-0D00-000064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171</xdr:row>
          <xdr:rowOff>781050</xdr:rowOff>
        </xdr:from>
        <xdr:to>
          <xdr:col>10</xdr:col>
          <xdr:colOff>647700</xdr:colOff>
          <xdr:row>171</xdr:row>
          <xdr:rowOff>1028700</xdr:rowOff>
        </xdr:to>
        <xdr:sp macro="" textlink="">
          <xdr:nvSpPr>
            <xdr:cNvPr id="60005" name="Group Box 613" hidden="1">
              <a:extLst>
                <a:ext uri="{63B3BB69-23CF-44E3-9099-C40C66FF867C}">
                  <a14:compatExt spid="_x0000_s60005"/>
                </a:ext>
                <a:ext uri="{FF2B5EF4-FFF2-40B4-BE49-F238E27FC236}">
                  <a16:creationId xmlns:a16="http://schemas.microsoft.com/office/drawing/2014/main" id="{00000000-0008-0000-0D00-000065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168</xdr:row>
          <xdr:rowOff>514350</xdr:rowOff>
        </xdr:from>
        <xdr:to>
          <xdr:col>8</xdr:col>
          <xdr:colOff>485775</xdr:colOff>
          <xdr:row>168</xdr:row>
          <xdr:rowOff>723900</xdr:rowOff>
        </xdr:to>
        <xdr:sp macro="" textlink="">
          <xdr:nvSpPr>
            <xdr:cNvPr id="60006" name="Option Button 614" hidden="1">
              <a:extLst>
                <a:ext uri="{63B3BB69-23CF-44E3-9099-C40C66FF867C}">
                  <a14:compatExt spid="_x0000_s60006"/>
                </a:ext>
                <a:ext uri="{FF2B5EF4-FFF2-40B4-BE49-F238E27FC236}">
                  <a16:creationId xmlns:a16="http://schemas.microsoft.com/office/drawing/2014/main" id="{00000000-0008-0000-0D00-000066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168</xdr:row>
          <xdr:rowOff>514350</xdr:rowOff>
        </xdr:from>
        <xdr:to>
          <xdr:col>9</xdr:col>
          <xdr:colOff>485775</xdr:colOff>
          <xdr:row>168</xdr:row>
          <xdr:rowOff>723900</xdr:rowOff>
        </xdr:to>
        <xdr:sp macro="" textlink="">
          <xdr:nvSpPr>
            <xdr:cNvPr id="60007" name="Option Button 615" hidden="1">
              <a:extLst>
                <a:ext uri="{63B3BB69-23CF-44E3-9099-C40C66FF867C}">
                  <a14:compatExt spid="_x0000_s60007"/>
                </a:ext>
                <a:ext uri="{FF2B5EF4-FFF2-40B4-BE49-F238E27FC236}">
                  <a16:creationId xmlns:a16="http://schemas.microsoft.com/office/drawing/2014/main" id="{00000000-0008-0000-0D00-000067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168</xdr:row>
          <xdr:rowOff>514350</xdr:rowOff>
        </xdr:from>
        <xdr:to>
          <xdr:col>10</xdr:col>
          <xdr:colOff>485775</xdr:colOff>
          <xdr:row>168</xdr:row>
          <xdr:rowOff>723900</xdr:rowOff>
        </xdr:to>
        <xdr:sp macro="" textlink="">
          <xdr:nvSpPr>
            <xdr:cNvPr id="60008" name="Option Button 616" hidden="1">
              <a:extLst>
                <a:ext uri="{63B3BB69-23CF-44E3-9099-C40C66FF867C}">
                  <a14:compatExt spid="_x0000_s60008"/>
                </a:ext>
                <a:ext uri="{FF2B5EF4-FFF2-40B4-BE49-F238E27FC236}">
                  <a16:creationId xmlns:a16="http://schemas.microsoft.com/office/drawing/2014/main" id="{00000000-0008-0000-0D00-000068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168</xdr:row>
          <xdr:rowOff>276225</xdr:rowOff>
        </xdr:from>
        <xdr:to>
          <xdr:col>10</xdr:col>
          <xdr:colOff>647700</xdr:colOff>
          <xdr:row>168</xdr:row>
          <xdr:rowOff>523875</xdr:rowOff>
        </xdr:to>
        <xdr:sp macro="" textlink="">
          <xdr:nvSpPr>
            <xdr:cNvPr id="60009" name="Group Box 617" hidden="1">
              <a:extLst>
                <a:ext uri="{63B3BB69-23CF-44E3-9099-C40C66FF867C}">
                  <a14:compatExt spid="_x0000_s60009"/>
                </a:ext>
                <a:ext uri="{FF2B5EF4-FFF2-40B4-BE49-F238E27FC236}">
                  <a16:creationId xmlns:a16="http://schemas.microsoft.com/office/drawing/2014/main" id="{00000000-0008-0000-0D00-000069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107</xdr:row>
          <xdr:rowOff>466725</xdr:rowOff>
        </xdr:from>
        <xdr:to>
          <xdr:col>8</xdr:col>
          <xdr:colOff>485775</xdr:colOff>
          <xdr:row>107</xdr:row>
          <xdr:rowOff>676275</xdr:rowOff>
        </xdr:to>
        <xdr:sp macro="" textlink="">
          <xdr:nvSpPr>
            <xdr:cNvPr id="60010" name="Option Button 618" hidden="1">
              <a:extLst>
                <a:ext uri="{63B3BB69-23CF-44E3-9099-C40C66FF867C}">
                  <a14:compatExt spid="_x0000_s60010"/>
                </a:ext>
                <a:ext uri="{FF2B5EF4-FFF2-40B4-BE49-F238E27FC236}">
                  <a16:creationId xmlns:a16="http://schemas.microsoft.com/office/drawing/2014/main" id="{00000000-0008-0000-0D00-00006A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107</xdr:row>
          <xdr:rowOff>466725</xdr:rowOff>
        </xdr:from>
        <xdr:to>
          <xdr:col>9</xdr:col>
          <xdr:colOff>485775</xdr:colOff>
          <xdr:row>107</xdr:row>
          <xdr:rowOff>676275</xdr:rowOff>
        </xdr:to>
        <xdr:sp macro="" textlink="">
          <xdr:nvSpPr>
            <xdr:cNvPr id="60011" name="Option Button 619" hidden="1">
              <a:extLst>
                <a:ext uri="{63B3BB69-23CF-44E3-9099-C40C66FF867C}">
                  <a14:compatExt spid="_x0000_s60011"/>
                </a:ext>
                <a:ext uri="{FF2B5EF4-FFF2-40B4-BE49-F238E27FC236}">
                  <a16:creationId xmlns:a16="http://schemas.microsoft.com/office/drawing/2014/main" id="{00000000-0008-0000-0D00-00006B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107</xdr:row>
          <xdr:rowOff>466725</xdr:rowOff>
        </xdr:from>
        <xdr:to>
          <xdr:col>10</xdr:col>
          <xdr:colOff>485775</xdr:colOff>
          <xdr:row>107</xdr:row>
          <xdr:rowOff>676275</xdr:rowOff>
        </xdr:to>
        <xdr:sp macro="" textlink="">
          <xdr:nvSpPr>
            <xdr:cNvPr id="60012" name="Option Button 620" hidden="1">
              <a:extLst>
                <a:ext uri="{63B3BB69-23CF-44E3-9099-C40C66FF867C}">
                  <a14:compatExt spid="_x0000_s60012"/>
                </a:ext>
                <a:ext uri="{FF2B5EF4-FFF2-40B4-BE49-F238E27FC236}">
                  <a16:creationId xmlns:a16="http://schemas.microsoft.com/office/drawing/2014/main" id="{00000000-0008-0000-0D00-00006C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107</xdr:row>
          <xdr:rowOff>447675</xdr:rowOff>
        </xdr:from>
        <xdr:to>
          <xdr:col>10</xdr:col>
          <xdr:colOff>647700</xdr:colOff>
          <xdr:row>107</xdr:row>
          <xdr:rowOff>695325</xdr:rowOff>
        </xdr:to>
        <xdr:sp macro="" textlink="">
          <xdr:nvSpPr>
            <xdr:cNvPr id="60013" name="Group Box 621" hidden="1">
              <a:extLst>
                <a:ext uri="{63B3BB69-23CF-44E3-9099-C40C66FF867C}">
                  <a14:compatExt spid="_x0000_s60013"/>
                </a:ext>
                <a:ext uri="{FF2B5EF4-FFF2-40B4-BE49-F238E27FC236}">
                  <a16:creationId xmlns:a16="http://schemas.microsoft.com/office/drawing/2014/main" id="{00000000-0008-0000-0D00-00006D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50</xdr:row>
          <xdr:rowOff>333375</xdr:rowOff>
        </xdr:from>
        <xdr:to>
          <xdr:col>11</xdr:col>
          <xdr:colOff>104775</xdr:colOff>
          <xdr:row>50</xdr:row>
          <xdr:rowOff>590550</xdr:rowOff>
        </xdr:to>
        <xdr:sp macro="" textlink="">
          <xdr:nvSpPr>
            <xdr:cNvPr id="60014" name="Group Box 622" hidden="1">
              <a:extLst>
                <a:ext uri="{63B3BB69-23CF-44E3-9099-C40C66FF867C}">
                  <a14:compatExt spid="_x0000_s60014"/>
                </a:ext>
                <a:ext uri="{FF2B5EF4-FFF2-40B4-BE49-F238E27FC236}">
                  <a16:creationId xmlns:a16="http://schemas.microsoft.com/office/drawing/2014/main" id="{00000000-0008-0000-0D00-00006E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aaaa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187</xdr:row>
          <xdr:rowOff>66675</xdr:rowOff>
        </xdr:from>
        <xdr:to>
          <xdr:col>12</xdr:col>
          <xdr:colOff>333375</xdr:colOff>
          <xdr:row>187</xdr:row>
          <xdr:rowOff>333375</xdr:rowOff>
        </xdr:to>
        <xdr:sp macro="" textlink="">
          <xdr:nvSpPr>
            <xdr:cNvPr id="60015" name="Check Box 623" hidden="1">
              <a:extLst>
                <a:ext uri="{63B3BB69-23CF-44E3-9099-C40C66FF867C}">
                  <a14:compatExt spid="_x0000_s60015"/>
                </a:ext>
                <a:ext uri="{FF2B5EF4-FFF2-40B4-BE49-F238E27FC236}">
                  <a16:creationId xmlns:a16="http://schemas.microsoft.com/office/drawing/2014/main" id="{00000000-0008-0000-0D00-00006F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136</xdr:row>
          <xdr:rowOff>66675</xdr:rowOff>
        </xdr:from>
        <xdr:to>
          <xdr:col>12</xdr:col>
          <xdr:colOff>323850</xdr:colOff>
          <xdr:row>136</xdr:row>
          <xdr:rowOff>323850</xdr:rowOff>
        </xdr:to>
        <xdr:sp macro="" textlink="">
          <xdr:nvSpPr>
            <xdr:cNvPr id="60017" name="Check Box 625" hidden="1">
              <a:extLst>
                <a:ext uri="{63B3BB69-23CF-44E3-9099-C40C66FF867C}">
                  <a14:compatExt spid="_x0000_s60017"/>
                </a:ext>
                <a:ext uri="{FF2B5EF4-FFF2-40B4-BE49-F238E27FC236}">
                  <a16:creationId xmlns:a16="http://schemas.microsoft.com/office/drawing/2014/main" id="{00000000-0008-0000-0D00-000071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191</xdr:row>
          <xdr:rowOff>57150</xdr:rowOff>
        </xdr:from>
        <xdr:to>
          <xdr:col>12</xdr:col>
          <xdr:colOff>323850</xdr:colOff>
          <xdr:row>191</xdr:row>
          <xdr:rowOff>323850</xdr:rowOff>
        </xdr:to>
        <xdr:sp macro="" textlink="">
          <xdr:nvSpPr>
            <xdr:cNvPr id="60021" name="Check Box 629" hidden="1">
              <a:extLst>
                <a:ext uri="{63B3BB69-23CF-44E3-9099-C40C66FF867C}">
                  <a14:compatExt spid="_x0000_s60021"/>
                </a:ext>
                <a:ext uri="{FF2B5EF4-FFF2-40B4-BE49-F238E27FC236}">
                  <a16:creationId xmlns:a16="http://schemas.microsoft.com/office/drawing/2014/main" id="{00000000-0008-0000-0D00-000075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98</xdr:row>
          <xdr:rowOff>333375</xdr:rowOff>
        </xdr:from>
        <xdr:to>
          <xdr:col>8</xdr:col>
          <xdr:colOff>485775</xdr:colOff>
          <xdr:row>98</xdr:row>
          <xdr:rowOff>542925</xdr:rowOff>
        </xdr:to>
        <xdr:sp macro="" textlink="">
          <xdr:nvSpPr>
            <xdr:cNvPr id="60029" name="Option Button 637" hidden="1">
              <a:extLst>
                <a:ext uri="{63B3BB69-23CF-44E3-9099-C40C66FF867C}">
                  <a14:compatExt spid="_x0000_s60029"/>
                </a:ext>
                <a:ext uri="{FF2B5EF4-FFF2-40B4-BE49-F238E27FC236}">
                  <a16:creationId xmlns:a16="http://schemas.microsoft.com/office/drawing/2014/main" id="{00000000-0008-0000-0D00-00007D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98</xdr:row>
          <xdr:rowOff>333375</xdr:rowOff>
        </xdr:from>
        <xdr:to>
          <xdr:col>9</xdr:col>
          <xdr:colOff>485775</xdr:colOff>
          <xdr:row>98</xdr:row>
          <xdr:rowOff>542925</xdr:rowOff>
        </xdr:to>
        <xdr:sp macro="" textlink="">
          <xdr:nvSpPr>
            <xdr:cNvPr id="60030" name="Option Button 638" hidden="1">
              <a:extLst>
                <a:ext uri="{63B3BB69-23CF-44E3-9099-C40C66FF867C}">
                  <a14:compatExt spid="_x0000_s60030"/>
                </a:ext>
                <a:ext uri="{FF2B5EF4-FFF2-40B4-BE49-F238E27FC236}">
                  <a16:creationId xmlns:a16="http://schemas.microsoft.com/office/drawing/2014/main" id="{00000000-0008-0000-0D00-00007E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98</xdr:row>
          <xdr:rowOff>333375</xdr:rowOff>
        </xdr:from>
        <xdr:to>
          <xdr:col>10</xdr:col>
          <xdr:colOff>485775</xdr:colOff>
          <xdr:row>98</xdr:row>
          <xdr:rowOff>542925</xdr:rowOff>
        </xdr:to>
        <xdr:sp macro="" textlink="">
          <xdr:nvSpPr>
            <xdr:cNvPr id="60031" name="Option Button 639" hidden="1">
              <a:extLst>
                <a:ext uri="{63B3BB69-23CF-44E3-9099-C40C66FF867C}">
                  <a14:compatExt spid="_x0000_s60031"/>
                </a:ext>
                <a:ext uri="{FF2B5EF4-FFF2-40B4-BE49-F238E27FC236}">
                  <a16:creationId xmlns:a16="http://schemas.microsoft.com/office/drawing/2014/main" id="{00000000-0008-0000-0D00-00007F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98</xdr:row>
          <xdr:rowOff>314325</xdr:rowOff>
        </xdr:from>
        <xdr:to>
          <xdr:col>10</xdr:col>
          <xdr:colOff>647700</xdr:colOff>
          <xdr:row>98</xdr:row>
          <xdr:rowOff>561975</xdr:rowOff>
        </xdr:to>
        <xdr:sp macro="" textlink="">
          <xdr:nvSpPr>
            <xdr:cNvPr id="60032" name="Group Box 640" hidden="1">
              <a:extLst>
                <a:ext uri="{63B3BB69-23CF-44E3-9099-C40C66FF867C}">
                  <a14:compatExt spid="_x0000_s60032"/>
                </a:ext>
                <a:ext uri="{FF2B5EF4-FFF2-40B4-BE49-F238E27FC236}">
                  <a16:creationId xmlns:a16="http://schemas.microsoft.com/office/drawing/2014/main" id="{00000000-0008-0000-0D00-000080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90</xdr:row>
          <xdr:rowOff>390525</xdr:rowOff>
        </xdr:from>
        <xdr:to>
          <xdr:col>8</xdr:col>
          <xdr:colOff>485775</xdr:colOff>
          <xdr:row>90</xdr:row>
          <xdr:rowOff>600075</xdr:rowOff>
        </xdr:to>
        <xdr:sp macro="" textlink="">
          <xdr:nvSpPr>
            <xdr:cNvPr id="60033" name="Option Button 641" hidden="1">
              <a:extLst>
                <a:ext uri="{63B3BB69-23CF-44E3-9099-C40C66FF867C}">
                  <a14:compatExt spid="_x0000_s60033"/>
                </a:ext>
                <a:ext uri="{FF2B5EF4-FFF2-40B4-BE49-F238E27FC236}">
                  <a16:creationId xmlns:a16="http://schemas.microsoft.com/office/drawing/2014/main" id="{00000000-0008-0000-0D00-000081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90</xdr:row>
          <xdr:rowOff>390525</xdr:rowOff>
        </xdr:from>
        <xdr:to>
          <xdr:col>9</xdr:col>
          <xdr:colOff>485775</xdr:colOff>
          <xdr:row>90</xdr:row>
          <xdr:rowOff>600075</xdr:rowOff>
        </xdr:to>
        <xdr:sp macro="" textlink="">
          <xdr:nvSpPr>
            <xdr:cNvPr id="60034" name="Option Button 642" hidden="1">
              <a:extLst>
                <a:ext uri="{63B3BB69-23CF-44E3-9099-C40C66FF867C}">
                  <a14:compatExt spid="_x0000_s60034"/>
                </a:ext>
                <a:ext uri="{FF2B5EF4-FFF2-40B4-BE49-F238E27FC236}">
                  <a16:creationId xmlns:a16="http://schemas.microsoft.com/office/drawing/2014/main" id="{00000000-0008-0000-0D00-000082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90</xdr:row>
          <xdr:rowOff>390525</xdr:rowOff>
        </xdr:from>
        <xdr:to>
          <xdr:col>10</xdr:col>
          <xdr:colOff>485775</xdr:colOff>
          <xdr:row>90</xdr:row>
          <xdr:rowOff>600075</xdr:rowOff>
        </xdr:to>
        <xdr:sp macro="" textlink="">
          <xdr:nvSpPr>
            <xdr:cNvPr id="60035" name="Option Button 643" hidden="1">
              <a:extLst>
                <a:ext uri="{63B3BB69-23CF-44E3-9099-C40C66FF867C}">
                  <a14:compatExt spid="_x0000_s60035"/>
                </a:ext>
                <a:ext uri="{FF2B5EF4-FFF2-40B4-BE49-F238E27FC236}">
                  <a16:creationId xmlns:a16="http://schemas.microsoft.com/office/drawing/2014/main" id="{00000000-0008-0000-0D00-000083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90</xdr:row>
          <xdr:rowOff>371475</xdr:rowOff>
        </xdr:from>
        <xdr:to>
          <xdr:col>10</xdr:col>
          <xdr:colOff>647700</xdr:colOff>
          <xdr:row>90</xdr:row>
          <xdr:rowOff>619125</xdr:rowOff>
        </xdr:to>
        <xdr:sp macro="" textlink="">
          <xdr:nvSpPr>
            <xdr:cNvPr id="60036" name="Group Box 644" hidden="1">
              <a:extLst>
                <a:ext uri="{63B3BB69-23CF-44E3-9099-C40C66FF867C}">
                  <a14:compatExt spid="_x0000_s60036"/>
                </a:ext>
                <a:ext uri="{FF2B5EF4-FFF2-40B4-BE49-F238E27FC236}">
                  <a16:creationId xmlns:a16="http://schemas.microsoft.com/office/drawing/2014/main" id="{00000000-0008-0000-0D00-000084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63</xdr:row>
          <xdr:rowOff>95250</xdr:rowOff>
        </xdr:from>
        <xdr:to>
          <xdr:col>8</xdr:col>
          <xdr:colOff>485775</xdr:colOff>
          <xdr:row>63</xdr:row>
          <xdr:rowOff>304800</xdr:rowOff>
        </xdr:to>
        <xdr:sp macro="" textlink="">
          <xdr:nvSpPr>
            <xdr:cNvPr id="60037" name="Option Button 645" hidden="1">
              <a:extLst>
                <a:ext uri="{63B3BB69-23CF-44E3-9099-C40C66FF867C}">
                  <a14:compatExt spid="_x0000_s60037"/>
                </a:ext>
                <a:ext uri="{FF2B5EF4-FFF2-40B4-BE49-F238E27FC236}">
                  <a16:creationId xmlns:a16="http://schemas.microsoft.com/office/drawing/2014/main" id="{00000000-0008-0000-0D00-000085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63</xdr:row>
          <xdr:rowOff>95250</xdr:rowOff>
        </xdr:from>
        <xdr:to>
          <xdr:col>9</xdr:col>
          <xdr:colOff>485775</xdr:colOff>
          <xdr:row>63</xdr:row>
          <xdr:rowOff>304800</xdr:rowOff>
        </xdr:to>
        <xdr:sp macro="" textlink="">
          <xdr:nvSpPr>
            <xdr:cNvPr id="60038" name="Option Button 646" hidden="1">
              <a:extLst>
                <a:ext uri="{63B3BB69-23CF-44E3-9099-C40C66FF867C}">
                  <a14:compatExt spid="_x0000_s60038"/>
                </a:ext>
                <a:ext uri="{FF2B5EF4-FFF2-40B4-BE49-F238E27FC236}">
                  <a16:creationId xmlns:a16="http://schemas.microsoft.com/office/drawing/2014/main" id="{00000000-0008-0000-0D00-000086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63</xdr:row>
          <xdr:rowOff>95250</xdr:rowOff>
        </xdr:from>
        <xdr:to>
          <xdr:col>10</xdr:col>
          <xdr:colOff>485775</xdr:colOff>
          <xdr:row>63</xdr:row>
          <xdr:rowOff>304800</xdr:rowOff>
        </xdr:to>
        <xdr:sp macro="" textlink="">
          <xdr:nvSpPr>
            <xdr:cNvPr id="60039" name="Option Button 647" hidden="1">
              <a:extLst>
                <a:ext uri="{63B3BB69-23CF-44E3-9099-C40C66FF867C}">
                  <a14:compatExt spid="_x0000_s60039"/>
                </a:ext>
                <a:ext uri="{FF2B5EF4-FFF2-40B4-BE49-F238E27FC236}">
                  <a16:creationId xmlns:a16="http://schemas.microsoft.com/office/drawing/2014/main" id="{00000000-0008-0000-0D00-000087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63</xdr:row>
          <xdr:rowOff>76200</xdr:rowOff>
        </xdr:from>
        <xdr:to>
          <xdr:col>10</xdr:col>
          <xdr:colOff>647700</xdr:colOff>
          <xdr:row>63</xdr:row>
          <xdr:rowOff>323850</xdr:rowOff>
        </xdr:to>
        <xdr:sp macro="" textlink="">
          <xdr:nvSpPr>
            <xdr:cNvPr id="60040" name="Group Box 648" hidden="1">
              <a:extLst>
                <a:ext uri="{63B3BB69-23CF-44E3-9099-C40C66FF867C}">
                  <a14:compatExt spid="_x0000_s60040"/>
                </a:ext>
                <a:ext uri="{FF2B5EF4-FFF2-40B4-BE49-F238E27FC236}">
                  <a16:creationId xmlns:a16="http://schemas.microsoft.com/office/drawing/2014/main" id="{00000000-0008-0000-0D00-000088E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193</xdr:row>
          <xdr:rowOff>57150</xdr:rowOff>
        </xdr:from>
        <xdr:to>
          <xdr:col>12</xdr:col>
          <xdr:colOff>323850</xdr:colOff>
          <xdr:row>193</xdr:row>
          <xdr:rowOff>323850</xdr:rowOff>
        </xdr:to>
        <xdr:sp macro="" textlink="">
          <xdr:nvSpPr>
            <xdr:cNvPr id="60042" name="Check Box 650" hidden="1">
              <a:extLst>
                <a:ext uri="{63B3BB69-23CF-44E3-9099-C40C66FF867C}">
                  <a14:compatExt spid="_x0000_s60042"/>
                </a:ext>
                <a:ext uri="{FF2B5EF4-FFF2-40B4-BE49-F238E27FC236}">
                  <a16:creationId xmlns:a16="http://schemas.microsoft.com/office/drawing/2014/main" id="{00000000-0008-0000-0D00-00008AE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a:extLst>
            <a:ext uri="{FF2B5EF4-FFF2-40B4-BE49-F238E27FC236}">
              <a16:creationId xmlns:a16="http://schemas.microsoft.com/office/drawing/2014/main" id="{00000000-0008-0000-1600-000002100000}"/>
            </a:ext>
          </a:extLst>
        </xdr:cNvPr>
        <xdr:cNvSpPr txBox="1">
          <a:spLocks noChangeArrowheads="1"/>
        </xdr:cNvSpPr>
      </xdr:nvSpPr>
      <xdr:spPr bwMode="auto">
        <a:xfrm>
          <a:off x="4422499" y="104775"/>
          <a:ext cx="7051813" cy="6211128"/>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建築環境総合性能評価システム 　　</a:t>
          </a:r>
          <a:r>
            <a:rPr lang="en-US" altLang="ja-JP" sz="1100" b="0" i="0" u="none" strike="noStrike" baseline="0">
              <a:solidFill>
                <a:sysClr val="windowText" lastClr="000000"/>
              </a:solidFill>
              <a:latin typeface="ＭＳ Ｐゴシック"/>
              <a:ea typeface="ＭＳ Ｐゴシック"/>
            </a:rPr>
            <a:t>CASBEE-</a:t>
          </a:r>
          <a:r>
            <a:rPr lang="ja-JP" altLang="en-US" sz="1100" b="0" i="0" u="none" strike="noStrike" baseline="0">
              <a:solidFill>
                <a:sysClr val="windowText" lastClr="000000"/>
              </a:solidFill>
              <a:latin typeface="ＭＳ Ｐゴシック"/>
              <a:ea typeface="ＭＳ Ｐゴシック"/>
            </a:rPr>
            <a:t>川崎　評価ソフト</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Microsoft Excel 2013</a:t>
          </a:r>
          <a:r>
            <a:rPr lang="ja-JP" altLang="en-US" sz="1100" b="0" i="0" u="none" strike="noStrike" baseline="0">
              <a:solidFill>
                <a:sysClr val="windowText" lastClr="000000"/>
              </a:solidFill>
              <a:latin typeface="ＭＳ Ｐゴシック"/>
              <a:ea typeface="ＭＳ Ｐゴシック"/>
            </a:rPr>
            <a:t>版</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FF0000"/>
              </a:solidFill>
              <a:latin typeface="ＭＳ Ｐゴシック"/>
              <a:ea typeface="ＭＳ Ｐゴシック"/>
            </a:rPr>
            <a:t>CASBEE</a:t>
          </a:r>
          <a:r>
            <a:rPr lang="ja-JP" altLang="en-US" sz="1100" b="0" i="0" u="none" strike="noStrike" baseline="0">
              <a:solidFill>
                <a:srgbClr val="FF0000"/>
              </a:solidFill>
              <a:latin typeface="ＭＳ Ｐゴシック"/>
              <a:ea typeface="ＭＳ Ｐゴシック"/>
            </a:rPr>
            <a:t>川崎</a:t>
          </a:r>
          <a:r>
            <a:rPr lang="en-US" altLang="ja-JP" sz="1100" b="0" i="0" u="none" strike="noStrike" baseline="0">
              <a:solidFill>
                <a:srgbClr val="FF0000"/>
              </a:solidFill>
              <a:latin typeface="ＭＳ Ｐゴシック"/>
              <a:ea typeface="ＭＳ Ｐゴシック"/>
            </a:rPr>
            <a:t>2025(v.1.1)</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rgbClr val="FF0000"/>
              </a:solidFill>
              <a:latin typeface="ＭＳ Ｐゴシック"/>
              <a:ea typeface="ＭＳ Ｐゴシック"/>
            </a:rPr>
            <a:t>2026</a:t>
          </a:r>
          <a:r>
            <a:rPr lang="ja-JP" altLang="en-US" sz="1100" b="0" i="0" u="none" strike="noStrike" baseline="0">
              <a:solidFill>
                <a:srgbClr val="FF0000"/>
              </a:solidFill>
              <a:latin typeface="ＭＳ Ｐゴシック"/>
              <a:ea typeface="ＭＳ Ｐゴシック"/>
            </a:rPr>
            <a:t>年 </a:t>
          </a:r>
          <a:r>
            <a:rPr lang="en-US" altLang="ja-JP" sz="1100" b="0" i="0" u="none" strike="noStrike" baseline="0">
              <a:solidFill>
                <a:srgbClr val="FF0000"/>
              </a:solidFill>
              <a:latin typeface="ＭＳ Ｐゴシック"/>
              <a:ea typeface="ＭＳ Ｐゴシック"/>
            </a:rPr>
            <a:t>1</a:t>
          </a:r>
          <a:r>
            <a:rPr lang="ja-JP" altLang="en-US" sz="1100" b="0" i="0" u="none" strike="noStrike" baseline="0">
              <a:solidFill>
                <a:srgbClr val="FF0000"/>
              </a:solidFill>
              <a:latin typeface="ＭＳ Ｐゴシック"/>
              <a:ea typeface="ＭＳ Ｐゴシック"/>
            </a:rPr>
            <a:t>月発行　（</a:t>
          </a:r>
          <a:r>
            <a:rPr lang="en-US" altLang="ja-JP" sz="1100" b="0" i="0" u="none" strike="noStrike" baseline="0">
              <a:solidFill>
                <a:srgbClr val="FF0000"/>
              </a:solidFill>
              <a:latin typeface="ＭＳ Ｐゴシック"/>
              <a:ea typeface="ＭＳ Ｐゴシック"/>
            </a:rPr>
            <a:t>2006</a:t>
          </a:r>
          <a:r>
            <a:rPr lang="ja-JP" altLang="en-US" sz="1100" b="0" i="0" u="none" strike="noStrike" baseline="0">
              <a:solidFill>
                <a:srgbClr val="FF0000"/>
              </a:solidFill>
              <a:latin typeface="ＭＳ Ｐゴシック"/>
              <a:ea typeface="ＭＳ Ｐゴシック"/>
            </a:rPr>
            <a:t>年 </a:t>
          </a:r>
          <a:r>
            <a:rPr lang="en-US" altLang="ja-JP" sz="1100" b="0" i="0" u="none" strike="noStrike" baseline="0">
              <a:solidFill>
                <a:srgbClr val="FF0000"/>
              </a:solidFill>
              <a:latin typeface="ＭＳ Ｐゴシック"/>
              <a:ea typeface="ＭＳ Ｐゴシック"/>
            </a:rPr>
            <a:t>5</a:t>
          </a:r>
          <a:r>
            <a:rPr lang="ja-JP" altLang="en-US" sz="1100" b="0" i="0" u="none" strike="noStrike" baseline="0">
              <a:solidFill>
                <a:srgbClr val="FF0000"/>
              </a:solidFill>
              <a:latin typeface="ＭＳ Ｐゴシック"/>
              <a:ea typeface="ＭＳ Ｐゴシック"/>
            </a:rPr>
            <a:t>月初版）</a:t>
          </a: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編集協力　　 　国土交通省住宅局</a:t>
          </a: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ソフト開発者　 一般社団法人　日本サステナブル建築協会　（</a:t>
          </a:r>
          <a:r>
            <a:rPr lang="en-US" altLang="ja-JP" sz="1100" b="0" i="0" u="none" strike="noStrike" baseline="0">
              <a:solidFill>
                <a:sysClr val="windowText" lastClr="000000"/>
              </a:solidFill>
              <a:latin typeface="ＭＳ Ｐゴシック"/>
              <a:ea typeface="ＭＳ Ｐゴシック"/>
            </a:rPr>
            <a:t>JSBC)</a:t>
          </a: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建築物の総合的環境評価研究委員会 </a:t>
          </a: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企画・発行　　川崎市まちづくり局指導部建築管理課　　　　　　</a:t>
          </a: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本ソフトの内容に関するご質問は、下記連絡先まで</a:t>
          </a:r>
          <a:r>
            <a:rPr lang="en-US" altLang="ja-JP" sz="1100" b="0" i="0" u="none" strike="noStrike" baseline="0">
              <a:solidFill>
                <a:sysClr val="windowText" lastClr="000000"/>
              </a:solidFill>
              <a:latin typeface="ＭＳ Ｐゴシック"/>
              <a:ea typeface="ＭＳ Ｐゴシック"/>
            </a:rPr>
            <a:t>E-mail</a:t>
          </a:r>
          <a:r>
            <a:rPr lang="ja-JP" altLang="en-US" sz="1100" b="0" i="0" u="none" strike="noStrike" baseline="0">
              <a:solidFill>
                <a:sysClr val="windowText" lastClr="000000"/>
              </a:solidFill>
              <a:latin typeface="ＭＳ Ｐゴシック"/>
              <a:ea typeface="ＭＳ Ｐゴシック"/>
            </a:rPr>
            <a:t>にてお送りください。</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なお、回答までに日数を要する場合がありますので、予めご了承ください。</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また、</a:t>
          </a:r>
          <a:r>
            <a:rPr lang="en-US" altLang="ja-JP" sz="1100" b="0" i="0" u="none" strike="noStrike" baseline="0">
              <a:solidFill>
                <a:sysClr val="windowText" lastClr="000000"/>
              </a:solidFill>
              <a:latin typeface="ＭＳ Ｐゴシック"/>
              <a:ea typeface="ＭＳ Ｐゴシック"/>
            </a:rPr>
            <a:t>Microsoft Windows</a:t>
          </a: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Microsoft Excel 2013 </a:t>
          </a:r>
          <a:r>
            <a:rPr lang="ja-JP" altLang="en-US" sz="1100" b="0" i="0" u="none" strike="noStrike" baseline="0">
              <a:solidFill>
                <a:sysClr val="windowText" lastClr="000000"/>
              </a:solidFill>
              <a:latin typeface="ＭＳ Ｐゴシック"/>
              <a:ea typeface="ＭＳ Ｐゴシック"/>
            </a:rPr>
            <a:t>等の操作に関しては、</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それぞれの操作マニュアルをご覧ください。</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川崎市まちづくり局指導部建築管理課</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210-8577</a:t>
          </a:r>
          <a:r>
            <a:rPr lang="ja-JP" altLang="en-US" sz="1100" b="0" i="0" u="none" strike="noStrike" baseline="0">
              <a:solidFill>
                <a:sysClr val="windowText" lastClr="000000"/>
              </a:solidFill>
              <a:latin typeface="ＭＳ Ｐゴシック"/>
              <a:ea typeface="ＭＳ Ｐゴシック"/>
            </a:rPr>
            <a:t>　川崎市川崎区宮本町</a:t>
          </a:r>
          <a:r>
            <a:rPr lang="en-US" altLang="ja-JP" sz="1100" b="0" i="0" u="none" strike="noStrike" baseline="0">
              <a:solidFill>
                <a:sysClr val="windowText" lastClr="000000"/>
              </a:solidFill>
              <a:latin typeface="ＭＳ Ｐゴシック"/>
              <a:ea typeface="ＭＳ Ｐゴシック"/>
            </a:rPr>
            <a:t>1</a:t>
          </a:r>
          <a:r>
            <a:rPr lang="ja-JP" altLang="en-US" sz="1100" b="0" i="0" u="none" strike="noStrike" baseline="0">
              <a:solidFill>
                <a:sysClr val="windowText" lastClr="000000"/>
              </a:solidFill>
              <a:latin typeface="ＭＳ Ｐゴシック"/>
              <a:ea typeface="ＭＳ Ｐゴシック"/>
            </a:rPr>
            <a:t>番地</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TEL</a:t>
          </a: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044-200-3026</a:t>
          </a: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E-Mail  50kekan@city.kawasaki.jp</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Copyright ©2016 Japan Sustainable Building Consortium (JSBC)</a:t>
          </a: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4099" name="Text Box 3">
          <a:extLst>
            <a:ext uri="{FF2B5EF4-FFF2-40B4-BE49-F238E27FC236}">
              <a16:creationId xmlns:a16="http://schemas.microsoft.com/office/drawing/2014/main" id="{00000000-0008-0000-1600-000003100000}"/>
            </a:ext>
          </a:extLst>
        </xdr:cNvPr>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a:t>
          </a:r>
          <a:r>
            <a:rPr lang="en-US" altLang="ja-JP" sz="1100" b="0" i="0" u="none" strike="noStrike" baseline="0">
              <a:solidFill>
                <a:srgbClr val="000000"/>
              </a:solidFill>
              <a:latin typeface="ＭＳ Ｐゴシック"/>
              <a:ea typeface="ＭＳ Ｐゴシック"/>
            </a:rPr>
            <a:t>CASBEE</a:t>
          </a:r>
          <a:r>
            <a:rPr lang="ja-JP" altLang="en-US" sz="1100" b="0" i="0" u="none" strike="noStrike" baseline="0">
              <a:solidFill>
                <a:srgbClr val="000000"/>
              </a:solidFill>
              <a:latin typeface="ＭＳ Ｐゴシック"/>
              <a:ea typeface="ＭＳ Ｐゴシック"/>
            </a:rPr>
            <a:t>川崎評価ソフト」は、Microsoft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4.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SDGs評価なし）'!$X$40">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SDGs評価なし）'!$X$41">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99%</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SDGs評価なし）'!$X$42">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99%</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SDGs評価なし）'!$X$43">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99%</a:t>
          </a:fld>
          <a:endParaRPr lang="ja-JP" altLang="en-US" sz="800" b="1">
            <a:solidFill>
              <a:sysClr val="windowText" lastClr="000000"/>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0.85955</cdr:x>
      <cdr:y>0.0653</cdr:y>
    </cdr:from>
    <cdr:to>
      <cdr:x>1</cdr:x>
      <cdr:y>0.14763</cdr:y>
    </cdr:to>
    <cdr:sp macro="" textlink="">
      <cdr:nvSpPr>
        <cdr:cNvPr id="3" name="テキスト ボックス 3">
          <a:extLst xmlns:a="http://schemas.openxmlformats.org/drawingml/2006/main">
            <a:ext uri="{FF2B5EF4-FFF2-40B4-BE49-F238E27FC236}">
              <a16:creationId xmlns:a16="http://schemas.microsoft.com/office/drawing/2014/main" id="{0E2419A1-BB15-425C-8B32-B8A7E93CAD8B}"/>
            </a:ext>
          </a:extLst>
        </cdr:cNvPr>
        <cdr:cNvSpPr txBox="1"/>
      </cdr:nvSpPr>
      <cdr:spPr>
        <a:xfrm xmlns:a="http://schemas.openxmlformats.org/drawingml/2006/main">
          <a:off x="3052857" y="196477"/>
          <a:ext cx="498847" cy="2476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sz="1100" kern="1200"/>
        </a:p>
      </cdr:txBody>
    </cdr:sp>
  </cdr:relSizeAnchor>
</c:userShapes>
</file>

<file path=xl/drawings/drawing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SDGs評価なし）'!$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0.11657</cdr:x>
      <cdr:y>0.65863</cdr:y>
    </cdr:from>
    <cdr:to>
      <cdr:x>0.27842</cdr:x>
      <cdr:y>0.80924</cdr:y>
    </cdr:to>
    <cdr:sp macro="" textlink="'結果（SDGs評価なし）'!$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0.342</cdr:x>
      <cdr:y>0.65261</cdr:y>
    </cdr:from>
    <cdr:to>
      <cdr:x>0.50385</cdr:x>
      <cdr:y>0.80321</cdr:y>
    </cdr:to>
    <cdr:sp macro="" textlink="'結果（SDGs評価なし）'!$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0.80154</cdr:x>
      <cdr:y>0.65863</cdr:y>
    </cdr:from>
    <cdr:to>
      <cdr:x>0.96339</cdr:x>
      <cdr:y>0.80924</cdr:y>
    </cdr:to>
    <cdr:sp macro="" textlink="'結果（SDGs評価なし）'!$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SDGs評価なし）'!$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0.43837</cdr:x>
      <cdr:y>0.67068</cdr:y>
    </cdr:from>
    <cdr:to>
      <cdr:x>0.62808</cdr:x>
      <cdr:y>0.81526</cdr:y>
    </cdr:to>
    <cdr:sp macro="" textlink="'結果（SDGs評価なし）'!$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SDGs評価なし）'!$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8.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結果（SDGs評価なし）'!$Z$49">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結果（SDGs評価なし）'!$Z$50">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結果（SDGs評価なし）'!$Z$51">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9.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SDGs評価なし）'!$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SDGs評価なし）'!$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SDGs評価なし）'!$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SDGs評価なし）'!$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50&#65288;&#12414;&#65289;&#25351;&#23566;&#37096;&#24314;&#31689;&#31649;&#29702;&#35506;/005_&#30465;&#12456;&#12493;&#12539;CASBEE/003%20CASBEE/08%20CASBEE&#24029;&#23822;&#12539;&#25144;&#24314;/CASBEE&#24029;&#23822;/CASBEE&#24029;&#23822;&#25913;&#27491;&#38306;&#20418;/R6.4.1&#25913;&#35330;(&#30465;&#12456;&#12493;&#25913;&#27491;&#65289;/&#20316;&#26989;/&#65288;&#12497;&#12473;&#28961;&#12375;&#65289;CASBEE-BD_NC_2021v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0&#65288;&#12414;&#65289;&#25351;&#23566;&#37096;&#24314;&#31689;&#31649;&#29702;&#35506;/&#30465;&#12456;&#12493;&#12539;CASBEE/003%20CASBEE/&#65303;&#65294;CASBEE&#24029;&#23822;/CASBEE&#24029;&#23822;&#25913;&#27491;&#38306;&#20418;/R4CASBEE&#24029;&#23822;&#25913;&#27491;&#12288;&#20316;&#26989;&#20013;/CASBEEkawsaki_2017v3.1&#65288;2019.10.24&#20844;&#38283;&#6528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5505;&#28857;L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結果_IS"/>
      <sheetName val="メイン"/>
      <sheetName val="結果（SDGs評価なし）"/>
      <sheetName val="結果（SDGs評価あり）"/>
      <sheetName val="配慮"/>
      <sheetName val="係数"/>
      <sheetName val="複合用途"/>
      <sheetName val="スコア"/>
      <sheetName val="採点Q1"/>
      <sheetName val="採点Q2"/>
      <sheetName val="採点Q3"/>
      <sheetName val="採点LR1"/>
      <sheetName val="計画書"/>
      <sheetName val="採点LR2"/>
      <sheetName val="採点LR3"/>
      <sheetName val="建築環境SDGsチェックリスト"/>
      <sheetName val="CO2計算"/>
      <sheetName val="条件(標準)"/>
      <sheetName val="条件(個別)"/>
      <sheetName val="重み"/>
      <sheetName val="CO2データ"/>
      <sheetName val="クレジット"/>
    </sheetNames>
    <sheetDataSet>
      <sheetData sheetId="0" refreshError="1"/>
      <sheetData sheetId="1" refreshError="1">
        <row r="11">
          <cell r="C11" t="str">
            <v>○○ビル</v>
          </cell>
        </row>
        <row r="12">
          <cell r="F12" t="str">
            <v>６地域</v>
          </cell>
        </row>
        <row r="37">
          <cell r="I37" t="str">
            <v>基本設計段階</v>
          </cell>
        </row>
        <row r="38">
          <cell r="I38" t="str">
            <v>実施設計段階</v>
          </cell>
        </row>
        <row r="39">
          <cell r="I39" t="str">
            <v>竣工段階</v>
          </cell>
        </row>
      </sheetData>
      <sheetData sheetId="2" refreshError="1">
        <row r="24">
          <cell r="AL24" t="str">
            <v>表示</v>
          </cell>
        </row>
      </sheetData>
      <sheetData sheetId="3" refreshError="1"/>
      <sheetData sheetId="4" refreshError="1"/>
      <sheetData sheetId="5" refreshError="1"/>
      <sheetData sheetId="6" refreshError="1"/>
      <sheetData sheetId="7" refreshError="1"/>
      <sheetData sheetId="8" refreshError="1">
        <row r="9">
          <cell r="J9" t="str">
            <v>色欄について、プルダウンメニューから選択、または数値・コメント※を記入。</v>
          </cell>
        </row>
      </sheetData>
      <sheetData sheetId="9" refreshError="1"/>
      <sheetData sheetId="10" refreshError="1"/>
      <sheetData sheetId="11" refreshError="1">
        <row r="41">
          <cell r="H41">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row r="113">
          <cell r="M113">
            <v>0.3</v>
          </cell>
        </row>
      </sheetData>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結果_IS"/>
      <sheetName val="メイン"/>
      <sheetName val="結果"/>
      <sheetName val="重点項目"/>
      <sheetName val="スコア"/>
      <sheetName val="係数"/>
      <sheetName val="採点Q1"/>
      <sheetName val="採点Q2"/>
      <sheetName val="採点Q3"/>
      <sheetName val="採点LR1"/>
      <sheetName val="計画書"/>
      <sheetName val="採点LR2"/>
      <sheetName val="採点LR3"/>
      <sheetName val="CO2計算"/>
      <sheetName val="条件(標準)"/>
      <sheetName val="条件(個別)"/>
      <sheetName val="重み"/>
      <sheetName val="CO2データ"/>
      <sheetName val="クレジット"/>
    </sheetNames>
    <sheetDataSet>
      <sheetData sheetId="0"/>
      <sheetData sheetId="1">
        <row r="5">
          <cell r="C5" t="str">
            <v>CASBEE-川崎2017(v.3.1)</v>
          </cell>
        </row>
      </sheetData>
      <sheetData sheetId="2">
        <row r="7">
          <cell r="O7"/>
        </row>
      </sheetData>
      <sheetData sheetId="3"/>
      <sheetData sheetId="4">
        <row r="6">
          <cell r="AE6">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採点LR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17" Type="http://schemas.openxmlformats.org/officeDocument/2006/relationships/ctrlProp" Target="../ctrlProps/ctrlProp119.xml"/><Relationship Id="rId299" Type="http://schemas.openxmlformats.org/officeDocument/2006/relationships/ctrlProp" Target="../ctrlProps/ctrlProp301.xml"/><Relationship Id="rId21" Type="http://schemas.openxmlformats.org/officeDocument/2006/relationships/ctrlProp" Target="../ctrlProps/ctrlProp23.xml"/><Relationship Id="rId63" Type="http://schemas.openxmlformats.org/officeDocument/2006/relationships/ctrlProp" Target="../ctrlProps/ctrlProp65.xml"/><Relationship Id="rId159" Type="http://schemas.openxmlformats.org/officeDocument/2006/relationships/ctrlProp" Target="../ctrlProps/ctrlProp161.xml"/><Relationship Id="rId170" Type="http://schemas.openxmlformats.org/officeDocument/2006/relationships/ctrlProp" Target="../ctrlProps/ctrlProp172.xml"/><Relationship Id="rId226" Type="http://schemas.openxmlformats.org/officeDocument/2006/relationships/ctrlProp" Target="../ctrlProps/ctrlProp228.xml"/><Relationship Id="rId268" Type="http://schemas.openxmlformats.org/officeDocument/2006/relationships/ctrlProp" Target="../ctrlProps/ctrlProp270.xml"/><Relationship Id="rId32" Type="http://schemas.openxmlformats.org/officeDocument/2006/relationships/ctrlProp" Target="../ctrlProps/ctrlProp34.xml"/><Relationship Id="rId74" Type="http://schemas.openxmlformats.org/officeDocument/2006/relationships/ctrlProp" Target="../ctrlProps/ctrlProp76.xml"/><Relationship Id="rId128" Type="http://schemas.openxmlformats.org/officeDocument/2006/relationships/ctrlProp" Target="../ctrlProps/ctrlProp130.xml"/><Relationship Id="rId5" Type="http://schemas.openxmlformats.org/officeDocument/2006/relationships/ctrlProp" Target="../ctrlProps/ctrlProp7.xml"/><Relationship Id="rId181" Type="http://schemas.openxmlformats.org/officeDocument/2006/relationships/ctrlProp" Target="../ctrlProps/ctrlProp183.xml"/><Relationship Id="rId237" Type="http://schemas.openxmlformats.org/officeDocument/2006/relationships/ctrlProp" Target="../ctrlProps/ctrlProp239.xml"/><Relationship Id="rId279" Type="http://schemas.openxmlformats.org/officeDocument/2006/relationships/ctrlProp" Target="../ctrlProps/ctrlProp281.xml"/><Relationship Id="rId43" Type="http://schemas.openxmlformats.org/officeDocument/2006/relationships/ctrlProp" Target="../ctrlProps/ctrlProp45.xml"/><Relationship Id="rId139" Type="http://schemas.openxmlformats.org/officeDocument/2006/relationships/ctrlProp" Target="../ctrlProps/ctrlProp141.xml"/><Relationship Id="rId290" Type="http://schemas.openxmlformats.org/officeDocument/2006/relationships/ctrlProp" Target="../ctrlProps/ctrlProp292.xml"/><Relationship Id="rId304" Type="http://schemas.openxmlformats.org/officeDocument/2006/relationships/ctrlProp" Target="../ctrlProps/ctrlProp306.xml"/><Relationship Id="rId85" Type="http://schemas.openxmlformats.org/officeDocument/2006/relationships/ctrlProp" Target="../ctrlProps/ctrlProp87.xml"/><Relationship Id="rId150" Type="http://schemas.openxmlformats.org/officeDocument/2006/relationships/ctrlProp" Target="../ctrlProps/ctrlProp152.xml"/><Relationship Id="rId192" Type="http://schemas.openxmlformats.org/officeDocument/2006/relationships/ctrlProp" Target="../ctrlProps/ctrlProp194.xml"/><Relationship Id="rId206" Type="http://schemas.openxmlformats.org/officeDocument/2006/relationships/ctrlProp" Target="../ctrlProps/ctrlProp208.xml"/><Relationship Id="rId248" Type="http://schemas.openxmlformats.org/officeDocument/2006/relationships/ctrlProp" Target="../ctrlProps/ctrlProp250.xml"/><Relationship Id="rId12" Type="http://schemas.openxmlformats.org/officeDocument/2006/relationships/ctrlProp" Target="../ctrlProps/ctrlProp14.xml"/><Relationship Id="rId108" Type="http://schemas.openxmlformats.org/officeDocument/2006/relationships/ctrlProp" Target="../ctrlProps/ctrlProp110.xml"/><Relationship Id="rId54" Type="http://schemas.openxmlformats.org/officeDocument/2006/relationships/ctrlProp" Target="../ctrlProps/ctrlProp56.xml"/><Relationship Id="rId96" Type="http://schemas.openxmlformats.org/officeDocument/2006/relationships/ctrlProp" Target="../ctrlProps/ctrlProp98.xml"/><Relationship Id="rId161" Type="http://schemas.openxmlformats.org/officeDocument/2006/relationships/ctrlProp" Target="../ctrlProps/ctrlProp163.xml"/><Relationship Id="rId217" Type="http://schemas.openxmlformats.org/officeDocument/2006/relationships/ctrlProp" Target="../ctrlProps/ctrlProp219.xml"/><Relationship Id="rId259" Type="http://schemas.openxmlformats.org/officeDocument/2006/relationships/ctrlProp" Target="../ctrlProps/ctrlProp261.xml"/><Relationship Id="rId23" Type="http://schemas.openxmlformats.org/officeDocument/2006/relationships/ctrlProp" Target="../ctrlProps/ctrlProp25.xml"/><Relationship Id="rId119" Type="http://schemas.openxmlformats.org/officeDocument/2006/relationships/ctrlProp" Target="../ctrlProps/ctrlProp121.xml"/><Relationship Id="rId270" Type="http://schemas.openxmlformats.org/officeDocument/2006/relationships/ctrlProp" Target="../ctrlProps/ctrlProp272.xml"/><Relationship Id="rId44" Type="http://schemas.openxmlformats.org/officeDocument/2006/relationships/ctrlProp" Target="../ctrlProps/ctrlProp46.xml"/><Relationship Id="rId65" Type="http://schemas.openxmlformats.org/officeDocument/2006/relationships/ctrlProp" Target="../ctrlProps/ctrlProp67.xml"/><Relationship Id="rId86" Type="http://schemas.openxmlformats.org/officeDocument/2006/relationships/ctrlProp" Target="../ctrlProps/ctrlProp88.xml"/><Relationship Id="rId130" Type="http://schemas.openxmlformats.org/officeDocument/2006/relationships/ctrlProp" Target="../ctrlProps/ctrlProp132.xml"/><Relationship Id="rId151" Type="http://schemas.openxmlformats.org/officeDocument/2006/relationships/ctrlProp" Target="../ctrlProps/ctrlProp153.xml"/><Relationship Id="rId172" Type="http://schemas.openxmlformats.org/officeDocument/2006/relationships/ctrlProp" Target="../ctrlProps/ctrlProp174.xml"/><Relationship Id="rId193" Type="http://schemas.openxmlformats.org/officeDocument/2006/relationships/ctrlProp" Target="../ctrlProps/ctrlProp195.xml"/><Relationship Id="rId207" Type="http://schemas.openxmlformats.org/officeDocument/2006/relationships/ctrlProp" Target="../ctrlProps/ctrlProp209.xml"/><Relationship Id="rId228" Type="http://schemas.openxmlformats.org/officeDocument/2006/relationships/ctrlProp" Target="../ctrlProps/ctrlProp230.xml"/><Relationship Id="rId249" Type="http://schemas.openxmlformats.org/officeDocument/2006/relationships/ctrlProp" Target="../ctrlProps/ctrlProp251.xml"/><Relationship Id="rId13" Type="http://schemas.openxmlformats.org/officeDocument/2006/relationships/ctrlProp" Target="../ctrlProps/ctrlProp15.xml"/><Relationship Id="rId109" Type="http://schemas.openxmlformats.org/officeDocument/2006/relationships/ctrlProp" Target="../ctrlProps/ctrlProp111.xml"/><Relationship Id="rId260" Type="http://schemas.openxmlformats.org/officeDocument/2006/relationships/ctrlProp" Target="../ctrlProps/ctrlProp262.xml"/><Relationship Id="rId281" Type="http://schemas.openxmlformats.org/officeDocument/2006/relationships/ctrlProp" Target="../ctrlProps/ctrlProp283.xml"/><Relationship Id="rId34" Type="http://schemas.openxmlformats.org/officeDocument/2006/relationships/ctrlProp" Target="../ctrlProps/ctrlProp36.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20" Type="http://schemas.openxmlformats.org/officeDocument/2006/relationships/ctrlProp" Target="../ctrlProps/ctrlProp122.xml"/><Relationship Id="rId141" Type="http://schemas.openxmlformats.org/officeDocument/2006/relationships/ctrlProp" Target="../ctrlProps/ctrlProp143.xml"/><Relationship Id="rId7" Type="http://schemas.openxmlformats.org/officeDocument/2006/relationships/ctrlProp" Target="../ctrlProps/ctrlProp9.xml"/><Relationship Id="rId162" Type="http://schemas.openxmlformats.org/officeDocument/2006/relationships/ctrlProp" Target="../ctrlProps/ctrlProp164.xml"/><Relationship Id="rId183" Type="http://schemas.openxmlformats.org/officeDocument/2006/relationships/ctrlProp" Target="../ctrlProps/ctrlProp185.xml"/><Relationship Id="rId218" Type="http://schemas.openxmlformats.org/officeDocument/2006/relationships/ctrlProp" Target="../ctrlProps/ctrlProp220.xml"/><Relationship Id="rId239" Type="http://schemas.openxmlformats.org/officeDocument/2006/relationships/ctrlProp" Target="../ctrlProps/ctrlProp241.xml"/><Relationship Id="rId250" Type="http://schemas.openxmlformats.org/officeDocument/2006/relationships/ctrlProp" Target="../ctrlProps/ctrlProp252.xml"/><Relationship Id="rId271" Type="http://schemas.openxmlformats.org/officeDocument/2006/relationships/ctrlProp" Target="../ctrlProps/ctrlProp273.xml"/><Relationship Id="rId292" Type="http://schemas.openxmlformats.org/officeDocument/2006/relationships/ctrlProp" Target="../ctrlProps/ctrlProp294.xml"/><Relationship Id="rId306" Type="http://schemas.openxmlformats.org/officeDocument/2006/relationships/ctrlProp" Target="../ctrlProps/ctrlProp308.xml"/><Relationship Id="rId24" Type="http://schemas.openxmlformats.org/officeDocument/2006/relationships/ctrlProp" Target="../ctrlProps/ctrlProp26.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31" Type="http://schemas.openxmlformats.org/officeDocument/2006/relationships/ctrlProp" Target="../ctrlProps/ctrlProp133.xml"/><Relationship Id="rId152" Type="http://schemas.openxmlformats.org/officeDocument/2006/relationships/ctrlProp" Target="../ctrlProps/ctrlProp154.xml"/><Relationship Id="rId173" Type="http://schemas.openxmlformats.org/officeDocument/2006/relationships/ctrlProp" Target="../ctrlProps/ctrlProp175.xml"/><Relationship Id="rId194" Type="http://schemas.openxmlformats.org/officeDocument/2006/relationships/ctrlProp" Target="../ctrlProps/ctrlProp196.xml"/><Relationship Id="rId208" Type="http://schemas.openxmlformats.org/officeDocument/2006/relationships/ctrlProp" Target="../ctrlProps/ctrlProp210.xml"/><Relationship Id="rId229" Type="http://schemas.openxmlformats.org/officeDocument/2006/relationships/ctrlProp" Target="../ctrlProps/ctrlProp231.xml"/><Relationship Id="rId240" Type="http://schemas.openxmlformats.org/officeDocument/2006/relationships/ctrlProp" Target="../ctrlProps/ctrlProp242.xml"/><Relationship Id="rId261" Type="http://schemas.openxmlformats.org/officeDocument/2006/relationships/ctrlProp" Target="../ctrlProps/ctrlProp263.xml"/><Relationship Id="rId14" Type="http://schemas.openxmlformats.org/officeDocument/2006/relationships/ctrlProp" Target="../ctrlProps/ctrlProp16.xml"/><Relationship Id="rId35" Type="http://schemas.openxmlformats.org/officeDocument/2006/relationships/ctrlProp" Target="../ctrlProps/ctrlProp37.xml"/><Relationship Id="rId56" Type="http://schemas.openxmlformats.org/officeDocument/2006/relationships/ctrlProp" Target="../ctrlProps/ctrlProp58.xml"/><Relationship Id="rId77" Type="http://schemas.openxmlformats.org/officeDocument/2006/relationships/ctrlProp" Target="../ctrlProps/ctrlProp79.xml"/><Relationship Id="rId100" Type="http://schemas.openxmlformats.org/officeDocument/2006/relationships/ctrlProp" Target="../ctrlProps/ctrlProp102.xml"/><Relationship Id="rId282" Type="http://schemas.openxmlformats.org/officeDocument/2006/relationships/ctrlProp" Target="../ctrlProps/ctrlProp284.xml"/><Relationship Id="rId8" Type="http://schemas.openxmlformats.org/officeDocument/2006/relationships/ctrlProp" Target="../ctrlProps/ctrlProp10.xml"/><Relationship Id="rId98" Type="http://schemas.openxmlformats.org/officeDocument/2006/relationships/ctrlProp" Target="../ctrlProps/ctrlProp100.xml"/><Relationship Id="rId121" Type="http://schemas.openxmlformats.org/officeDocument/2006/relationships/ctrlProp" Target="../ctrlProps/ctrlProp123.xml"/><Relationship Id="rId142" Type="http://schemas.openxmlformats.org/officeDocument/2006/relationships/ctrlProp" Target="../ctrlProps/ctrlProp144.xml"/><Relationship Id="rId163" Type="http://schemas.openxmlformats.org/officeDocument/2006/relationships/ctrlProp" Target="../ctrlProps/ctrlProp165.xml"/><Relationship Id="rId184" Type="http://schemas.openxmlformats.org/officeDocument/2006/relationships/ctrlProp" Target="../ctrlProps/ctrlProp186.xml"/><Relationship Id="rId219" Type="http://schemas.openxmlformats.org/officeDocument/2006/relationships/ctrlProp" Target="../ctrlProps/ctrlProp221.xml"/><Relationship Id="rId230" Type="http://schemas.openxmlformats.org/officeDocument/2006/relationships/ctrlProp" Target="../ctrlProps/ctrlProp232.xml"/><Relationship Id="rId251" Type="http://schemas.openxmlformats.org/officeDocument/2006/relationships/ctrlProp" Target="../ctrlProps/ctrlProp253.xml"/><Relationship Id="rId25" Type="http://schemas.openxmlformats.org/officeDocument/2006/relationships/ctrlProp" Target="../ctrlProps/ctrlProp27.xml"/><Relationship Id="rId46" Type="http://schemas.openxmlformats.org/officeDocument/2006/relationships/ctrlProp" Target="../ctrlProps/ctrlProp48.xml"/><Relationship Id="rId67" Type="http://schemas.openxmlformats.org/officeDocument/2006/relationships/ctrlProp" Target="../ctrlProps/ctrlProp69.xml"/><Relationship Id="rId272" Type="http://schemas.openxmlformats.org/officeDocument/2006/relationships/ctrlProp" Target="../ctrlProps/ctrlProp274.xml"/><Relationship Id="rId293" Type="http://schemas.openxmlformats.org/officeDocument/2006/relationships/ctrlProp" Target="../ctrlProps/ctrlProp295.xml"/><Relationship Id="rId307" Type="http://schemas.openxmlformats.org/officeDocument/2006/relationships/ctrlProp" Target="../ctrlProps/ctrlProp309.xml"/><Relationship Id="rId88" Type="http://schemas.openxmlformats.org/officeDocument/2006/relationships/ctrlProp" Target="../ctrlProps/ctrlProp90.xml"/><Relationship Id="rId111" Type="http://schemas.openxmlformats.org/officeDocument/2006/relationships/ctrlProp" Target="../ctrlProps/ctrlProp113.xml"/><Relationship Id="rId132" Type="http://schemas.openxmlformats.org/officeDocument/2006/relationships/ctrlProp" Target="../ctrlProps/ctrlProp134.xml"/><Relationship Id="rId153" Type="http://schemas.openxmlformats.org/officeDocument/2006/relationships/ctrlProp" Target="../ctrlProps/ctrlProp155.xml"/><Relationship Id="rId174" Type="http://schemas.openxmlformats.org/officeDocument/2006/relationships/ctrlProp" Target="../ctrlProps/ctrlProp176.xml"/><Relationship Id="rId195" Type="http://schemas.openxmlformats.org/officeDocument/2006/relationships/ctrlProp" Target="../ctrlProps/ctrlProp197.xml"/><Relationship Id="rId209" Type="http://schemas.openxmlformats.org/officeDocument/2006/relationships/ctrlProp" Target="../ctrlProps/ctrlProp211.xml"/><Relationship Id="rId220" Type="http://schemas.openxmlformats.org/officeDocument/2006/relationships/ctrlProp" Target="../ctrlProps/ctrlProp222.xml"/><Relationship Id="rId241" Type="http://schemas.openxmlformats.org/officeDocument/2006/relationships/ctrlProp" Target="../ctrlProps/ctrlProp243.xml"/><Relationship Id="rId15" Type="http://schemas.openxmlformats.org/officeDocument/2006/relationships/ctrlProp" Target="../ctrlProps/ctrlProp17.xml"/><Relationship Id="rId36" Type="http://schemas.openxmlformats.org/officeDocument/2006/relationships/ctrlProp" Target="../ctrlProps/ctrlProp38.xml"/><Relationship Id="rId57" Type="http://schemas.openxmlformats.org/officeDocument/2006/relationships/ctrlProp" Target="../ctrlProps/ctrlProp59.xml"/><Relationship Id="rId262" Type="http://schemas.openxmlformats.org/officeDocument/2006/relationships/ctrlProp" Target="../ctrlProps/ctrlProp264.xml"/><Relationship Id="rId283" Type="http://schemas.openxmlformats.org/officeDocument/2006/relationships/ctrlProp" Target="../ctrlProps/ctrlProp285.xml"/><Relationship Id="rId78" Type="http://schemas.openxmlformats.org/officeDocument/2006/relationships/ctrlProp" Target="../ctrlProps/ctrlProp80.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143" Type="http://schemas.openxmlformats.org/officeDocument/2006/relationships/ctrlProp" Target="../ctrlProps/ctrlProp145.xml"/><Relationship Id="rId164" Type="http://schemas.openxmlformats.org/officeDocument/2006/relationships/ctrlProp" Target="../ctrlProps/ctrlProp166.xml"/><Relationship Id="rId185" Type="http://schemas.openxmlformats.org/officeDocument/2006/relationships/ctrlProp" Target="../ctrlProps/ctrlProp187.xml"/><Relationship Id="rId9" Type="http://schemas.openxmlformats.org/officeDocument/2006/relationships/ctrlProp" Target="../ctrlProps/ctrlProp11.xml"/><Relationship Id="rId210" Type="http://schemas.openxmlformats.org/officeDocument/2006/relationships/ctrlProp" Target="../ctrlProps/ctrlProp212.xml"/><Relationship Id="rId26" Type="http://schemas.openxmlformats.org/officeDocument/2006/relationships/ctrlProp" Target="../ctrlProps/ctrlProp28.xml"/><Relationship Id="rId231" Type="http://schemas.openxmlformats.org/officeDocument/2006/relationships/ctrlProp" Target="../ctrlProps/ctrlProp233.xml"/><Relationship Id="rId252" Type="http://schemas.openxmlformats.org/officeDocument/2006/relationships/ctrlProp" Target="../ctrlProps/ctrlProp254.xml"/><Relationship Id="rId273" Type="http://schemas.openxmlformats.org/officeDocument/2006/relationships/ctrlProp" Target="../ctrlProps/ctrlProp275.xml"/><Relationship Id="rId294" Type="http://schemas.openxmlformats.org/officeDocument/2006/relationships/ctrlProp" Target="../ctrlProps/ctrlProp296.xml"/><Relationship Id="rId308" Type="http://schemas.openxmlformats.org/officeDocument/2006/relationships/ctrlProp" Target="../ctrlProps/ctrlProp310.xml"/><Relationship Id="rId47" Type="http://schemas.openxmlformats.org/officeDocument/2006/relationships/ctrlProp" Target="../ctrlProps/ctrlProp49.xml"/><Relationship Id="rId68" Type="http://schemas.openxmlformats.org/officeDocument/2006/relationships/ctrlProp" Target="../ctrlProps/ctrlProp70.xml"/><Relationship Id="rId89" Type="http://schemas.openxmlformats.org/officeDocument/2006/relationships/ctrlProp" Target="../ctrlProps/ctrlProp91.xml"/><Relationship Id="rId112" Type="http://schemas.openxmlformats.org/officeDocument/2006/relationships/ctrlProp" Target="../ctrlProps/ctrlProp114.xml"/><Relationship Id="rId133" Type="http://schemas.openxmlformats.org/officeDocument/2006/relationships/ctrlProp" Target="../ctrlProps/ctrlProp135.xml"/><Relationship Id="rId154" Type="http://schemas.openxmlformats.org/officeDocument/2006/relationships/ctrlProp" Target="../ctrlProps/ctrlProp156.xml"/><Relationship Id="rId175" Type="http://schemas.openxmlformats.org/officeDocument/2006/relationships/ctrlProp" Target="../ctrlProps/ctrlProp177.xml"/><Relationship Id="rId196" Type="http://schemas.openxmlformats.org/officeDocument/2006/relationships/ctrlProp" Target="../ctrlProps/ctrlProp198.xml"/><Relationship Id="rId200" Type="http://schemas.openxmlformats.org/officeDocument/2006/relationships/ctrlProp" Target="../ctrlProps/ctrlProp202.xml"/><Relationship Id="rId16" Type="http://schemas.openxmlformats.org/officeDocument/2006/relationships/ctrlProp" Target="../ctrlProps/ctrlProp18.xml"/><Relationship Id="rId221" Type="http://schemas.openxmlformats.org/officeDocument/2006/relationships/ctrlProp" Target="../ctrlProps/ctrlProp223.xml"/><Relationship Id="rId242" Type="http://schemas.openxmlformats.org/officeDocument/2006/relationships/ctrlProp" Target="../ctrlProps/ctrlProp244.xml"/><Relationship Id="rId263" Type="http://schemas.openxmlformats.org/officeDocument/2006/relationships/ctrlProp" Target="../ctrlProps/ctrlProp265.xml"/><Relationship Id="rId284" Type="http://schemas.openxmlformats.org/officeDocument/2006/relationships/ctrlProp" Target="../ctrlProps/ctrlProp286.xml"/><Relationship Id="rId37" Type="http://schemas.openxmlformats.org/officeDocument/2006/relationships/ctrlProp" Target="../ctrlProps/ctrlProp39.xml"/><Relationship Id="rId58" Type="http://schemas.openxmlformats.org/officeDocument/2006/relationships/ctrlProp" Target="../ctrlProps/ctrlProp60.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144" Type="http://schemas.openxmlformats.org/officeDocument/2006/relationships/ctrlProp" Target="../ctrlProps/ctrlProp146.xml"/><Relationship Id="rId90" Type="http://schemas.openxmlformats.org/officeDocument/2006/relationships/ctrlProp" Target="../ctrlProps/ctrlProp92.xml"/><Relationship Id="rId165" Type="http://schemas.openxmlformats.org/officeDocument/2006/relationships/ctrlProp" Target="../ctrlProps/ctrlProp167.xml"/><Relationship Id="rId186" Type="http://schemas.openxmlformats.org/officeDocument/2006/relationships/ctrlProp" Target="../ctrlProps/ctrlProp188.xml"/><Relationship Id="rId211" Type="http://schemas.openxmlformats.org/officeDocument/2006/relationships/ctrlProp" Target="../ctrlProps/ctrlProp213.xml"/><Relationship Id="rId232" Type="http://schemas.openxmlformats.org/officeDocument/2006/relationships/ctrlProp" Target="../ctrlProps/ctrlProp234.xml"/><Relationship Id="rId253" Type="http://schemas.openxmlformats.org/officeDocument/2006/relationships/ctrlProp" Target="../ctrlProps/ctrlProp255.xml"/><Relationship Id="rId274" Type="http://schemas.openxmlformats.org/officeDocument/2006/relationships/ctrlProp" Target="../ctrlProps/ctrlProp276.xml"/><Relationship Id="rId295" Type="http://schemas.openxmlformats.org/officeDocument/2006/relationships/ctrlProp" Target="../ctrlProps/ctrlProp297.xml"/><Relationship Id="rId309" Type="http://schemas.openxmlformats.org/officeDocument/2006/relationships/ctrlProp" Target="../ctrlProps/ctrlProp311.xml"/><Relationship Id="rId27" Type="http://schemas.openxmlformats.org/officeDocument/2006/relationships/ctrlProp" Target="../ctrlProps/ctrlProp29.xml"/><Relationship Id="rId48" Type="http://schemas.openxmlformats.org/officeDocument/2006/relationships/ctrlProp" Target="../ctrlProps/ctrlProp50.xml"/><Relationship Id="rId69" Type="http://schemas.openxmlformats.org/officeDocument/2006/relationships/ctrlProp" Target="../ctrlProps/ctrlProp71.xml"/><Relationship Id="rId113" Type="http://schemas.openxmlformats.org/officeDocument/2006/relationships/ctrlProp" Target="../ctrlProps/ctrlProp115.xml"/><Relationship Id="rId134" Type="http://schemas.openxmlformats.org/officeDocument/2006/relationships/ctrlProp" Target="../ctrlProps/ctrlProp136.xml"/><Relationship Id="rId80" Type="http://schemas.openxmlformats.org/officeDocument/2006/relationships/ctrlProp" Target="../ctrlProps/ctrlProp82.xml"/><Relationship Id="rId155" Type="http://schemas.openxmlformats.org/officeDocument/2006/relationships/ctrlProp" Target="../ctrlProps/ctrlProp157.xml"/><Relationship Id="rId176" Type="http://schemas.openxmlformats.org/officeDocument/2006/relationships/ctrlProp" Target="../ctrlProps/ctrlProp178.xml"/><Relationship Id="rId197" Type="http://schemas.openxmlformats.org/officeDocument/2006/relationships/ctrlProp" Target="../ctrlProps/ctrlProp199.xml"/><Relationship Id="rId201" Type="http://schemas.openxmlformats.org/officeDocument/2006/relationships/ctrlProp" Target="../ctrlProps/ctrlProp203.xml"/><Relationship Id="rId222" Type="http://schemas.openxmlformats.org/officeDocument/2006/relationships/ctrlProp" Target="../ctrlProps/ctrlProp224.xml"/><Relationship Id="rId243" Type="http://schemas.openxmlformats.org/officeDocument/2006/relationships/ctrlProp" Target="../ctrlProps/ctrlProp245.xml"/><Relationship Id="rId264" Type="http://schemas.openxmlformats.org/officeDocument/2006/relationships/ctrlProp" Target="../ctrlProps/ctrlProp266.xml"/><Relationship Id="rId285" Type="http://schemas.openxmlformats.org/officeDocument/2006/relationships/ctrlProp" Target="../ctrlProps/ctrlProp287.xml"/><Relationship Id="rId17" Type="http://schemas.openxmlformats.org/officeDocument/2006/relationships/ctrlProp" Target="../ctrlProps/ctrlProp19.xml"/><Relationship Id="rId38" Type="http://schemas.openxmlformats.org/officeDocument/2006/relationships/ctrlProp" Target="../ctrlProps/ctrlProp40.xml"/><Relationship Id="rId59" Type="http://schemas.openxmlformats.org/officeDocument/2006/relationships/ctrlProp" Target="../ctrlProps/ctrlProp61.xml"/><Relationship Id="rId103" Type="http://schemas.openxmlformats.org/officeDocument/2006/relationships/ctrlProp" Target="../ctrlProps/ctrlProp105.xml"/><Relationship Id="rId124" Type="http://schemas.openxmlformats.org/officeDocument/2006/relationships/ctrlProp" Target="../ctrlProps/ctrlProp126.xml"/><Relationship Id="rId310" Type="http://schemas.openxmlformats.org/officeDocument/2006/relationships/ctrlProp" Target="../ctrlProps/ctrlProp312.xml"/><Relationship Id="rId70" Type="http://schemas.openxmlformats.org/officeDocument/2006/relationships/ctrlProp" Target="../ctrlProps/ctrlProp72.xml"/><Relationship Id="rId91" Type="http://schemas.openxmlformats.org/officeDocument/2006/relationships/ctrlProp" Target="../ctrlProps/ctrlProp93.xml"/><Relationship Id="rId145" Type="http://schemas.openxmlformats.org/officeDocument/2006/relationships/ctrlProp" Target="../ctrlProps/ctrlProp147.xml"/><Relationship Id="rId166" Type="http://schemas.openxmlformats.org/officeDocument/2006/relationships/ctrlProp" Target="../ctrlProps/ctrlProp168.xml"/><Relationship Id="rId187" Type="http://schemas.openxmlformats.org/officeDocument/2006/relationships/ctrlProp" Target="../ctrlProps/ctrlProp189.xml"/><Relationship Id="rId1" Type="http://schemas.openxmlformats.org/officeDocument/2006/relationships/printerSettings" Target="../printerSettings/printerSettings14.bin"/><Relationship Id="rId212" Type="http://schemas.openxmlformats.org/officeDocument/2006/relationships/ctrlProp" Target="../ctrlProps/ctrlProp214.xml"/><Relationship Id="rId233" Type="http://schemas.openxmlformats.org/officeDocument/2006/relationships/ctrlProp" Target="../ctrlProps/ctrlProp235.xml"/><Relationship Id="rId254" Type="http://schemas.openxmlformats.org/officeDocument/2006/relationships/ctrlProp" Target="../ctrlProps/ctrlProp256.xml"/><Relationship Id="rId28" Type="http://schemas.openxmlformats.org/officeDocument/2006/relationships/ctrlProp" Target="../ctrlProps/ctrlProp30.xml"/><Relationship Id="rId49" Type="http://schemas.openxmlformats.org/officeDocument/2006/relationships/ctrlProp" Target="../ctrlProps/ctrlProp51.xml"/><Relationship Id="rId114" Type="http://schemas.openxmlformats.org/officeDocument/2006/relationships/ctrlProp" Target="../ctrlProps/ctrlProp116.xml"/><Relationship Id="rId275" Type="http://schemas.openxmlformats.org/officeDocument/2006/relationships/ctrlProp" Target="../ctrlProps/ctrlProp277.xml"/><Relationship Id="rId296" Type="http://schemas.openxmlformats.org/officeDocument/2006/relationships/ctrlProp" Target="../ctrlProps/ctrlProp298.xml"/><Relationship Id="rId300" Type="http://schemas.openxmlformats.org/officeDocument/2006/relationships/ctrlProp" Target="../ctrlProps/ctrlProp302.xml"/><Relationship Id="rId60" Type="http://schemas.openxmlformats.org/officeDocument/2006/relationships/ctrlProp" Target="../ctrlProps/ctrlProp62.xml"/><Relationship Id="rId81" Type="http://schemas.openxmlformats.org/officeDocument/2006/relationships/ctrlProp" Target="../ctrlProps/ctrlProp83.xml"/><Relationship Id="rId135" Type="http://schemas.openxmlformats.org/officeDocument/2006/relationships/ctrlProp" Target="../ctrlProps/ctrlProp137.xml"/><Relationship Id="rId156" Type="http://schemas.openxmlformats.org/officeDocument/2006/relationships/ctrlProp" Target="../ctrlProps/ctrlProp158.xml"/><Relationship Id="rId177" Type="http://schemas.openxmlformats.org/officeDocument/2006/relationships/ctrlProp" Target="../ctrlProps/ctrlProp179.xml"/><Relationship Id="rId198" Type="http://schemas.openxmlformats.org/officeDocument/2006/relationships/ctrlProp" Target="../ctrlProps/ctrlProp200.xml"/><Relationship Id="rId202" Type="http://schemas.openxmlformats.org/officeDocument/2006/relationships/ctrlProp" Target="../ctrlProps/ctrlProp204.xml"/><Relationship Id="rId223" Type="http://schemas.openxmlformats.org/officeDocument/2006/relationships/ctrlProp" Target="../ctrlProps/ctrlProp225.xml"/><Relationship Id="rId244" Type="http://schemas.openxmlformats.org/officeDocument/2006/relationships/ctrlProp" Target="../ctrlProps/ctrlProp246.xml"/><Relationship Id="rId18" Type="http://schemas.openxmlformats.org/officeDocument/2006/relationships/ctrlProp" Target="../ctrlProps/ctrlProp20.xml"/><Relationship Id="rId39" Type="http://schemas.openxmlformats.org/officeDocument/2006/relationships/ctrlProp" Target="../ctrlProps/ctrlProp41.xml"/><Relationship Id="rId265" Type="http://schemas.openxmlformats.org/officeDocument/2006/relationships/ctrlProp" Target="../ctrlProps/ctrlProp267.xml"/><Relationship Id="rId286" Type="http://schemas.openxmlformats.org/officeDocument/2006/relationships/ctrlProp" Target="../ctrlProps/ctrlProp288.xml"/><Relationship Id="rId50" Type="http://schemas.openxmlformats.org/officeDocument/2006/relationships/ctrlProp" Target="../ctrlProps/ctrlProp52.xml"/><Relationship Id="rId104" Type="http://schemas.openxmlformats.org/officeDocument/2006/relationships/ctrlProp" Target="../ctrlProps/ctrlProp106.xml"/><Relationship Id="rId125" Type="http://schemas.openxmlformats.org/officeDocument/2006/relationships/ctrlProp" Target="../ctrlProps/ctrlProp127.xml"/><Relationship Id="rId146" Type="http://schemas.openxmlformats.org/officeDocument/2006/relationships/ctrlProp" Target="../ctrlProps/ctrlProp148.xml"/><Relationship Id="rId167" Type="http://schemas.openxmlformats.org/officeDocument/2006/relationships/ctrlProp" Target="../ctrlProps/ctrlProp169.xml"/><Relationship Id="rId188" Type="http://schemas.openxmlformats.org/officeDocument/2006/relationships/ctrlProp" Target="../ctrlProps/ctrlProp190.xml"/><Relationship Id="rId311" Type="http://schemas.openxmlformats.org/officeDocument/2006/relationships/ctrlProp" Target="../ctrlProps/ctrlProp313.xml"/><Relationship Id="rId71" Type="http://schemas.openxmlformats.org/officeDocument/2006/relationships/ctrlProp" Target="../ctrlProps/ctrlProp73.xml"/><Relationship Id="rId92" Type="http://schemas.openxmlformats.org/officeDocument/2006/relationships/ctrlProp" Target="../ctrlProps/ctrlProp94.xml"/><Relationship Id="rId213" Type="http://schemas.openxmlformats.org/officeDocument/2006/relationships/ctrlProp" Target="../ctrlProps/ctrlProp215.xml"/><Relationship Id="rId234" Type="http://schemas.openxmlformats.org/officeDocument/2006/relationships/ctrlProp" Target="../ctrlProps/ctrlProp236.xml"/><Relationship Id="rId2" Type="http://schemas.openxmlformats.org/officeDocument/2006/relationships/drawing" Target="../drawings/drawing22.xml"/><Relationship Id="rId29" Type="http://schemas.openxmlformats.org/officeDocument/2006/relationships/ctrlProp" Target="../ctrlProps/ctrlProp31.xml"/><Relationship Id="rId255" Type="http://schemas.openxmlformats.org/officeDocument/2006/relationships/ctrlProp" Target="../ctrlProps/ctrlProp257.xml"/><Relationship Id="rId276" Type="http://schemas.openxmlformats.org/officeDocument/2006/relationships/ctrlProp" Target="../ctrlProps/ctrlProp278.xml"/><Relationship Id="rId297" Type="http://schemas.openxmlformats.org/officeDocument/2006/relationships/ctrlProp" Target="../ctrlProps/ctrlProp299.xml"/><Relationship Id="rId40" Type="http://schemas.openxmlformats.org/officeDocument/2006/relationships/ctrlProp" Target="../ctrlProps/ctrlProp42.xml"/><Relationship Id="rId115" Type="http://schemas.openxmlformats.org/officeDocument/2006/relationships/ctrlProp" Target="../ctrlProps/ctrlProp117.xml"/><Relationship Id="rId136" Type="http://schemas.openxmlformats.org/officeDocument/2006/relationships/ctrlProp" Target="../ctrlProps/ctrlProp138.xml"/><Relationship Id="rId157" Type="http://schemas.openxmlformats.org/officeDocument/2006/relationships/ctrlProp" Target="../ctrlProps/ctrlProp159.xml"/><Relationship Id="rId178" Type="http://schemas.openxmlformats.org/officeDocument/2006/relationships/ctrlProp" Target="../ctrlProps/ctrlProp180.xml"/><Relationship Id="rId301" Type="http://schemas.openxmlformats.org/officeDocument/2006/relationships/ctrlProp" Target="../ctrlProps/ctrlProp303.xml"/><Relationship Id="rId61" Type="http://schemas.openxmlformats.org/officeDocument/2006/relationships/ctrlProp" Target="../ctrlProps/ctrlProp63.xml"/><Relationship Id="rId82" Type="http://schemas.openxmlformats.org/officeDocument/2006/relationships/ctrlProp" Target="../ctrlProps/ctrlProp84.xml"/><Relationship Id="rId199" Type="http://schemas.openxmlformats.org/officeDocument/2006/relationships/ctrlProp" Target="../ctrlProps/ctrlProp201.xml"/><Relationship Id="rId203" Type="http://schemas.openxmlformats.org/officeDocument/2006/relationships/ctrlProp" Target="../ctrlProps/ctrlProp205.xml"/><Relationship Id="rId19" Type="http://schemas.openxmlformats.org/officeDocument/2006/relationships/ctrlProp" Target="../ctrlProps/ctrlProp21.xml"/><Relationship Id="rId224" Type="http://schemas.openxmlformats.org/officeDocument/2006/relationships/ctrlProp" Target="../ctrlProps/ctrlProp226.xml"/><Relationship Id="rId245" Type="http://schemas.openxmlformats.org/officeDocument/2006/relationships/ctrlProp" Target="../ctrlProps/ctrlProp247.xml"/><Relationship Id="rId266" Type="http://schemas.openxmlformats.org/officeDocument/2006/relationships/ctrlProp" Target="../ctrlProps/ctrlProp268.xml"/><Relationship Id="rId287" Type="http://schemas.openxmlformats.org/officeDocument/2006/relationships/ctrlProp" Target="../ctrlProps/ctrlProp289.xml"/><Relationship Id="rId30" Type="http://schemas.openxmlformats.org/officeDocument/2006/relationships/ctrlProp" Target="../ctrlProps/ctrlProp32.xml"/><Relationship Id="rId105" Type="http://schemas.openxmlformats.org/officeDocument/2006/relationships/ctrlProp" Target="../ctrlProps/ctrlProp107.xml"/><Relationship Id="rId126" Type="http://schemas.openxmlformats.org/officeDocument/2006/relationships/ctrlProp" Target="../ctrlProps/ctrlProp128.xml"/><Relationship Id="rId147" Type="http://schemas.openxmlformats.org/officeDocument/2006/relationships/ctrlProp" Target="../ctrlProps/ctrlProp149.xml"/><Relationship Id="rId168" Type="http://schemas.openxmlformats.org/officeDocument/2006/relationships/ctrlProp" Target="../ctrlProps/ctrlProp170.xml"/><Relationship Id="rId51" Type="http://schemas.openxmlformats.org/officeDocument/2006/relationships/ctrlProp" Target="../ctrlProps/ctrlProp53.xml"/><Relationship Id="rId72" Type="http://schemas.openxmlformats.org/officeDocument/2006/relationships/ctrlProp" Target="../ctrlProps/ctrlProp74.xml"/><Relationship Id="rId93" Type="http://schemas.openxmlformats.org/officeDocument/2006/relationships/ctrlProp" Target="../ctrlProps/ctrlProp95.xml"/><Relationship Id="rId189" Type="http://schemas.openxmlformats.org/officeDocument/2006/relationships/ctrlProp" Target="../ctrlProps/ctrlProp191.xml"/><Relationship Id="rId3" Type="http://schemas.openxmlformats.org/officeDocument/2006/relationships/vmlDrawing" Target="../drawings/vmlDrawing9.vml"/><Relationship Id="rId214" Type="http://schemas.openxmlformats.org/officeDocument/2006/relationships/ctrlProp" Target="../ctrlProps/ctrlProp216.xml"/><Relationship Id="rId235" Type="http://schemas.openxmlformats.org/officeDocument/2006/relationships/ctrlProp" Target="../ctrlProps/ctrlProp237.xml"/><Relationship Id="rId256" Type="http://schemas.openxmlformats.org/officeDocument/2006/relationships/ctrlProp" Target="../ctrlProps/ctrlProp258.xml"/><Relationship Id="rId277" Type="http://schemas.openxmlformats.org/officeDocument/2006/relationships/ctrlProp" Target="../ctrlProps/ctrlProp279.xml"/><Relationship Id="rId298" Type="http://schemas.openxmlformats.org/officeDocument/2006/relationships/ctrlProp" Target="../ctrlProps/ctrlProp300.xml"/><Relationship Id="rId116" Type="http://schemas.openxmlformats.org/officeDocument/2006/relationships/ctrlProp" Target="../ctrlProps/ctrlProp118.xml"/><Relationship Id="rId137" Type="http://schemas.openxmlformats.org/officeDocument/2006/relationships/ctrlProp" Target="../ctrlProps/ctrlProp139.xml"/><Relationship Id="rId158" Type="http://schemas.openxmlformats.org/officeDocument/2006/relationships/ctrlProp" Target="../ctrlProps/ctrlProp160.xml"/><Relationship Id="rId302" Type="http://schemas.openxmlformats.org/officeDocument/2006/relationships/ctrlProp" Target="../ctrlProps/ctrlProp304.xml"/><Relationship Id="rId20" Type="http://schemas.openxmlformats.org/officeDocument/2006/relationships/ctrlProp" Target="../ctrlProps/ctrlProp22.xml"/><Relationship Id="rId41" Type="http://schemas.openxmlformats.org/officeDocument/2006/relationships/ctrlProp" Target="../ctrlProps/ctrlProp43.xml"/><Relationship Id="rId62" Type="http://schemas.openxmlformats.org/officeDocument/2006/relationships/ctrlProp" Target="../ctrlProps/ctrlProp64.xml"/><Relationship Id="rId83" Type="http://schemas.openxmlformats.org/officeDocument/2006/relationships/ctrlProp" Target="../ctrlProps/ctrlProp85.xml"/><Relationship Id="rId179" Type="http://schemas.openxmlformats.org/officeDocument/2006/relationships/ctrlProp" Target="../ctrlProps/ctrlProp181.xml"/><Relationship Id="rId190" Type="http://schemas.openxmlformats.org/officeDocument/2006/relationships/ctrlProp" Target="../ctrlProps/ctrlProp192.xml"/><Relationship Id="rId204" Type="http://schemas.openxmlformats.org/officeDocument/2006/relationships/ctrlProp" Target="../ctrlProps/ctrlProp206.xml"/><Relationship Id="rId225" Type="http://schemas.openxmlformats.org/officeDocument/2006/relationships/ctrlProp" Target="../ctrlProps/ctrlProp227.xml"/><Relationship Id="rId246" Type="http://schemas.openxmlformats.org/officeDocument/2006/relationships/ctrlProp" Target="../ctrlProps/ctrlProp248.xml"/><Relationship Id="rId267" Type="http://schemas.openxmlformats.org/officeDocument/2006/relationships/ctrlProp" Target="../ctrlProps/ctrlProp269.xml"/><Relationship Id="rId288" Type="http://schemas.openxmlformats.org/officeDocument/2006/relationships/ctrlProp" Target="../ctrlProps/ctrlProp290.xml"/><Relationship Id="rId106" Type="http://schemas.openxmlformats.org/officeDocument/2006/relationships/ctrlProp" Target="../ctrlProps/ctrlProp108.xml"/><Relationship Id="rId127" Type="http://schemas.openxmlformats.org/officeDocument/2006/relationships/ctrlProp" Target="../ctrlProps/ctrlProp129.xml"/><Relationship Id="rId10" Type="http://schemas.openxmlformats.org/officeDocument/2006/relationships/ctrlProp" Target="../ctrlProps/ctrlProp12.xml"/><Relationship Id="rId31" Type="http://schemas.openxmlformats.org/officeDocument/2006/relationships/ctrlProp" Target="../ctrlProps/ctrlProp33.xml"/><Relationship Id="rId52" Type="http://schemas.openxmlformats.org/officeDocument/2006/relationships/ctrlProp" Target="../ctrlProps/ctrlProp54.xml"/><Relationship Id="rId73" Type="http://schemas.openxmlformats.org/officeDocument/2006/relationships/ctrlProp" Target="../ctrlProps/ctrlProp75.xml"/><Relationship Id="rId94" Type="http://schemas.openxmlformats.org/officeDocument/2006/relationships/ctrlProp" Target="../ctrlProps/ctrlProp96.xml"/><Relationship Id="rId148" Type="http://schemas.openxmlformats.org/officeDocument/2006/relationships/ctrlProp" Target="../ctrlProps/ctrlProp150.xml"/><Relationship Id="rId169" Type="http://schemas.openxmlformats.org/officeDocument/2006/relationships/ctrlProp" Target="../ctrlProps/ctrlProp171.xml"/><Relationship Id="rId4" Type="http://schemas.openxmlformats.org/officeDocument/2006/relationships/ctrlProp" Target="../ctrlProps/ctrlProp6.xml"/><Relationship Id="rId180" Type="http://schemas.openxmlformats.org/officeDocument/2006/relationships/ctrlProp" Target="../ctrlProps/ctrlProp182.xml"/><Relationship Id="rId215" Type="http://schemas.openxmlformats.org/officeDocument/2006/relationships/ctrlProp" Target="../ctrlProps/ctrlProp217.xml"/><Relationship Id="rId236" Type="http://schemas.openxmlformats.org/officeDocument/2006/relationships/ctrlProp" Target="../ctrlProps/ctrlProp238.xml"/><Relationship Id="rId257" Type="http://schemas.openxmlformats.org/officeDocument/2006/relationships/ctrlProp" Target="../ctrlProps/ctrlProp259.xml"/><Relationship Id="rId278" Type="http://schemas.openxmlformats.org/officeDocument/2006/relationships/ctrlProp" Target="../ctrlProps/ctrlProp280.xml"/><Relationship Id="rId303" Type="http://schemas.openxmlformats.org/officeDocument/2006/relationships/ctrlProp" Target="../ctrlProps/ctrlProp305.xml"/><Relationship Id="rId42" Type="http://schemas.openxmlformats.org/officeDocument/2006/relationships/ctrlProp" Target="../ctrlProps/ctrlProp44.xml"/><Relationship Id="rId84" Type="http://schemas.openxmlformats.org/officeDocument/2006/relationships/ctrlProp" Target="../ctrlProps/ctrlProp86.xml"/><Relationship Id="rId138" Type="http://schemas.openxmlformats.org/officeDocument/2006/relationships/ctrlProp" Target="../ctrlProps/ctrlProp140.xml"/><Relationship Id="rId191" Type="http://schemas.openxmlformats.org/officeDocument/2006/relationships/ctrlProp" Target="../ctrlProps/ctrlProp193.xml"/><Relationship Id="rId205" Type="http://schemas.openxmlformats.org/officeDocument/2006/relationships/ctrlProp" Target="../ctrlProps/ctrlProp207.xml"/><Relationship Id="rId247" Type="http://schemas.openxmlformats.org/officeDocument/2006/relationships/ctrlProp" Target="../ctrlProps/ctrlProp249.xml"/><Relationship Id="rId107" Type="http://schemas.openxmlformats.org/officeDocument/2006/relationships/ctrlProp" Target="../ctrlProps/ctrlProp109.xml"/><Relationship Id="rId289" Type="http://schemas.openxmlformats.org/officeDocument/2006/relationships/ctrlProp" Target="../ctrlProps/ctrlProp291.xml"/><Relationship Id="rId11" Type="http://schemas.openxmlformats.org/officeDocument/2006/relationships/ctrlProp" Target="../ctrlProps/ctrlProp13.xml"/><Relationship Id="rId53" Type="http://schemas.openxmlformats.org/officeDocument/2006/relationships/ctrlProp" Target="../ctrlProps/ctrlProp55.xml"/><Relationship Id="rId149" Type="http://schemas.openxmlformats.org/officeDocument/2006/relationships/ctrlProp" Target="../ctrlProps/ctrlProp151.xml"/><Relationship Id="rId95" Type="http://schemas.openxmlformats.org/officeDocument/2006/relationships/ctrlProp" Target="../ctrlProps/ctrlProp97.xml"/><Relationship Id="rId160" Type="http://schemas.openxmlformats.org/officeDocument/2006/relationships/ctrlProp" Target="../ctrlProps/ctrlProp162.xml"/><Relationship Id="rId216" Type="http://schemas.openxmlformats.org/officeDocument/2006/relationships/ctrlProp" Target="../ctrlProps/ctrlProp218.xml"/><Relationship Id="rId258" Type="http://schemas.openxmlformats.org/officeDocument/2006/relationships/ctrlProp" Target="../ctrlProps/ctrlProp260.xml"/><Relationship Id="rId22" Type="http://schemas.openxmlformats.org/officeDocument/2006/relationships/ctrlProp" Target="../ctrlProps/ctrlProp24.xml"/><Relationship Id="rId64" Type="http://schemas.openxmlformats.org/officeDocument/2006/relationships/ctrlProp" Target="../ctrlProps/ctrlProp66.xml"/><Relationship Id="rId118" Type="http://schemas.openxmlformats.org/officeDocument/2006/relationships/ctrlProp" Target="../ctrlProps/ctrlProp120.xml"/><Relationship Id="rId171" Type="http://schemas.openxmlformats.org/officeDocument/2006/relationships/ctrlProp" Target="../ctrlProps/ctrlProp173.xml"/><Relationship Id="rId227" Type="http://schemas.openxmlformats.org/officeDocument/2006/relationships/ctrlProp" Target="../ctrlProps/ctrlProp229.xml"/><Relationship Id="rId269" Type="http://schemas.openxmlformats.org/officeDocument/2006/relationships/ctrlProp" Target="../ctrlProps/ctrlProp271.xml"/><Relationship Id="rId33" Type="http://schemas.openxmlformats.org/officeDocument/2006/relationships/ctrlProp" Target="../ctrlProps/ctrlProp35.xml"/><Relationship Id="rId129" Type="http://schemas.openxmlformats.org/officeDocument/2006/relationships/ctrlProp" Target="../ctrlProps/ctrlProp131.xml"/><Relationship Id="rId280" Type="http://schemas.openxmlformats.org/officeDocument/2006/relationships/ctrlProp" Target="../ctrlProps/ctrlProp282.xml"/><Relationship Id="rId75" Type="http://schemas.openxmlformats.org/officeDocument/2006/relationships/ctrlProp" Target="../ctrlProps/ctrlProp77.xml"/><Relationship Id="rId140" Type="http://schemas.openxmlformats.org/officeDocument/2006/relationships/ctrlProp" Target="../ctrlProps/ctrlProp142.xml"/><Relationship Id="rId182" Type="http://schemas.openxmlformats.org/officeDocument/2006/relationships/ctrlProp" Target="../ctrlProps/ctrlProp184.xml"/><Relationship Id="rId6" Type="http://schemas.openxmlformats.org/officeDocument/2006/relationships/ctrlProp" Target="../ctrlProps/ctrlProp8.xml"/><Relationship Id="rId238" Type="http://schemas.openxmlformats.org/officeDocument/2006/relationships/ctrlProp" Target="../ctrlProps/ctrlProp240.xml"/><Relationship Id="rId291" Type="http://schemas.openxmlformats.org/officeDocument/2006/relationships/ctrlProp" Target="../ctrlProps/ctrlProp293.xml"/><Relationship Id="rId305" Type="http://schemas.openxmlformats.org/officeDocument/2006/relationships/ctrlProp" Target="../ctrlProps/ctrlProp30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pageSetUpPr autoPageBreaks="0" fitToPage="1"/>
  </sheetPr>
  <dimension ref="A1:R91"/>
  <sheetViews>
    <sheetView showGridLines="0" topLeftCell="A42" zoomScaleNormal="100" workbookViewId="0">
      <selection activeCell="E49" sqref="E49"/>
    </sheetView>
  </sheetViews>
  <sheetFormatPr defaultColWidth="0" defaultRowHeight="13.5" zeroHeight="1"/>
  <cols>
    <col min="1" max="1" width="1.75" customWidth="1"/>
    <col min="2" max="2" width="21.625" customWidth="1"/>
    <col min="3" max="3" width="15.125" customWidth="1"/>
    <col min="4" max="4" width="18.375" customWidth="1"/>
    <col min="5" max="5" width="13.875" customWidth="1"/>
    <col min="6" max="6" width="11.5" customWidth="1"/>
    <col min="7" max="7" width="3.125" customWidth="1"/>
    <col min="8" max="8" width="4.75" hidden="1" customWidth="1"/>
    <col min="9" max="9" width="13" hidden="1" customWidth="1"/>
    <col min="10" max="10" width="15.125" hidden="1" customWidth="1"/>
    <col min="11" max="11" width="6.875" hidden="1" customWidth="1"/>
    <col min="12" max="12" width="39" hidden="1" customWidth="1"/>
    <col min="13" max="13" width="28.25" hidden="1" customWidth="1"/>
    <col min="14" max="14" width="2.5" hidden="1" customWidth="1"/>
    <col min="15" max="15" width="7.5" hidden="1" customWidth="1"/>
    <col min="16" max="16" width="11.625" hidden="1" customWidth="1"/>
    <col min="17" max="17" width="16.875" hidden="1" customWidth="1"/>
    <col min="18" max="18" width="9.5" hidden="1" customWidth="1"/>
    <col min="19" max="70" width="9" hidden="1" customWidth="1"/>
    <col min="71" max="16384" width="9" hidden="1"/>
  </cols>
  <sheetData>
    <row r="1" spans="1:11" ht="8.1" customHeight="1">
      <c r="A1" s="3"/>
      <c r="B1" s="4"/>
      <c r="C1" s="3"/>
      <c r="D1" s="3"/>
      <c r="E1" s="3"/>
      <c r="F1" s="3"/>
      <c r="G1" s="3"/>
    </row>
    <row r="2" spans="1:11" ht="25.5" customHeight="1">
      <c r="A2" s="3"/>
      <c r="B2" s="4"/>
      <c r="C2" s="3"/>
      <c r="D2" s="3"/>
      <c r="E2" s="3"/>
      <c r="F2" s="3"/>
      <c r="G2" s="3"/>
    </row>
    <row r="3" spans="1:11" ht="25.5" customHeight="1">
      <c r="A3" s="3"/>
      <c r="B3" s="4"/>
      <c r="C3" s="3"/>
      <c r="D3" s="3"/>
      <c r="E3" s="3"/>
      <c r="F3" s="3"/>
      <c r="G3" s="3"/>
      <c r="I3" s="1">
        <v>2</v>
      </c>
      <c r="J3" s="1" t="str">
        <f>IF(I3=2,J4,IF(I3=0,J5,IF(I3=3,J6,IF(I3=4,J7,""))))</f>
        <v>NC</v>
      </c>
      <c r="K3" s="1" t="str">
        <f>IF(I3=2,K4,IF(I3=0,K5,IF(I3=3,K6,IF(I3=4,K7,""))))</f>
        <v>CASBEE-建築(新築)2021年SDGs対応版</v>
      </c>
    </row>
    <row r="4" spans="1:11" ht="25.5" customHeight="1">
      <c r="A4" s="2146"/>
      <c r="B4" s="2131" t="s">
        <v>3147</v>
      </c>
      <c r="C4" s="2145"/>
      <c r="D4" s="2145"/>
      <c r="E4" s="2145"/>
      <c r="F4" s="2147"/>
      <c r="G4" s="2146"/>
      <c r="J4" t="s">
        <v>2644</v>
      </c>
      <c r="K4" t="s">
        <v>4013</v>
      </c>
    </row>
    <row r="5" spans="1:11" ht="14.25">
      <c r="A5" s="2146"/>
      <c r="B5" s="2132" t="s">
        <v>3177</v>
      </c>
      <c r="C5" s="5" t="s">
        <v>4284</v>
      </c>
      <c r="D5" s="5"/>
      <c r="E5" s="2146"/>
      <c r="F5" s="2146"/>
      <c r="G5" s="2146"/>
      <c r="J5" t="s">
        <v>2645</v>
      </c>
      <c r="K5" t="s">
        <v>2759</v>
      </c>
    </row>
    <row r="6" spans="1:11" ht="14.25">
      <c r="A6" s="2146"/>
      <c r="B6" s="6" t="s">
        <v>3148</v>
      </c>
      <c r="C6" s="6" t="s">
        <v>4280</v>
      </c>
      <c r="D6" s="6"/>
      <c r="E6" s="2146"/>
      <c r="F6" s="2146"/>
      <c r="G6" s="2146"/>
      <c r="J6" t="s">
        <v>2643</v>
      </c>
      <c r="K6" t="s">
        <v>2758</v>
      </c>
    </row>
    <row r="7" spans="1:11" ht="6.75" customHeight="1" thickBot="1">
      <c r="A7" s="2146"/>
      <c r="B7" s="2133"/>
      <c r="C7" s="2133"/>
      <c r="D7" s="2133"/>
      <c r="E7" s="2133"/>
      <c r="F7" s="2133"/>
      <c r="G7" s="2146"/>
      <c r="J7" t="s">
        <v>2756</v>
      </c>
      <c r="K7" t="s">
        <v>2760</v>
      </c>
    </row>
    <row r="8" spans="1:11" ht="15" customHeight="1">
      <c r="A8" s="2146"/>
      <c r="B8" s="2134" t="s">
        <v>3149</v>
      </c>
      <c r="C8" s="2148"/>
      <c r="D8" s="2148"/>
      <c r="E8" s="2148"/>
      <c r="F8" s="2149"/>
      <c r="G8" s="2146"/>
    </row>
    <row r="9" spans="1:11" ht="15" customHeight="1">
      <c r="A9" s="2146"/>
      <c r="B9" s="2135" t="s">
        <v>3150</v>
      </c>
      <c r="C9" s="2150"/>
      <c r="D9" s="2150"/>
      <c r="E9" s="2150"/>
      <c r="F9" s="2151"/>
      <c r="G9" s="2146"/>
    </row>
    <row r="10" spans="1:11" ht="15" hidden="1" customHeight="1">
      <c r="A10" s="2146"/>
      <c r="B10" s="2136"/>
      <c r="C10" s="2152"/>
      <c r="D10" s="2152"/>
      <c r="E10" s="2152"/>
      <c r="F10" s="2153"/>
      <c r="G10" s="2146"/>
    </row>
    <row r="11" spans="1:11" ht="15" customHeight="1">
      <c r="A11" s="2146"/>
      <c r="B11" s="2137" t="s">
        <v>3151</v>
      </c>
      <c r="C11" s="3211" t="s">
        <v>4273</v>
      </c>
      <c r="D11" s="3212"/>
      <c r="E11" s="3213"/>
      <c r="F11" s="2097"/>
      <c r="G11" s="2146"/>
      <c r="I11" t="s">
        <v>55</v>
      </c>
      <c r="J11" t="s">
        <v>1168</v>
      </c>
      <c r="K11">
        <v>1</v>
      </c>
    </row>
    <row r="12" spans="1:11" ht="15" customHeight="1">
      <c r="A12" s="2146"/>
      <c r="B12" s="2138" t="s">
        <v>3152</v>
      </c>
      <c r="C12" s="3217" t="s">
        <v>4274</v>
      </c>
      <c r="D12" s="3215"/>
      <c r="E12" s="3216"/>
      <c r="F12" s="2154" t="s">
        <v>60</v>
      </c>
      <c r="G12" s="2146"/>
      <c r="I12" t="s">
        <v>56</v>
      </c>
      <c r="J12" t="s">
        <v>1084</v>
      </c>
      <c r="K12">
        <v>2</v>
      </c>
    </row>
    <row r="13" spans="1:11" ht="15" hidden="1" customHeight="1">
      <c r="A13" s="2146"/>
      <c r="B13" s="2138"/>
      <c r="C13" s="3197"/>
      <c r="D13" s="3198"/>
      <c r="E13" s="3199"/>
      <c r="F13" s="2154"/>
      <c r="G13" s="2146"/>
      <c r="I13" t="s">
        <v>57</v>
      </c>
      <c r="J13" t="s">
        <v>1730</v>
      </c>
      <c r="K13">
        <v>3</v>
      </c>
    </row>
    <row r="14" spans="1:11" ht="15" customHeight="1">
      <c r="A14" s="2146"/>
      <c r="B14" s="2138" t="s">
        <v>3153</v>
      </c>
      <c r="C14" s="3214" t="s">
        <v>4275</v>
      </c>
      <c r="D14" s="3215"/>
      <c r="E14" s="3216"/>
      <c r="F14" s="2097"/>
      <c r="G14" s="2146"/>
      <c r="I14" t="s">
        <v>58</v>
      </c>
      <c r="J14" t="s">
        <v>1731</v>
      </c>
      <c r="K14">
        <v>4</v>
      </c>
    </row>
    <row r="15" spans="1:11" ht="15" customHeight="1">
      <c r="A15" s="2146"/>
      <c r="B15" s="2138" t="s">
        <v>3154</v>
      </c>
      <c r="C15" s="2155" t="s">
        <v>4276</v>
      </c>
      <c r="D15" s="2100"/>
      <c r="E15" s="2100"/>
      <c r="F15" s="2154" t="s">
        <v>4179</v>
      </c>
      <c r="G15" s="2146"/>
      <c r="I15" t="s">
        <v>59</v>
      </c>
      <c r="J15" t="s">
        <v>1732</v>
      </c>
      <c r="K15">
        <v>5</v>
      </c>
    </row>
    <row r="16" spans="1:11" ht="15" hidden="1" customHeight="1">
      <c r="A16" s="2146"/>
      <c r="B16" s="2139" t="s">
        <v>3155</v>
      </c>
      <c r="C16" s="2155" t="s">
        <v>3178</v>
      </c>
      <c r="D16" s="2100"/>
      <c r="E16" s="2100"/>
      <c r="F16" s="2097"/>
      <c r="G16" s="2146"/>
      <c r="I16" t="s">
        <v>60</v>
      </c>
      <c r="J16" t="s">
        <v>1733</v>
      </c>
      <c r="K16">
        <v>6</v>
      </c>
    </row>
    <row r="17" spans="1:12" ht="15" customHeight="1">
      <c r="A17" s="2146"/>
      <c r="B17" s="2138" t="s">
        <v>3156</v>
      </c>
      <c r="C17" s="2095">
        <v>1000</v>
      </c>
      <c r="D17" s="2096" t="s">
        <v>3179</v>
      </c>
      <c r="E17" s="2096"/>
      <c r="F17" s="2097"/>
      <c r="G17" s="2146"/>
      <c r="I17" t="s">
        <v>61</v>
      </c>
      <c r="K17">
        <v>7</v>
      </c>
    </row>
    <row r="18" spans="1:12" ht="15" customHeight="1">
      <c r="A18" s="2146"/>
      <c r="B18" s="2138" t="s">
        <v>3157</v>
      </c>
      <c r="C18" s="2095">
        <v>500</v>
      </c>
      <c r="D18" s="2096" t="s">
        <v>3179</v>
      </c>
      <c r="E18" s="2096"/>
      <c r="F18" s="2097"/>
      <c r="G18" s="2146"/>
      <c r="I18" t="s">
        <v>62</v>
      </c>
      <c r="K18">
        <v>8</v>
      </c>
    </row>
    <row r="19" spans="1:12" ht="15" customHeight="1">
      <c r="A19" s="2146"/>
      <c r="B19" s="2138" t="s">
        <v>3158</v>
      </c>
      <c r="C19" s="2098">
        <f>SUM(C66:C67)</f>
        <v>1500</v>
      </c>
      <c r="D19" s="2096" t="s">
        <v>3138</v>
      </c>
      <c r="E19" s="2096"/>
      <c r="F19" s="2097"/>
      <c r="G19" s="2146"/>
      <c r="K19" s="1">
        <f>VLOOKUP(F12,I11:K18,3)</f>
        <v>6</v>
      </c>
    </row>
    <row r="20" spans="1:12" ht="15" customHeight="1">
      <c r="A20" s="2146"/>
      <c r="B20" s="2138" t="s">
        <v>3159</v>
      </c>
      <c r="C20" s="3214" t="s">
        <v>3139</v>
      </c>
      <c r="D20" s="3215"/>
      <c r="E20" s="3216"/>
      <c r="F20" s="2097"/>
      <c r="G20" s="2146"/>
    </row>
    <row r="21" spans="1:12" ht="15" customHeight="1">
      <c r="A21" s="2146"/>
      <c r="B21" s="2140"/>
      <c r="C21" s="3218" t="str">
        <f>O70</f>
        <v>事務所,集合住宅,</v>
      </c>
      <c r="D21" s="3219"/>
      <c r="E21" s="3220"/>
      <c r="F21" s="2097"/>
      <c r="G21" s="2146"/>
    </row>
    <row r="22" spans="1:12" ht="15" customHeight="1">
      <c r="A22" s="2146"/>
      <c r="B22" s="2138" t="s">
        <v>3160</v>
      </c>
      <c r="C22" s="2099" t="s">
        <v>4277</v>
      </c>
      <c r="D22" s="2100"/>
      <c r="E22" s="2100"/>
      <c r="F22" s="2097"/>
      <c r="G22" s="2146"/>
    </row>
    <row r="23" spans="1:12" ht="15" customHeight="1">
      <c r="A23" s="2146"/>
      <c r="B23" s="2138" t="s">
        <v>3161</v>
      </c>
      <c r="C23" s="2099"/>
      <c r="D23" s="2100"/>
      <c r="E23" s="2100"/>
      <c r="F23" s="2097"/>
      <c r="G23" s="2146"/>
      <c r="I23" t="s">
        <v>635</v>
      </c>
      <c r="J23" t="s">
        <v>634</v>
      </c>
      <c r="K23" t="s">
        <v>636</v>
      </c>
      <c r="L23" t="s">
        <v>637</v>
      </c>
    </row>
    <row r="24" spans="1:12" ht="13.5" hidden="1" customHeight="1" thickBot="1">
      <c r="A24" s="2146"/>
      <c r="B24" s="2138"/>
      <c r="C24" s="2101"/>
      <c r="D24" s="2101"/>
      <c r="E24" s="2101"/>
      <c r="F24" s="2102"/>
      <c r="G24" s="2146"/>
    </row>
    <row r="25" spans="1:12" ht="15" hidden="1" customHeight="1" thickBot="1">
      <c r="A25" s="2146"/>
      <c r="B25" s="2141" t="s">
        <v>3162</v>
      </c>
      <c r="C25" s="2103"/>
      <c r="D25" s="2103"/>
      <c r="E25" s="2103"/>
      <c r="F25" s="2104"/>
      <c r="G25" s="2146"/>
    </row>
    <row r="26" spans="1:12" ht="14.25" hidden="1" customHeight="1">
      <c r="A26" s="2146"/>
      <c r="B26" s="2142" t="s">
        <v>3163</v>
      </c>
      <c r="C26" s="2099" t="s">
        <v>3180</v>
      </c>
      <c r="D26" s="2100"/>
      <c r="E26" s="2100"/>
      <c r="F26" s="2105"/>
      <c r="G26" s="2146"/>
    </row>
    <row r="27" spans="1:12" ht="14.25" hidden="1" customHeight="1">
      <c r="A27" s="2146"/>
      <c r="B27" s="2142" t="s">
        <v>3164</v>
      </c>
      <c r="C27" s="3214" t="s">
        <v>3139</v>
      </c>
      <c r="D27" s="3215"/>
      <c r="E27" s="3216"/>
      <c r="F27" s="2097"/>
      <c r="G27" s="2146"/>
    </row>
    <row r="28" spans="1:12" ht="14.25" hidden="1" customHeight="1">
      <c r="A28" s="2146"/>
      <c r="B28" s="2142" t="s">
        <v>3165</v>
      </c>
      <c r="C28" s="2106">
        <v>41831</v>
      </c>
      <c r="D28" s="2100"/>
      <c r="E28" s="2100"/>
      <c r="F28" s="2097"/>
      <c r="G28" s="2146"/>
    </row>
    <row r="29" spans="1:12" ht="14.25" hidden="1" customHeight="1">
      <c r="A29" s="2146"/>
      <c r="B29" s="2142" t="s">
        <v>3166</v>
      </c>
      <c r="C29" s="2107" t="s">
        <v>557</v>
      </c>
      <c r="D29" s="2096" t="s">
        <v>3138</v>
      </c>
      <c r="E29" s="2100"/>
      <c r="F29" s="2097"/>
      <c r="G29" s="2146"/>
    </row>
    <row r="30" spans="1:12" ht="14.25" hidden="1" customHeight="1">
      <c r="A30" s="2146"/>
      <c r="B30" s="2142" t="s">
        <v>3167</v>
      </c>
      <c r="C30" s="2099" t="s">
        <v>3140</v>
      </c>
      <c r="D30" s="2100"/>
      <c r="E30" s="2100"/>
      <c r="F30" s="2097"/>
      <c r="G30" s="2146"/>
    </row>
    <row r="31" spans="1:12" ht="14.25" hidden="1" customHeight="1">
      <c r="A31" s="2146"/>
      <c r="B31" s="2138"/>
      <c r="C31" s="2101"/>
      <c r="D31" s="2101"/>
      <c r="E31" s="2101"/>
      <c r="F31" s="2102"/>
      <c r="G31" s="2146"/>
    </row>
    <row r="32" spans="1:12" ht="14.25">
      <c r="A32" s="2146"/>
      <c r="B32" s="2138" t="s">
        <v>3168</v>
      </c>
      <c r="C32" s="2108" t="s">
        <v>4278</v>
      </c>
      <c r="D32" s="2096" t="s">
        <v>3135</v>
      </c>
      <c r="E32" s="2096"/>
      <c r="F32" s="2097"/>
      <c r="G32" s="2146"/>
    </row>
    <row r="33" spans="1:18" ht="15" thickBot="1">
      <c r="A33" s="2146"/>
      <c r="B33" s="2138" t="s">
        <v>3169</v>
      </c>
      <c r="C33" s="2108" t="s">
        <v>557</v>
      </c>
      <c r="D33" s="2096" t="s">
        <v>3141</v>
      </c>
      <c r="E33" s="2096"/>
      <c r="F33" s="2097"/>
      <c r="G33" s="2146"/>
      <c r="I33" t="s">
        <v>2780</v>
      </c>
      <c r="J33" t="s">
        <v>2781</v>
      </c>
    </row>
    <row r="34" spans="1:18" ht="15" hidden="1" thickBot="1">
      <c r="A34" s="2146"/>
      <c r="B34" s="2139" t="s">
        <v>3170</v>
      </c>
      <c r="C34" s="2108" t="s">
        <v>557</v>
      </c>
      <c r="D34" s="2109" t="s">
        <v>3142</v>
      </c>
      <c r="E34" s="2096"/>
      <c r="F34" s="2097"/>
      <c r="G34" s="2146"/>
    </row>
    <row r="35" spans="1:18" ht="15" hidden="1" thickBot="1">
      <c r="A35" s="2146"/>
      <c r="B35" s="2138"/>
      <c r="C35" s="2101"/>
      <c r="D35" s="2101"/>
      <c r="E35" s="2101"/>
      <c r="F35" s="2102"/>
      <c r="G35" s="2146"/>
    </row>
    <row r="36" spans="1:18" ht="15" hidden="1" thickBot="1">
      <c r="A36" s="2146"/>
      <c r="B36" s="2110"/>
      <c r="C36" s="2110"/>
      <c r="D36" s="2110"/>
      <c r="E36" s="2110"/>
      <c r="F36" s="2110"/>
      <c r="G36" s="2146"/>
      <c r="I36" s="1" t="s">
        <v>638</v>
      </c>
      <c r="J36" s="1">
        <v>0</v>
      </c>
    </row>
    <row r="37" spans="1:18" ht="15" hidden="1" thickBot="1">
      <c r="A37" s="2146"/>
      <c r="B37" s="2110"/>
      <c r="C37" s="2110"/>
      <c r="D37" s="2110"/>
      <c r="E37" s="2110"/>
      <c r="F37" s="2110"/>
      <c r="G37" s="2146"/>
      <c r="I37" s="1" t="s">
        <v>642</v>
      </c>
      <c r="J37" s="1">
        <v>1</v>
      </c>
    </row>
    <row r="38" spans="1:18" ht="15" thickBot="1">
      <c r="A38" s="2146"/>
      <c r="B38" s="2141" t="s">
        <v>3171</v>
      </c>
      <c r="C38" s="2103"/>
      <c r="D38" s="2103"/>
      <c r="E38" s="2103"/>
      <c r="F38" s="2104"/>
      <c r="G38" s="2146"/>
      <c r="I38" s="1" t="s">
        <v>641</v>
      </c>
      <c r="J38" s="1">
        <v>2</v>
      </c>
      <c r="L38" s="1" t="s">
        <v>639</v>
      </c>
      <c r="M38" s="1" t="s">
        <v>640</v>
      </c>
    </row>
    <row r="39" spans="1:18" ht="14.25">
      <c r="A39" s="2156"/>
      <c r="B39" s="2143" t="s">
        <v>3172</v>
      </c>
      <c r="C39" s="2106" t="s">
        <v>3301</v>
      </c>
      <c r="D39" s="2100"/>
      <c r="E39" s="2111" t="s">
        <v>641</v>
      </c>
      <c r="F39" s="2105"/>
      <c r="G39" s="2146"/>
      <c r="I39" s="1" t="s">
        <v>372</v>
      </c>
      <c r="J39" s="1">
        <v>2</v>
      </c>
      <c r="L39" s="1" t="s">
        <v>642</v>
      </c>
      <c r="M39" s="1" t="s">
        <v>370</v>
      </c>
    </row>
    <row r="40" spans="1:18" ht="14.25">
      <c r="A40" s="2156"/>
      <c r="B40" s="2143" t="s">
        <v>3173</v>
      </c>
      <c r="C40" s="2099" t="s">
        <v>3182</v>
      </c>
      <c r="D40" s="2100"/>
      <c r="E40" s="2100"/>
      <c r="F40" s="2097"/>
      <c r="G40" s="2146"/>
      <c r="I40" s="1" t="s">
        <v>2664</v>
      </c>
      <c r="J40" s="1">
        <v>3</v>
      </c>
      <c r="L40" s="1" t="s">
        <v>641</v>
      </c>
      <c r="M40" s="1" t="s">
        <v>371</v>
      </c>
    </row>
    <row r="41" spans="1:18" ht="14.25">
      <c r="A41" s="2157"/>
      <c r="B41" s="2143" t="s">
        <v>3174</v>
      </c>
      <c r="C41" s="2106" t="s">
        <v>3301</v>
      </c>
      <c r="D41" s="2100"/>
      <c r="E41" s="2100"/>
      <c r="F41" s="2097"/>
      <c r="G41" s="2146"/>
      <c r="I41" s="1" t="s">
        <v>2757</v>
      </c>
      <c r="J41" s="1">
        <v>4</v>
      </c>
      <c r="L41" s="1" t="s">
        <v>372</v>
      </c>
      <c r="M41" s="1"/>
    </row>
    <row r="42" spans="1:18" ht="14.25">
      <c r="A42" s="2157"/>
      <c r="B42" s="2143" t="s">
        <v>3175</v>
      </c>
      <c r="C42" s="2099" t="s">
        <v>3182</v>
      </c>
      <c r="D42" s="2100"/>
      <c r="E42" s="2100"/>
      <c r="F42" s="2097"/>
      <c r="G42" s="2146"/>
    </row>
    <row r="43" spans="1:18" ht="15" thickBot="1">
      <c r="A43" s="2157"/>
      <c r="B43" s="2144" t="s">
        <v>3176</v>
      </c>
      <c r="C43" s="2112" t="s">
        <v>373</v>
      </c>
      <c r="D43" s="2113" t="str">
        <f>IF(C43=I43,L43,L44)</f>
        <v>→LCCO2算定条件シート（標準計算）を入力</v>
      </c>
      <c r="E43" s="2100"/>
      <c r="F43" s="2114"/>
      <c r="G43" s="2146"/>
      <c r="I43" t="s">
        <v>373</v>
      </c>
      <c r="L43" t="s">
        <v>374</v>
      </c>
    </row>
    <row r="44" spans="1:18" ht="15" thickBot="1">
      <c r="A44" s="2157"/>
      <c r="B44" s="2115"/>
      <c r="C44" s="2115"/>
      <c r="D44" s="2115"/>
      <c r="E44" s="2115"/>
      <c r="F44" s="2115"/>
      <c r="G44" s="2146"/>
      <c r="I44" t="s">
        <v>375</v>
      </c>
      <c r="L44" t="s">
        <v>376</v>
      </c>
    </row>
    <row r="45" spans="1:18" ht="15" customHeight="1">
      <c r="A45" s="2157"/>
      <c r="B45" s="2158" t="s">
        <v>3183</v>
      </c>
      <c r="C45" s="2116"/>
      <c r="D45" s="2116"/>
      <c r="E45" s="2116"/>
      <c r="F45" s="2117"/>
      <c r="G45" s="2146"/>
    </row>
    <row r="46" spans="1:18" ht="15" customHeight="1" thickBot="1">
      <c r="A46" s="2157"/>
      <c r="B46" s="2136" t="s">
        <v>3184</v>
      </c>
      <c r="C46" s="2118"/>
      <c r="D46" s="2119"/>
      <c r="E46" s="2119"/>
      <c r="F46" s="2120"/>
      <c r="G46" s="2146"/>
      <c r="I46" s="1"/>
      <c r="J46" s="1" t="s">
        <v>559</v>
      </c>
      <c r="K46" s="1" t="s">
        <v>1120</v>
      </c>
      <c r="L46" s="1" t="s">
        <v>560</v>
      </c>
    </row>
    <row r="47" spans="1:18" ht="15" customHeight="1">
      <c r="A47" s="2157"/>
      <c r="B47" s="2159" t="s">
        <v>3185</v>
      </c>
      <c r="C47" s="2098">
        <f>E47+E48+E49</f>
        <v>500</v>
      </c>
      <c r="D47" s="2096" t="s">
        <v>3186</v>
      </c>
      <c r="E47" s="2095">
        <v>500</v>
      </c>
      <c r="F47" s="2105" t="s">
        <v>3136</v>
      </c>
      <c r="G47" s="2146"/>
      <c r="I47" s="1" t="s">
        <v>377</v>
      </c>
      <c r="J47" s="1">
        <f>C47</f>
        <v>500</v>
      </c>
      <c r="K47" s="1">
        <f>J47/$J$69</f>
        <v>0.33333333333333331</v>
      </c>
      <c r="L47" s="1"/>
      <c r="N47" s="1">
        <f>IF(J47=0,0,RANK(J47,$J$47:$J$67))</f>
        <v>2</v>
      </c>
      <c r="O47" s="1" t="str">
        <f>IF(AND(0&lt;N47,N47&lt;4),I47&amp;",","")</f>
        <v>事務所,</v>
      </c>
      <c r="P47" s="1285" t="s">
        <v>1464</v>
      </c>
      <c r="Q47" s="1286" t="s">
        <v>377</v>
      </c>
      <c r="R47" s="1294">
        <f>E47</f>
        <v>500</v>
      </c>
    </row>
    <row r="48" spans="1:18" ht="15" customHeight="1">
      <c r="A48" s="2157"/>
      <c r="B48" s="2143"/>
      <c r="C48" s="2096"/>
      <c r="D48" s="2122" t="s">
        <v>3187</v>
      </c>
      <c r="E48" s="2095"/>
      <c r="F48" s="2105" t="s">
        <v>3181</v>
      </c>
      <c r="G48" s="2146"/>
      <c r="I48" s="1"/>
      <c r="J48" s="1"/>
      <c r="K48" s="1"/>
      <c r="L48" s="1"/>
      <c r="N48" s="1">
        <f t="shared" ref="N48:N67" si="0">IF(J48=0,0,RANK(J48,$J$47:$J$67))</f>
        <v>0</v>
      </c>
      <c r="O48" s="1" t="str">
        <f t="shared" ref="O48:O67" si="1">IF(AND(0&lt;N48,N48&lt;4),I48&amp;",","")</f>
        <v/>
      </c>
      <c r="Q48" s="1286" t="s">
        <v>1904</v>
      </c>
      <c r="R48" s="1294">
        <f t="shared" ref="R48:R62" si="2">E48</f>
        <v>0</v>
      </c>
    </row>
    <row r="49" spans="1:18" ht="15" customHeight="1">
      <c r="A49" s="2157"/>
      <c r="B49" s="2143"/>
      <c r="C49" s="2096"/>
      <c r="D49" s="2799" t="s">
        <v>3832</v>
      </c>
      <c r="E49" s="2095"/>
      <c r="F49" s="2105" t="s">
        <v>3181</v>
      </c>
      <c r="G49" s="2146"/>
      <c r="I49" s="1"/>
      <c r="J49" s="1"/>
      <c r="K49" s="1"/>
      <c r="L49" s="1"/>
      <c r="N49" s="1"/>
      <c r="O49" s="1"/>
      <c r="P49" s="1287"/>
      <c r="Q49" s="1286" t="s">
        <v>3832</v>
      </c>
      <c r="R49" s="1294">
        <f t="shared" si="2"/>
        <v>0</v>
      </c>
    </row>
    <row r="50" spans="1:18" ht="15" customHeight="1">
      <c r="A50" s="2157"/>
      <c r="B50" s="2143" t="s">
        <v>3188</v>
      </c>
      <c r="C50" s="2098">
        <f>SUM(E50:E54)</f>
        <v>0</v>
      </c>
      <c r="D50" s="2096" t="s">
        <v>3189</v>
      </c>
      <c r="E50" s="2095"/>
      <c r="F50" s="2105" t="s">
        <v>3181</v>
      </c>
      <c r="G50" s="2146"/>
      <c r="I50" s="1" t="s">
        <v>378</v>
      </c>
      <c r="J50" s="1452">
        <f>C50</f>
        <v>0</v>
      </c>
      <c r="K50" s="1">
        <f>J50/$J$69</f>
        <v>0</v>
      </c>
      <c r="L50" s="1"/>
      <c r="N50" s="1">
        <f t="shared" si="0"/>
        <v>0</v>
      </c>
      <c r="O50" s="1" t="str">
        <f t="shared" si="1"/>
        <v/>
      </c>
      <c r="P50" s="1289" t="s">
        <v>1908</v>
      </c>
      <c r="Q50" s="1286" t="s">
        <v>1909</v>
      </c>
      <c r="R50" s="1294">
        <f t="shared" si="2"/>
        <v>0</v>
      </c>
    </row>
    <row r="51" spans="1:18" ht="15" customHeight="1">
      <c r="A51" s="2157"/>
      <c r="B51" s="2143"/>
      <c r="C51" s="2096"/>
      <c r="D51" s="2122" t="s">
        <v>3143</v>
      </c>
      <c r="E51" s="2095"/>
      <c r="F51" s="2105" t="s">
        <v>3181</v>
      </c>
      <c r="G51" s="2146"/>
      <c r="I51" s="1"/>
      <c r="J51" s="1613"/>
      <c r="K51" s="1"/>
      <c r="L51" s="1"/>
      <c r="N51" s="1">
        <f t="shared" si="0"/>
        <v>0</v>
      </c>
      <c r="O51" s="1" t="str">
        <f t="shared" si="1"/>
        <v/>
      </c>
      <c r="P51" s="1289"/>
      <c r="Q51" s="1286" t="s">
        <v>1111</v>
      </c>
      <c r="R51" s="1294">
        <f t="shared" si="2"/>
        <v>0</v>
      </c>
    </row>
    <row r="52" spans="1:18" ht="15" customHeight="1">
      <c r="A52" s="2157"/>
      <c r="B52" s="2143"/>
      <c r="C52" s="2096"/>
      <c r="D52" s="2122" t="s">
        <v>3144</v>
      </c>
      <c r="E52" s="2095"/>
      <c r="F52" s="2105" t="s">
        <v>3181</v>
      </c>
      <c r="G52" s="2146"/>
      <c r="I52" s="1"/>
      <c r="J52" s="1"/>
      <c r="K52" s="1"/>
      <c r="L52" s="1"/>
      <c r="N52" s="1">
        <f t="shared" si="0"/>
        <v>0</v>
      </c>
      <c r="O52" s="1" t="str">
        <f t="shared" si="1"/>
        <v/>
      </c>
      <c r="P52" s="1289"/>
      <c r="Q52" s="1286" t="s">
        <v>1112</v>
      </c>
      <c r="R52" s="1294">
        <f t="shared" si="2"/>
        <v>0</v>
      </c>
    </row>
    <row r="53" spans="1:18" ht="15" customHeight="1">
      <c r="A53" s="2157"/>
      <c r="B53" s="2143"/>
      <c r="C53" s="2096"/>
      <c r="D53" s="2122" t="s">
        <v>3191</v>
      </c>
      <c r="E53" s="2095"/>
      <c r="F53" s="2105" t="s">
        <v>3181</v>
      </c>
      <c r="G53" s="2146"/>
      <c r="I53" s="1"/>
      <c r="J53" s="1"/>
      <c r="K53" s="1"/>
      <c r="L53" s="1"/>
      <c r="N53" s="1">
        <f t="shared" si="0"/>
        <v>0</v>
      </c>
      <c r="O53" s="1" t="str">
        <f t="shared" si="1"/>
        <v/>
      </c>
      <c r="P53" s="1289"/>
      <c r="Q53" s="1286" t="s">
        <v>1912</v>
      </c>
      <c r="R53" s="1294">
        <f t="shared" si="2"/>
        <v>0</v>
      </c>
    </row>
    <row r="54" spans="1:18" ht="15" customHeight="1">
      <c r="A54" s="2157"/>
      <c r="B54" s="2143"/>
      <c r="C54" s="2096"/>
      <c r="D54" s="2122" t="s">
        <v>3192</v>
      </c>
      <c r="E54" s="2095"/>
      <c r="F54" s="2105" t="s">
        <v>3181</v>
      </c>
      <c r="G54" s="2146"/>
      <c r="I54" s="1"/>
      <c r="J54" s="1"/>
      <c r="K54" s="1"/>
      <c r="L54" s="1"/>
      <c r="N54" s="1">
        <f t="shared" si="0"/>
        <v>0</v>
      </c>
      <c r="O54" s="1" t="str">
        <f t="shared" si="1"/>
        <v/>
      </c>
      <c r="P54" s="1287"/>
      <c r="Q54" s="1286" t="s">
        <v>1913</v>
      </c>
      <c r="R54" s="1294">
        <f t="shared" si="2"/>
        <v>0</v>
      </c>
    </row>
    <row r="55" spans="1:18" ht="15" customHeight="1">
      <c r="A55" s="2157"/>
      <c r="B55" s="2143" t="s">
        <v>3193</v>
      </c>
      <c r="C55" s="2098">
        <f>E55+E56+E57+E58</f>
        <v>0</v>
      </c>
      <c r="D55" s="2096" t="s">
        <v>3194</v>
      </c>
      <c r="E55" s="2095"/>
      <c r="F55" s="2105" t="s">
        <v>3181</v>
      </c>
      <c r="G55" s="2146"/>
      <c r="I55" s="1" t="s">
        <v>379</v>
      </c>
      <c r="J55" s="1452">
        <f>C55</f>
        <v>0</v>
      </c>
      <c r="K55" s="1">
        <f>J55/$J$69</f>
        <v>0</v>
      </c>
      <c r="L55" s="1"/>
      <c r="N55" s="1">
        <f t="shared" si="0"/>
        <v>0</v>
      </c>
      <c r="O55" s="1" t="str">
        <f t="shared" si="1"/>
        <v/>
      </c>
      <c r="P55" s="1285" t="s">
        <v>1905</v>
      </c>
      <c r="Q55" s="1286" t="s">
        <v>1617</v>
      </c>
      <c r="R55" s="1294">
        <f t="shared" si="2"/>
        <v>0</v>
      </c>
    </row>
    <row r="56" spans="1:18" ht="15" customHeight="1">
      <c r="A56" s="2157"/>
      <c r="B56" s="2143"/>
      <c r="C56" s="2767"/>
      <c r="D56" s="2122" t="s">
        <v>3829</v>
      </c>
      <c r="E56" s="2095"/>
      <c r="F56" s="2105" t="s">
        <v>3181</v>
      </c>
      <c r="G56" s="2146"/>
      <c r="I56" s="1"/>
      <c r="J56" s="1452"/>
      <c r="K56" s="1"/>
      <c r="L56" s="1"/>
      <c r="N56" s="1"/>
      <c r="O56" s="1"/>
      <c r="P56" s="1289"/>
      <c r="Q56" s="1286" t="s">
        <v>3829</v>
      </c>
      <c r="R56" s="1294">
        <f t="shared" si="2"/>
        <v>0</v>
      </c>
    </row>
    <row r="57" spans="1:18" ht="15" customHeight="1">
      <c r="A57" s="2157"/>
      <c r="B57" s="2143"/>
      <c r="C57" s="2767"/>
      <c r="D57" s="2122" t="s">
        <v>3830</v>
      </c>
      <c r="E57" s="2095"/>
      <c r="F57" s="2105" t="s">
        <v>3181</v>
      </c>
      <c r="G57" s="2146"/>
      <c r="I57" s="1"/>
      <c r="J57" s="1452"/>
      <c r="K57" s="1"/>
      <c r="L57" s="1"/>
      <c r="N57" s="1"/>
      <c r="O57" s="1"/>
      <c r="P57" s="1289"/>
      <c r="Q57" s="1286" t="s">
        <v>3830</v>
      </c>
      <c r="R57" s="1294">
        <f t="shared" si="2"/>
        <v>0</v>
      </c>
    </row>
    <row r="58" spans="1:18" ht="15" customHeight="1">
      <c r="A58" s="2157"/>
      <c r="B58" s="2143"/>
      <c r="C58" s="2096"/>
      <c r="D58" s="2122" t="s">
        <v>3195</v>
      </c>
      <c r="E58" s="2095"/>
      <c r="F58" s="2105" t="s">
        <v>3181</v>
      </c>
      <c r="G58" s="2146"/>
      <c r="I58" s="1"/>
      <c r="J58" s="1"/>
      <c r="K58" s="1"/>
      <c r="L58" s="1"/>
      <c r="N58" s="1">
        <f t="shared" si="0"/>
        <v>0</v>
      </c>
      <c r="O58" s="1" t="str">
        <f t="shared" si="1"/>
        <v/>
      </c>
      <c r="P58" s="1287"/>
      <c r="Q58" s="1286" t="s">
        <v>1906</v>
      </c>
      <c r="R58" s="1294">
        <f t="shared" si="2"/>
        <v>0</v>
      </c>
    </row>
    <row r="59" spans="1:18" ht="15" customHeight="1">
      <c r="A59" s="2157"/>
      <c r="B59" s="2143" t="s">
        <v>3196</v>
      </c>
      <c r="C59" s="2121"/>
      <c r="D59" s="2096" t="s">
        <v>3138</v>
      </c>
      <c r="E59" s="2262"/>
      <c r="F59" s="2105"/>
      <c r="G59" s="2146"/>
      <c r="I59" s="1" t="s">
        <v>380</v>
      </c>
      <c r="J59" s="1613">
        <f>C59</f>
        <v>0</v>
      </c>
      <c r="K59" s="1">
        <f>J59/$J$69</f>
        <v>0</v>
      </c>
      <c r="L59" s="1"/>
      <c r="N59" s="1">
        <f t="shared" si="0"/>
        <v>0</v>
      </c>
      <c r="O59" s="1" t="str">
        <f t="shared" si="1"/>
        <v/>
      </c>
      <c r="P59" s="1286" t="s">
        <v>380</v>
      </c>
      <c r="Q59" s="1288"/>
      <c r="R59" s="1294">
        <f t="shared" si="2"/>
        <v>0</v>
      </c>
    </row>
    <row r="60" spans="1:18" ht="15" customHeight="1">
      <c r="A60" s="2157"/>
      <c r="B60" s="2143" t="s">
        <v>3197</v>
      </c>
      <c r="C60" s="2098">
        <f>E60+E61+E62</f>
        <v>0</v>
      </c>
      <c r="D60" s="2096" t="s">
        <v>3198</v>
      </c>
      <c r="E60" s="2095"/>
      <c r="F60" s="2105" t="s">
        <v>3181</v>
      </c>
      <c r="G60" s="2146"/>
      <c r="I60" s="1" t="s">
        <v>381</v>
      </c>
      <c r="J60" s="1">
        <f>C60</f>
        <v>0</v>
      </c>
      <c r="K60" s="1">
        <f>J60/$J$69</f>
        <v>0</v>
      </c>
      <c r="L60" s="1"/>
      <c r="N60" s="1">
        <f t="shared" si="0"/>
        <v>0</v>
      </c>
      <c r="O60" s="1" t="str">
        <f t="shared" si="1"/>
        <v/>
      </c>
      <c r="P60" s="1285" t="s">
        <v>1914</v>
      </c>
      <c r="Q60" s="1286" t="s">
        <v>1915</v>
      </c>
      <c r="R60" s="1294">
        <f t="shared" si="2"/>
        <v>0</v>
      </c>
    </row>
    <row r="61" spans="1:18" ht="15" customHeight="1">
      <c r="A61" s="2157"/>
      <c r="B61" s="2143"/>
      <c r="C61" s="2096"/>
      <c r="D61" s="2122" t="s">
        <v>3199</v>
      </c>
      <c r="E61" s="2095"/>
      <c r="F61" s="2105" t="s">
        <v>3181</v>
      </c>
      <c r="G61" s="2146"/>
      <c r="I61" s="1"/>
      <c r="J61" s="1"/>
      <c r="K61" s="1"/>
      <c r="L61" s="1"/>
      <c r="N61" s="1">
        <f t="shared" si="0"/>
        <v>0</v>
      </c>
      <c r="O61" s="1" t="str">
        <f t="shared" si="1"/>
        <v/>
      </c>
      <c r="P61" s="1289"/>
      <c r="Q61" s="1286" t="s">
        <v>1916</v>
      </c>
      <c r="R61" s="1294">
        <f t="shared" si="2"/>
        <v>0</v>
      </c>
    </row>
    <row r="62" spans="1:18" ht="15" customHeight="1">
      <c r="A62" s="2157"/>
      <c r="B62" s="2143"/>
      <c r="C62" s="2096"/>
      <c r="D62" s="2122" t="s">
        <v>3200</v>
      </c>
      <c r="E62" s="2095"/>
      <c r="F62" s="2105" t="s">
        <v>3181</v>
      </c>
      <c r="G62" s="2146"/>
      <c r="I62" s="1"/>
      <c r="J62" s="1"/>
      <c r="K62" s="1"/>
      <c r="L62" s="1"/>
      <c r="N62" s="1">
        <f t="shared" si="0"/>
        <v>0</v>
      </c>
      <c r="O62" s="1" t="str">
        <f t="shared" si="1"/>
        <v/>
      </c>
      <c r="P62" s="1289"/>
      <c r="Q62" s="1283" t="s">
        <v>1917</v>
      </c>
      <c r="R62" s="1294">
        <f t="shared" si="2"/>
        <v>0</v>
      </c>
    </row>
    <row r="63" spans="1:18" ht="15" customHeight="1">
      <c r="A63" s="2157"/>
      <c r="B63" s="2143" t="s">
        <v>3201</v>
      </c>
      <c r="C63" s="2121"/>
      <c r="D63" s="2123" t="s">
        <v>3145</v>
      </c>
      <c r="E63" s="2095"/>
      <c r="F63" s="2105" t="s">
        <v>3190</v>
      </c>
      <c r="G63" s="2146"/>
      <c r="I63" s="1" t="s">
        <v>385</v>
      </c>
      <c r="J63" s="1">
        <f>C63</f>
        <v>0</v>
      </c>
      <c r="K63" s="1">
        <f>J63/$J$69</f>
        <v>0</v>
      </c>
      <c r="L63" s="1"/>
      <c r="N63" s="1">
        <f t="shared" si="0"/>
        <v>0</v>
      </c>
      <c r="O63" s="1" t="str">
        <f t="shared" si="1"/>
        <v/>
      </c>
      <c r="P63" s="1286" t="s">
        <v>385</v>
      </c>
      <c r="Q63" s="1288"/>
      <c r="R63" s="1294">
        <f>C63</f>
        <v>0</v>
      </c>
    </row>
    <row r="64" spans="1:18" ht="15" customHeight="1">
      <c r="A64" s="2157"/>
      <c r="B64" s="2143" t="s">
        <v>3202</v>
      </c>
      <c r="C64" s="2121">
        <v>0</v>
      </c>
      <c r="D64" s="2096" t="s">
        <v>3181</v>
      </c>
      <c r="E64" s="2262"/>
      <c r="F64" s="2105"/>
      <c r="G64" s="2146"/>
      <c r="I64" s="1" t="s">
        <v>382</v>
      </c>
      <c r="J64" s="1">
        <f>C64</f>
        <v>0</v>
      </c>
      <c r="K64" s="1">
        <f>J64/$J$69</f>
        <v>0</v>
      </c>
      <c r="L64" s="1">
        <f>J64*F71</f>
        <v>0</v>
      </c>
      <c r="N64" s="1">
        <f t="shared" si="0"/>
        <v>0</v>
      </c>
      <c r="O64" s="1" t="str">
        <f t="shared" si="1"/>
        <v/>
      </c>
      <c r="P64" s="1286" t="s">
        <v>382</v>
      </c>
      <c r="Q64" s="1288"/>
      <c r="R64" s="1294">
        <f>C64</f>
        <v>0</v>
      </c>
    </row>
    <row r="65" spans="1:18" ht="15" customHeight="1">
      <c r="A65" s="2157"/>
      <c r="B65" s="2143" t="s">
        <v>3203</v>
      </c>
      <c r="C65" s="2121"/>
      <c r="D65" s="2096" t="s">
        <v>3181</v>
      </c>
      <c r="E65" s="2262"/>
      <c r="F65" s="2105"/>
      <c r="G65" s="2146"/>
      <c r="I65" s="1" t="s">
        <v>561</v>
      </c>
      <c r="J65" s="1">
        <f>C65</f>
        <v>0</v>
      </c>
      <c r="K65" s="1">
        <f>J65/$J$69</f>
        <v>0</v>
      </c>
      <c r="L65" s="1">
        <f>J65*F72</f>
        <v>0</v>
      </c>
      <c r="N65" s="1">
        <f t="shared" si="0"/>
        <v>0</v>
      </c>
      <c r="O65" s="1" t="str">
        <f t="shared" si="1"/>
        <v/>
      </c>
      <c r="P65" s="1286" t="s">
        <v>1907</v>
      </c>
      <c r="Q65" s="1288"/>
      <c r="R65" s="1294">
        <f>C65</f>
        <v>0</v>
      </c>
    </row>
    <row r="66" spans="1:18" ht="15" customHeight="1">
      <c r="A66" s="2157"/>
      <c r="B66" s="2143" t="s">
        <v>3204</v>
      </c>
      <c r="C66" s="2098">
        <f>SUM(C47:C65)</f>
        <v>500</v>
      </c>
      <c r="D66" s="2096" t="s">
        <v>3181</v>
      </c>
      <c r="E66" s="2262"/>
      <c r="F66" s="2105"/>
      <c r="G66" s="2146"/>
      <c r="I66" s="1"/>
      <c r="J66" s="1"/>
      <c r="K66" s="1"/>
      <c r="L66" s="1"/>
      <c r="N66" s="1">
        <f t="shared" si="0"/>
        <v>0</v>
      </c>
      <c r="O66" s="1" t="str">
        <f t="shared" si="1"/>
        <v/>
      </c>
      <c r="P66" s="1293"/>
      <c r="Q66" s="1284"/>
    </row>
    <row r="67" spans="1:18" ht="15" customHeight="1">
      <c r="A67" s="2157"/>
      <c r="B67" s="2143" t="s">
        <v>3205</v>
      </c>
      <c r="C67" s="2098">
        <f>E67+E68</f>
        <v>1000</v>
      </c>
      <c r="D67" s="2096" t="s">
        <v>3146</v>
      </c>
      <c r="E67" s="2095">
        <v>800</v>
      </c>
      <c r="F67" s="2105" t="s">
        <v>3206</v>
      </c>
      <c r="G67" s="2146"/>
      <c r="I67" s="1" t="s">
        <v>384</v>
      </c>
      <c r="J67" s="1">
        <f>C67</f>
        <v>1000</v>
      </c>
      <c r="K67" s="1">
        <f>J67/$J$69</f>
        <v>0.66666666666666663</v>
      </c>
      <c r="L67" s="1613">
        <f>E67</f>
        <v>800</v>
      </c>
      <c r="N67" s="1">
        <f t="shared" si="0"/>
        <v>1</v>
      </c>
      <c r="O67" s="1" t="str">
        <f t="shared" si="1"/>
        <v>集合住宅,</v>
      </c>
      <c r="P67" s="2" t="s">
        <v>1722</v>
      </c>
      <c r="Q67" s="1290" t="s">
        <v>1938</v>
      </c>
      <c r="R67" s="1294">
        <f>E67</f>
        <v>800</v>
      </c>
    </row>
    <row r="68" spans="1:18" ht="15" customHeight="1">
      <c r="A68" s="2157"/>
      <c r="B68" s="2160"/>
      <c r="C68" s="2096"/>
      <c r="D68" s="2122" t="s">
        <v>3137</v>
      </c>
      <c r="E68" s="2095">
        <v>200</v>
      </c>
      <c r="F68" s="2105" t="s">
        <v>3181</v>
      </c>
      <c r="G68" s="2146"/>
      <c r="I68" s="1"/>
      <c r="J68" s="1"/>
      <c r="K68" s="1"/>
      <c r="L68" s="1"/>
      <c r="N68" s="1"/>
      <c r="O68" s="1"/>
      <c r="P68" s="1291"/>
      <c r="Q68" s="1286" t="s">
        <v>388</v>
      </c>
      <c r="R68" s="1294">
        <f>E68</f>
        <v>200</v>
      </c>
    </row>
    <row r="69" spans="1:18" ht="15" customHeight="1">
      <c r="A69" s="2157"/>
      <c r="B69" s="2160"/>
      <c r="C69" s="2096"/>
      <c r="D69" s="2096"/>
      <c r="E69" s="2096"/>
      <c r="F69" s="2097"/>
      <c r="G69" s="2146"/>
      <c r="I69" s="1" t="s">
        <v>386</v>
      </c>
      <c r="J69" s="1">
        <f>SUM(J47:J67)</f>
        <v>1500</v>
      </c>
      <c r="K69" s="1">
        <f>J69/$J$69</f>
        <v>1</v>
      </c>
      <c r="L69" s="1">
        <f>SUM(L47:L67)</f>
        <v>800</v>
      </c>
      <c r="O69" s="1" t="str">
        <f>IF(MAX(N47:N66)&gt;3,"等","")</f>
        <v/>
      </c>
    </row>
    <row r="70" spans="1:18" ht="15" customHeight="1">
      <c r="A70" s="2157"/>
      <c r="B70" s="2136" t="s">
        <v>3207</v>
      </c>
      <c r="C70" s="2118"/>
      <c r="D70" s="2124"/>
      <c r="E70" s="2119"/>
      <c r="F70" s="2120"/>
      <c r="G70" s="2146"/>
      <c r="O70" s="1" t="str">
        <f>O47&amp;O50&amp;O55&amp;O59&amp;O60&amp;O64&amp;O65&amp;O67&amp;O63&amp;O69</f>
        <v>事務所,集合住宅,</v>
      </c>
    </row>
    <row r="71" spans="1:18" ht="15" customHeight="1">
      <c r="A71" s="2157"/>
      <c r="B71" s="2143" t="s">
        <v>3208</v>
      </c>
      <c r="C71" s="2125"/>
      <c r="D71" s="2125"/>
      <c r="E71" s="2125"/>
      <c r="F71" s="2126"/>
      <c r="G71" s="2146"/>
    </row>
    <row r="72" spans="1:18" ht="15" customHeight="1">
      <c r="A72" s="2157"/>
      <c r="B72" s="2143" t="s">
        <v>3209</v>
      </c>
      <c r="C72" s="2125"/>
      <c r="D72" s="2125"/>
      <c r="E72" s="2125"/>
      <c r="F72" s="2126"/>
      <c r="G72" s="2146"/>
    </row>
    <row r="73" spans="1:18" ht="15" customHeight="1">
      <c r="A73" s="2157"/>
      <c r="B73" s="2143" t="s">
        <v>3210</v>
      </c>
      <c r="C73" s="2125"/>
      <c r="D73" s="2127"/>
      <c r="E73" s="2127"/>
      <c r="F73" s="2128">
        <f>IF(C67=0,0,E67/C67)</f>
        <v>0.8</v>
      </c>
      <c r="G73" s="2146"/>
    </row>
    <row r="74" spans="1:18" ht="15" customHeight="1" thickBot="1">
      <c r="A74" s="2125"/>
      <c r="B74" s="2144"/>
      <c r="C74" s="2129"/>
      <c r="D74" s="2129"/>
      <c r="E74" s="2129"/>
      <c r="F74" s="2130"/>
      <c r="G74" s="2125"/>
    </row>
    <row r="75" spans="1:18" ht="5.25" customHeight="1" thickBot="1">
      <c r="A75" s="2125"/>
      <c r="B75" s="2125"/>
      <c r="C75" s="2125"/>
      <c r="D75" s="2125"/>
      <c r="E75" s="2125"/>
      <c r="F75" s="2125"/>
      <c r="G75" s="2125"/>
    </row>
    <row r="76" spans="1:18" ht="15" customHeight="1" thickBot="1">
      <c r="A76" s="2157"/>
      <c r="B76" s="2161" t="s">
        <v>3211</v>
      </c>
      <c r="C76" s="2162"/>
      <c r="D76" s="2162"/>
      <c r="E76" s="2163"/>
      <c r="F76" s="2164"/>
      <c r="G76" s="2146"/>
    </row>
    <row r="77" spans="1:18" ht="15" customHeight="1" thickBot="1">
      <c r="A77" s="2157"/>
      <c r="B77" s="2165" t="s">
        <v>3212</v>
      </c>
      <c r="C77" s="2166" t="s">
        <v>3213</v>
      </c>
      <c r="D77" s="2167"/>
      <c r="E77" s="2168"/>
      <c r="F77" s="2169"/>
      <c r="G77" s="2146"/>
    </row>
    <row r="78" spans="1:18" ht="15" customHeight="1">
      <c r="A78" s="2157"/>
      <c r="B78" s="2170" t="s">
        <v>3214</v>
      </c>
      <c r="C78" s="2171" t="s">
        <v>3215</v>
      </c>
      <c r="D78" s="2172"/>
      <c r="E78" s="2172" t="s">
        <v>3216</v>
      </c>
      <c r="F78" s="2173"/>
      <c r="G78" s="2146"/>
    </row>
    <row r="79" spans="1:18" ht="15" customHeight="1" thickBot="1">
      <c r="A79" s="2146"/>
      <c r="B79" s="2165" t="s">
        <v>3217</v>
      </c>
      <c r="C79" s="2174" t="s">
        <v>3218</v>
      </c>
      <c r="D79" s="2175"/>
      <c r="E79" s="2175" t="s">
        <v>3219</v>
      </c>
      <c r="F79" s="2176"/>
      <c r="G79" s="2146"/>
    </row>
    <row r="80" spans="1:18" ht="5.25" customHeight="1">
      <c r="A80" s="2157"/>
      <c r="B80" s="2157"/>
      <c r="C80" s="2157"/>
      <c r="D80" s="2157"/>
      <c r="E80" s="2157"/>
      <c r="F80" s="2157"/>
      <c r="G80" s="2146"/>
    </row>
    <row r="81" spans="1:7" ht="15" customHeight="1">
      <c r="A81" s="2146"/>
      <c r="B81" s="2177" t="s">
        <v>3220</v>
      </c>
      <c r="C81" s="2178" t="s">
        <v>3221</v>
      </c>
      <c r="D81" s="2179"/>
      <c r="E81" s="2180"/>
      <c r="F81" s="2181"/>
      <c r="G81" s="2146"/>
    </row>
    <row r="82" spans="1:7" ht="15" customHeight="1">
      <c r="A82" s="2146"/>
      <c r="B82" s="2182" t="s">
        <v>3222</v>
      </c>
      <c r="C82" s="2183" t="s">
        <v>3223</v>
      </c>
      <c r="D82" s="2184"/>
      <c r="E82" s="2185"/>
      <c r="F82" s="2186"/>
      <c r="G82" s="2187"/>
    </row>
    <row r="83" spans="1:7" ht="15" customHeight="1">
      <c r="A83" s="2146"/>
      <c r="B83" s="2188" t="s">
        <v>3188</v>
      </c>
      <c r="C83" s="2189" t="s">
        <v>3224</v>
      </c>
      <c r="D83" s="2190"/>
      <c r="E83" s="2191"/>
      <c r="F83" s="2192"/>
      <c r="G83" s="2187"/>
    </row>
    <row r="84" spans="1:7" ht="15" customHeight="1">
      <c r="A84" s="2146"/>
      <c r="B84" s="2188" t="s">
        <v>3193</v>
      </c>
      <c r="C84" s="2189" t="s">
        <v>3225</v>
      </c>
      <c r="D84" s="2190"/>
      <c r="E84" s="2191"/>
      <c r="F84" s="2192"/>
      <c r="G84" s="2187"/>
    </row>
    <row r="85" spans="1:7" ht="15" customHeight="1">
      <c r="A85" s="2146"/>
      <c r="B85" s="2188" t="s">
        <v>3196</v>
      </c>
      <c r="C85" s="2189" t="s">
        <v>3226</v>
      </c>
      <c r="D85" s="2190"/>
      <c r="E85" s="2191"/>
      <c r="F85" s="2192"/>
      <c r="G85" s="2187"/>
    </row>
    <row r="86" spans="1:7" ht="15" customHeight="1">
      <c r="A86" s="2146"/>
      <c r="B86" s="2188" t="s">
        <v>3197</v>
      </c>
      <c r="C86" s="2193" t="s">
        <v>3227</v>
      </c>
      <c r="D86" s="2190"/>
      <c r="E86" s="2191"/>
      <c r="F86" s="2192"/>
      <c r="G86" s="2187"/>
    </row>
    <row r="87" spans="1:7" ht="15" customHeight="1">
      <c r="A87" s="2146"/>
      <c r="B87" s="2188" t="s">
        <v>3201</v>
      </c>
      <c r="C87" s="2189" t="s">
        <v>3228</v>
      </c>
      <c r="D87" s="2190"/>
      <c r="E87" s="2194"/>
      <c r="F87" s="2192"/>
      <c r="G87" s="2187"/>
    </row>
    <row r="88" spans="1:7" ht="15" customHeight="1">
      <c r="A88" s="2146"/>
      <c r="B88" s="2188" t="s">
        <v>3202</v>
      </c>
      <c r="C88" s="2189" t="s">
        <v>3229</v>
      </c>
      <c r="D88" s="2190"/>
      <c r="E88" s="2191"/>
      <c r="F88" s="2192"/>
      <c r="G88" s="2187"/>
    </row>
    <row r="89" spans="1:7" ht="15" customHeight="1">
      <c r="A89" s="2146"/>
      <c r="B89" s="2188" t="s">
        <v>3203</v>
      </c>
      <c r="C89" s="2189" t="s">
        <v>3230</v>
      </c>
      <c r="D89" s="2190"/>
      <c r="E89" s="2191"/>
      <c r="F89" s="2192"/>
      <c r="G89" s="2187"/>
    </row>
    <row r="90" spans="1:7" ht="15" customHeight="1">
      <c r="A90" s="2146"/>
      <c r="B90" s="2195" t="s">
        <v>3205</v>
      </c>
      <c r="C90" s="2196" t="s">
        <v>3231</v>
      </c>
      <c r="D90" s="2197"/>
      <c r="E90" s="2198"/>
      <c r="F90" s="2199"/>
      <c r="G90" s="2187"/>
    </row>
    <row r="91" spans="1:7" ht="14.25">
      <c r="A91" s="2146"/>
      <c r="B91" s="2146"/>
      <c r="C91" s="2146"/>
      <c r="D91" s="2146"/>
      <c r="E91" s="2146"/>
      <c r="F91" s="2146"/>
      <c r="G91" s="2146"/>
    </row>
  </sheetData>
  <sheetProtection algorithmName="SHA-512" hashValue="dC9NmKRyee+bGP00z6kDPCOZSr7lFuEsgT4kodBxhv3aIS7ggmOGMH03OUT2hwlXrEum6MzlRfJxC9AmeXTJwg==" saltValue="Y7SMaHhCZmEdsBdnD5hAEg==" spinCount="100000" sheet="1" formatCells="0" formatColumns="0" formatRows="0" insertColumns="0" insertRows="0" insertHyperlinks="0" deleteColumns="0" deleteRows="0" sort="0" autoFilter="0" pivotTables="0"/>
  <mergeCells count="6">
    <mergeCell ref="C11:E11"/>
    <mergeCell ref="C27:E27"/>
    <mergeCell ref="C12:E12"/>
    <mergeCell ref="C14:E14"/>
    <mergeCell ref="C20:E20"/>
    <mergeCell ref="C21:E21"/>
  </mergeCells>
  <phoneticPr fontId="27"/>
  <conditionalFormatting sqref="C11:C12 D12:E12">
    <cfRule type="cellIs" dxfId="342" priority="10" stopIfTrue="1" operator="equal">
      <formula>0</formula>
    </cfRule>
  </conditionalFormatting>
  <conditionalFormatting sqref="C15:C18">
    <cfRule type="cellIs" dxfId="341" priority="2" stopIfTrue="1" operator="equal">
      <formula>0</formula>
    </cfRule>
  </conditionalFormatting>
  <conditionalFormatting sqref="C22:C23">
    <cfRule type="cellIs" dxfId="340" priority="6" stopIfTrue="1" operator="equal">
      <formula>0</formula>
    </cfRule>
  </conditionalFormatting>
  <conditionalFormatting sqref="C26">
    <cfRule type="cellIs" dxfId="339" priority="15" stopIfTrue="1" operator="equal">
      <formula>0</formula>
    </cfRule>
  </conditionalFormatting>
  <conditionalFormatting sqref="C29:C30">
    <cfRule type="cellIs" dxfId="338" priority="12" stopIfTrue="1" operator="equal">
      <formula>0</formula>
    </cfRule>
  </conditionalFormatting>
  <conditionalFormatting sqref="C32:C34">
    <cfRule type="cellIs" dxfId="337" priority="5" stopIfTrue="1" operator="equal">
      <formula>0</formula>
    </cfRule>
  </conditionalFormatting>
  <conditionalFormatting sqref="C39:C41">
    <cfRule type="cellIs" dxfId="336" priority="26" stopIfTrue="1" operator="equal">
      <formula>0</formula>
    </cfRule>
  </conditionalFormatting>
  <conditionalFormatting sqref="C13:E14">
    <cfRule type="cellIs" dxfId="335" priority="9" stopIfTrue="1" operator="equal">
      <formula>0</formula>
    </cfRule>
  </conditionalFormatting>
  <conditionalFormatting sqref="C20:E20">
    <cfRule type="cellIs" dxfId="334" priority="8" stopIfTrue="1" operator="equal">
      <formula>0</formula>
    </cfRule>
  </conditionalFormatting>
  <conditionalFormatting sqref="C27:E27">
    <cfRule type="cellIs" dxfId="333" priority="14" stopIfTrue="1" operator="equal">
      <formula>0</formula>
    </cfRule>
  </conditionalFormatting>
  <conditionalFormatting sqref="E47:E58">
    <cfRule type="cellIs" dxfId="332" priority="4" stopIfTrue="1" operator="equal">
      <formula>0</formula>
    </cfRule>
  </conditionalFormatting>
  <conditionalFormatting sqref="E60:E63">
    <cfRule type="cellIs" dxfId="331" priority="32" stopIfTrue="1" operator="equal">
      <formula>0</formula>
    </cfRule>
  </conditionalFormatting>
  <conditionalFormatting sqref="E67:E68">
    <cfRule type="cellIs" dxfId="330" priority="1" stopIfTrue="1" operator="equal">
      <formula>0</formula>
    </cfRule>
  </conditionalFormatting>
  <conditionalFormatting sqref="F12:F13 F15 E39 C59 C63:C65">
    <cfRule type="cellIs" dxfId="329" priority="33" stopIfTrue="1" operator="equal">
      <formula>0</formula>
    </cfRule>
  </conditionalFormatting>
  <conditionalFormatting sqref="F71">
    <cfRule type="expression" dxfId="328" priority="35" stopIfTrue="1">
      <formula>AND($C$64&gt;0,F71=0)</formula>
    </cfRule>
  </conditionalFormatting>
  <conditionalFormatting sqref="F72">
    <cfRule type="expression" dxfId="327" priority="34" stopIfTrue="1">
      <formula>AND($C$65&gt;0,F72=0)</formula>
    </cfRule>
  </conditionalFormatting>
  <dataValidations disablePrompts="1" count="7">
    <dataValidation type="list" allowBlank="1" showInputMessage="1" showErrorMessage="1" sqref="F15" xr:uid="{00000000-0002-0000-0000-000000000000}">
      <formula1>"予定,竣工"</formula1>
    </dataValidation>
    <dataValidation type="decimal" allowBlank="1" showInputMessage="1" showErrorMessage="1" sqref="F71:F72" xr:uid="{00000000-0002-0000-0000-000001000000}">
      <formula1>0</formula1>
      <formula2>1</formula2>
    </dataValidation>
    <dataValidation type="list" allowBlank="1" showInputMessage="1" showErrorMessage="1" sqref="C23" xr:uid="{00000000-0002-0000-0000-000002000000}">
      <formula1>$I$23:$L$23</formula1>
    </dataValidation>
    <dataValidation type="list" allowBlank="1" showInputMessage="1" showErrorMessage="1" sqref="C43" xr:uid="{00000000-0002-0000-0000-000003000000}">
      <formula1>$I$43:$I$44</formula1>
    </dataValidation>
    <dataValidation type="list" allowBlank="1" showInputMessage="1" showErrorMessage="1" sqref="F13" xr:uid="{00000000-0002-0000-0000-000004000000}">
      <formula1>$I$11:$I$16</formula1>
    </dataValidation>
    <dataValidation type="list" allowBlank="1" showInputMessage="1" showErrorMessage="1" sqref="F12" xr:uid="{00000000-0002-0000-0000-000005000000}">
      <formula1>$I$11:$I$18</formula1>
    </dataValidation>
    <dataValidation type="list" allowBlank="1" showInputMessage="1" showErrorMessage="1" sqref="E39" xr:uid="{00000000-0002-0000-0000-000006000000}">
      <formula1>$I$37:$I$39</formula1>
    </dataValidation>
  </dataValidations>
  <hyperlinks>
    <hyperlink ref="C78" location="結果!A1" tooltip="[結果]シート" display="●結果　" xr:uid="{00000000-0004-0000-0000-000000000000}"/>
    <hyperlink ref="C77" location="スコア!A1" tooltip="[スコア入力]シート" display="●スコア" xr:uid="{00000000-0004-0000-0000-000001000000}"/>
    <hyperlink ref="C79" location="'条件(標準)'!A1" tooltip="[条件（標準）]シート" display="●標準計算" xr:uid="{00000000-0004-0000-0000-000002000000}"/>
    <hyperlink ref="E79" location="'条件(個別)'!A1" tooltip="[条件（個別 ）]シート" display="●個別計算" xr:uid="{00000000-0004-0000-0000-000003000000}"/>
    <hyperlink ref="E78" location="CO2計算!A1" tooltip="[CO2計算]シート" display="●LCCO2計算" xr:uid="{00000000-0004-0000-0000-000004000000}"/>
  </hyperlinks>
  <printOptions horizontalCentered="1"/>
  <pageMargins left="0.59055118110236227" right="0.59055118110236227" top="0.78740157480314965" bottom="0.59055118110236227" header="0.51181102362204722" footer="0.51181102362204722"/>
  <pageSetup paperSize="9" scale="90" orientation="portrait" verticalDpi="4294967293" r:id="rId1"/>
  <headerFooter alignWithMargins="0">
    <oddHeader>&amp;L&amp;F&amp;R&amp;A</oddHeader>
    <oddFooter>&amp;C&amp;P/&amp;N</oddFooter>
  </headerFooter>
  <colBreaks count="1" manualBreakCount="1">
    <brk id="15"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IV379"/>
  <sheetViews>
    <sheetView showGridLines="0" topLeftCell="A33" zoomScaleNormal="100" workbookViewId="0">
      <selection activeCell="Q1" sqref="Q1:XFD1048576"/>
    </sheetView>
  </sheetViews>
  <sheetFormatPr defaultColWidth="0" defaultRowHeight="13.5" zeroHeight="1"/>
  <cols>
    <col min="1" max="1" width="2.5" customWidth="1"/>
    <col min="2" max="2" width="11" hidden="1" customWidth="1"/>
    <col min="3" max="3" width="6" hidden="1" customWidth="1"/>
    <col min="4" max="4" width="5" style="1387" customWidth="1"/>
    <col min="5" max="5" width="1.375" style="44" customWidth="1"/>
    <col min="6" max="15" width="10.625" style="44" customWidth="1"/>
    <col min="16" max="16" width="1.625" customWidth="1"/>
    <col min="17" max="35" width="11.375" hidden="1" customWidth="1"/>
    <col min="36" max="256" width="0" hidden="1" customWidth="1"/>
    <col min="257" max="16384" width="9" hidden="1"/>
  </cols>
  <sheetData>
    <row r="1" spans="2:15" ht="15.75">
      <c r="D1" s="499"/>
      <c r="E1" s="500"/>
      <c r="F1" s="500"/>
      <c r="G1" s="500"/>
      <c r="H1" s="500"/>
      <c r="I1" s="500"/>
      <c r="J1" s="500"/>
      <c r="K1" s="500"/>
      <c r="L1" s="500"/>
      <c r="M1" s="501" t="s">
        <v>2243</v>
      </c>
      <c r="N1" s="502" t="str">
        <f>メイン!C11</f>
        <v>○○ビル</v>
      </c>
      <c r="O1" s="502"/>
    </row>
    <row r="2" spans="2:15" ht="18.75" hidden="1" customHeight="1">
      <c r="D2" s="503"/>
      <c r="E2" s="404"/>
      <c r="F2">
        <v>1</v>
      </c>
      <c r="G2" t="s">
        <v>939</v>
      </c>
      <c r="H2" t="s">
        <v>940</v>
      </c>
      <c r="I2" s="404"/>
      <c r="J2" s="404"/>
      <c r="K2" s="404"/>
      <c r="L2" s="404"/>
      <c r="M2" s="404"/>
      <c r="N2" s="404"/>
      <c r="O2" s="404"/>
    </row>
    <row r="3" spans="2:15" ht="18.75" hidden="1" customHeight="1">
      <c r="D3" s="503"/>
      <c r="E3" s="404"/>
      <c r="F3">
        <v>2</v>
      </c>
      <c r="G3" t="s">
        <v>1099</v>
      </c>
      <c r="H3" t="s">
        <v>1100</v>
      </c>
      <c r="I3" s="404"/>
      <c r="J3" s="404"/>
      <c r="K3" t="s">
        <v>1098</v>
      </c>
      <c r="L3" t="s">
        <v>1123</v>
      </c>
      <c r="M3" t="s">
        <v>1610</v>
      </c>
      <c r="N3" t="s">
        <v>2691</v>
      </c>
      <c r="O3" t="str">
        <f>[1]メイン!I37</f>
        <v>基本設計段階</v>
      </c>
    </row>
    <row r="4" spans="2:15" ht="18.75" hidden="1" customHeight="1">
      <c r="D4" s="503"/>
      <c r="E4" s="404"/>
      <c r="F4">
        <v>3</v>
      </c>
      <c r="G4" t="s">
        <v>1105</v>
      </c>
      <c r="H4" t="s">
        <v>1106</v>
      </c>
      <c r="I4" s="404"/>
      <c r="J4" s="404"/>
      <c r="K4" s="404"/>
      <c r="L4"/>
      <c r="M4"/>
      <c r="N4" t="s">
        <v>2694</v>
      </c>
      <c r="O4" t="str">
        <f>[1]メイン!I38</f>
        <v>実施設計段階</v>
      </c>
    </row>
    <row r="5" spans="2:15" ht="18.75" hidden="1" customHeight="1">
      <c r="D5" s="503"/>
      <c r="E5" s="404"/>
      <c r="F5">
        <v>4</v>
      </c>
      <c r="G5" t="s">
        <v>1001</v>
      </c>
      <c r="H5" t="s">
        <v>1002</v>
      </c>
      <c r="I5" s="404"/>
      <c r="J5" s="404"/>
      <c r="K5" s="404"/>
      <c r="L5"/>
      <c r="M5"/>
      <c r="N5"/>
      <c r="O5" t="str">
        <f>[1]メイン!I39</f>
        <v>竣工段階</v>
      </c>
    </row>
    <row r="6" spans="2:15" ht="18.75" hidden="1" customHeight="1">
      <c r="D6" s="503"/>
      <c r="E6" s="404"/>
      <c r="F6">
        <v>5</v>
      </c>
      <c r="G6" t="s">
        <v>1008</v>
      </c>
      <c r="H6" t="s">
        <v>1009</v>
      </c>
      <c r="I6" s="404"/>
      <c r="J6" s="404"/>
      <c r="K6" s="404"/>
      <c r="L6" s="404"/>
      <c r="M6" s="404"/>
      <c r="N6" s="404"/>
      <c r="O6" s="404"/>
    </row>
    <row r="7" spans="2:15" ht="18.75" hidden="1" customHeight="1">
      <c r="D7" s="503"/>
      <c r="E7" s="404"/>
      <c r="F7">
        <v>0</v>
      </c>
      <c r="G7" t="s">
        <v>941</v>
      </c>
      <c r="H7" t="s">
        <v>941</v>
      </c>
      <c r="I7" s="404"/>
      <c r="J7" s="404"/>
      <c r="K7" s="404"/>
      <c r="L7" s="404"/>
      <c r="M7" s="404"/>
      <c r="N7" s="404"/>
      <c r="O7" s="404"/>
    </row>
    <row r="8" spans="2:15" ht="18.75" customHeight="1" thickBot="1">
      <c r="D8" s="503"/>
      <c r="E8" s="404"/>
      <c r="F8" s="404"/>
      <c r="G8" s="404"/>
      <c r="H8" s="404"/>
      <c r="I8" s="404"/>
      <c r="J8" s="404"/>
      <c r="K8" s="404"/>
      <c r="L8" s="404"/>
      <c r="M8" s="404"/>
      <c r="N8" s="404"/>
      <c r="O8" s="404"/>
    </row>
    <row r="9" spans="2:15" ht="18.75" thickBot="1">
      <c r="D9" s="785" t="s">
        <v>1818</v>
      </c>
      <c r="E9" s="404"/>
      <c r="F9" s="404"/>
      <c r="G9" s="404"/>
      <c r="I9" s="505"/>
      <c r="J9" s="506" t="str">
        <f>[1]採点Q1!J9</f>
        <v>色欄について、プルダウンメニューから選択、または数値・コメント※を記入。</v>
      </c>
      <c r="K9" s="500"/>
      <c r="L9" s="404"/>
      <c r="M9" s="404"/>
      <c r="N9" s="404"/>
      <c r="O9" s="514" t="str">
        <f>メイン!E39</f>
        <v>実施設計段階</v>
      </c>
    </row>
    <row r="10" spans="2:15" ht="15.75">
      <c r="D10" s="503"/>
      <c r="E10" s="404"/>
      <c r="F10" s="404"/>
      <c r="G10" s="404"/>
      <c r="H10" s="404"/>
      <c r="I10" s="404"/>
      <c r="J10" s="2257" t="str">
        <f>採点Q1!J10</f>
        <v>※環境配慮の概要は最長30字程度。レベル３を超える場合は必ず記入する。</v>
      </c>
      <c r="K10" s="404"/>
      <c r="L10" s="404"/>
      <c r="M10" s="63"/>
      <c r="N10" s="404"/>
      <c r="O10" s="404"/>
    </row>
    <row r="11" spans="2:15" ht="15.75">
      <c r="D11" s="499">
        <v>1</v>
      </c>
      <c r="E11" s="508" t="s">
        <v>1798</v>
      </c>
      <c r="F11" s="508"/>
      <c r="G11"/>
      <c r="H11"/>
      <c r="I11"/>
      <c r="J11" t="str">
        <f>IF(OR(F21=0,AND(K21=0,O21=0)),$L$3,"")</f>
        <v/>
      </c>
      <c r="K11"/>
      <c r="L11"/>
      <c r="M11"/>
      <c r="N11"/>
      <c r="O11"/>
    </row>
    <row r="12" spans="2:15" ht="14.25" hidden="1">
      <c r="B12" t="s">
        <v>1092</v>
      </c>
      <c r="D12" s="3016"/>
      <c r="E12" s="788"/>
      <c r="F12" s="630"/>
      <c r="G12" s="516"/>
      <c r="H12" s="517"/>
      <c r="I12" s="518" t="s">
        <v>1126</v>
      </c>
      <c r="J12" s="519">
        <f>[1]重み!M113</f>
        <v>0.3</v>
      </c>
      <c r="K12" s="631"/>
      <c r="L12" s="631"/>
      <c r="M12" s="631"/>
      <c r="N12" s="631"/>
      <c r="O12" s="633"/>
    </row>
    <row r="13" spans="2:15" ht="15" hidden="1" thickBot="1">
      <c r="B13" s="714">
        <v>0</v>
      </c>
      <c r="D13" s="3016"/>
      <c r="E13" s="788"/>
      <c r="F13" s="522">
        <v>3</v>
      </c>
      <c r="G13" s="527" t="s">
        <v>1615</v>
      </c>
      <c r="H13" s="527"/>
      <c r="I13" s="527"/>
      <c r="J13" s="527"/>
      <c r="K13" s="527"/>
      <c r="L13" s="527"/>
      <c r="M13" s="618"/>
      <c r="N13" s="753"/>
      <c r="O13" s="528"/>
    </row>
    <row r="14" spans="2:15" ht="14.25" hidden="1">
      <c r="B14" s="1" t="s">
        <v>177</v>
      </c>
      <c r="C14" s="1">
        <v>1</v>
      </c>
      <c r="D14" s="3016"/>
      <c r="E14" s="788"/>
      <c r="F14" s="754"/>
      <c r="G14" s="755" t="s">
        <v>1093</v>
      </c>
      <c r="H14" s="755"/>
      <c r="I14" s="3598" t="s">
        <v>255</v>
      </c>
      <c r="J14" s="3599"/>
      <c r="K14" s="3598" t="s">
        <v>256</v>
      </c>
      <c r="L14" s="3599"/>
      <c r="M14" s="756"/>
      <c r="N14" s="3017"/>
      <c r="O14" s="740"/>
    </row>
    <row r="15" spans="2:15" ht="14.25" hidden="1">
      <c r="B15" s="1">
        <v>2</v>
      </c>
      <c r="C15" s="1">
        <v>3</v>
      </c>
      <c r="D15" s="3016"/>
      <c r="E15" s="788"/>
      <c r="F15" s="757" t="str">
        <f>IF(F13=$F$7,$G$2,IF(ROUNDDOWN(F13,0)=$F$2,$H$2,$G$2))</f>
        <v>　レベル　1</v>
      </c>
      <c r="G15" s="537" t="s">
        <v>1794</v>
      </c>
      <c r="H15" s="532"/>
      <c r="I15" s="537" t="s">
        <v>1794</v>
      </c>
      <c r="J15" s="532"/>
      <c r="K15" s="537" t="s">
        <v>1794</v>
      </c>
      <c r="L15" s="532"/>
      <c r="M15" s="3322"/>
      <c r="N15" s="3600"/>
      <c r="O15" s="3601"/>
    </row>
    <row r="16" spans="2:15" ht="14.25" hidden="1">
      <c r="B16" s="1">
        <v>3</v>
      </c>
      <c r="C16" s="1">
        <v>3</v>
      </c>
      <c r="D16" s="3016"/>
      <c r="E16" s="788"/>
      <c r="F16" s="758" t="str">
        <f>IF(F13=$F$7,$G$3,IF(ROUNDDOWN(F13,0)=$F$3,$H$3,$G$3))</f>
        <v>　レベル　2</v>
      </c>
      <c r="G16" s="537" t="s">
        <v>1819</v>
      </c>
      <c r="H16" s="538"/>
      <c r="I16" s="537" t="s">
        <v>1819</v>
      </c>
      <c r="J16" s="538"/>
      <c r="K16" s="537" t="s">
        <v>1819</v>
      </c>
      <c r="L16" s="538"/>
      <c r="M16" s="3328"/>
      <c r="N16" s="3351"/>
      <c r="O16" s="3352"/>
    </row>
    <row r="17" spans="2:256" ht="14.25" hidden="1">
      <c r="B17" s="1">
        <v>4</v>
      </c>
      <c r="C17" s="1">
        <v>4</v>
      </c>
      <c r="D17" s="3016"/>
      <c r="E17" s="788"/>
      <c r="F17" s="758" t="str">
        <f>IF(F13=$F$7,$G$4,IF(ROUNDDOWN(F13,0)=$F$4,$H$4,$G$4))</f>
        <v>■レベル　3</v>
      </c>
      <c r="G17" s="3328" t="s">
        <v>1094</v>
      </c>
      <c r="H17" s="3327"/>
      <c r="I17" s="3328" t="s">
        <v>1095</v>
      </c>
      <c r="J17" s="3327"/>
      <c r="K17" s="3328" t="s">
        <v>280</v>
      </c>
      <c r="L17" s="3327"/>
      <c r="M17" s="3328"/>
      <c r="N17" s="3351"/>
      <c r="O17" s="3352"/>
    </row>
    <row r="18" spans="2:256" ht="14.25" hidden="1">
      <c r="B18" s="1">
        <v>5</v>
      </c>
      <c r="C18" s="1">
        <v>5</v>
      </c>
      <c r="D18" s="3016"/>
      <c r="E18" s="788"/>
      <c r="F18" s="758" t="str">
        <f>IF(F13=$F$7,$G$5,IF(ROUNDDOWN(F13,0)=$F$5,$H$5,$G$5))</f>
        <v>　レベル　4</v>
      </c>
      <c r="G18" s="3328" t="s">
        <v>281</v>
      </c>
      <c r="H18" s="3327"/>
      <c r="I18" s="3328" t="s">
        <v>854</v>
      </c>
      <c r="J18" s="3327"/>
      <c r="K18" s="3328" t="s">
        <v>855</v>
      </c>
      <c r="L18" s="3327"/>
      <c r="M18" s="3328"/>
      <c r="N18" s="3345"/>
      <c r="O18" s="3372"/>
    </row>
    <row r="19" spans="2:256" ht="14.25" hidden="1">
      <c r="B19" s="551">
        <v>0</v>
      </c>
      <c r="C19" s="551">
        <v>0</v>
      </c>
      <c r="D19" s="3016"/>
      <c r="E19" s="788"/>
      <c r="F19" s="759" t="str">
        <f>IF(F13=$F$7,$G$6,IF(ROUNDDOWN(F13,0)=$F$6,$H$6,$G$6))</f>
        <v>　レベル　5</v>
      </c>
      <c r="G19" s="3328" t="s">
        <v>856</v>
      </c>
      <c r="H19" s="3327"/>
      <c r="I19" s="3328" t="s">
        <v>856</v>
      </c>
      <c r="J19" s="3327"/>
      <c r="K19" s="3328" t="s">
        <v>857</v>
      </c>
      <c r="L19" s="3327"/>
      <c r="M19" s="3332"/>
      <c r="N19" s="3348"/>
      <c r="O19" s="3349"/>
    </row>
    <row r="20" spans="2:256" ht="14.25">
      <c r="D20" s="3016"/>
      <c r="E20" s="788"/>
      <c r="F20" s="1280" t="s">
        <v>2143</v>
      </c>
      <c r="G20" s="630"/>
      <c r="H20" s="517"/>
      <c r="I20" s="518" t="s">
        <v>1126</v>
      </c>
      <c r="J20" s="519">
        <f>重み!M123</f>
        <v>0.2</v>
      </c>
      <c r="K20" s="631"/>
      <c r="L20" s="631"/>
      <c r="M20" s="3018"/>
      <c r="N20" s="1490"/>
      <c r="O20" s="1491"/>
    </row>
    <row r="21" spans="2:256" ht="15">
      <c r="D21" s="3019"/>
      <c r="E21" s="500"/>
      <c r="F21" s="3573">
        <f>ROUNDDOWN(計画書!H15,1)</f>
        <v>3.6</v>
      </c>
      <c r="G21" s="3573">
        <f>計画書!J12</f>
        <v>5</v>
      </c>
      <c r="H21" s="753" t="s">
        <v>2132</v>
      </c>
      <c r="I21" s="753"/>
      <c r="J21" s="753"/>
      <c r="K21" s="3020">
        <f>計画書!G12</f>
        <v>500</v>
      </c>
      <c r="L21" s="3575">
        <f>計画書!J13</f>
        <v>3</v>
      </c>
      <c r="M21" s="3021"/>
      <c r="N21" s="3022"/>
      <c r="O21" s="3023">
        <f>メイン!C67</f>
        <v>1000</v>
      </c>
    </row>
    <row r="22" spans="2:256" ht="15.75" customHeight="1">
      <c r="D22" s="3019"/>
      <c r="E22" s="500"/>
      <c r="F22" s="3574"/>
      <c r="G22" s="3574"/>
      <c r="H22" s="3024" t="s">
        <v>2065</v>
      </c>
      <c r="I22" s="3024"/>
      <c r="J22" s="3025" t="s">
        <v>62</v>
      </c>
      <c r="K22" s="3026"/>
      <c r="L22" s="3576"/>
      <c r="M22" s="3027" t="s">
        <v>1552</v>
      </c>
      <c r="N22" s="3028"/>
      <c r="O22" s="3029"/>
    </row>
    <row r="23" spans="2:256" ht="29.45" customHeight="1">
      <c r="B23" s="1">
        <v>1</v>
      </c>
      <c r="C23" s="1">
        <v>1</v>
      </c>
      <c r="D23" s="3019"/>
      <c r="E23" s="500"/>
      <c r="F23" s="3030" t="str">
        <f>IF(F21=$F$7,$G$2,IF(ROUNDDOWN(F21,0)=$F$2,$H$2,$G$2))</f>
        <v>　レベル　1</v>
      </c>
      <c r="G23" s="3030" t="str">
        <f>IF(G21=$F$7,$G$2,IF(ROUNDDOWN(G21,0)=$F$2,$H$2,$G$2))</f>
        <v>　レベル　1</v>
      </c>
      <c r="H23" s="3577" t="s">
        <v>2586</v>
      </c>
      <c r="I23" s="3578"/>
      <c r="J23" s="3577" t="s">
        <v>2587</v>
      </c>
      <c r="K23" s="3578"/>
      <c r="L23" s="3030" t="str">
        <f>IF(L21=$F$7,$G$2,IF(ROUNDDOWN(L21,0)=$F$2,$H$2,$G$2))</f>
        <v>　レベル　1</v>
      </c>
      <c r="M23" s="3590" t="s">
        <v>4183</v>
      </c>
      <c r="N23" s="3591"/>
      <c r="O23" s="3592"/>
    </row>
    <row r="24" spans="2:256" ht="29.45" customHeight="1">
      <c r="B24" s="1">
        <v>2</v>
      </c>
      <c r="C24" s="1">
        <v>2</v>
      </c>
      <c r="D24" s="3019"/>
      <c r="E24" s="500"/>
      <c r="F24" s="3031" t="str">
        <f>IF(F21=$F$7,$G$3,IF(ROUNDDOWN(F21,0)=$F$3,$H$3,$G$3))</f>
        <v>　レベル　2</v>
      </c>
      <c r="G24" s="3031" t="str">
        <f>IF(G21=$F$7,$G$3,IF(ROUNDDOWN(G21,0)=$F$3,$H$3,$G$3))</f>
        <v>　レベル　2</v>
      </c>
      <c r="H24" s="3579"/>
      <c r="I24" s="3580"/>
      <c r="J24" s="3579"/>
      <c r="K24" s="3580"/>
      <c r="L24" s="3031" t="str">
        <f>IF(L21=$F$7,$G$3,IF(ROUNDDOWN(L21,0)=$F$3,$H$3,$G$3))</f>
        <v>　レベル　2</v>
      </c>
      <c r="M24" s="3593" t="s">
        <v>2719</v>
      </c>
      <c r="N24" s="3594"/>
      <c r="O24" s="3595"/>
    </row>
    <row r="25" spans="2:256" ht="29.45" customHeight="1">
      <c r="B25" s="1">
        <v>3</v>
      </c>
      <c r="C25" s="1">
        <v>3</v>
      </c>
      <c r="D25" s="3019"/>
      <c r="E25" s="500"/>
      <c r="F25" s="3031" t="str">
        <f>IF(F21=$F$7,$G$4,IF(ROUNDDOWN(F21,0)=$F$4,$H$4,$G$4))</f>
        <v>■レベル　3</v>
      </c>
      <c r="G25" s="3031" t="str">
        <f>IF(G21=$F$7,$G$4,IF(ROUNDDOWN(G21,0)=$F$4,$H$4,$G$4))</f>
        <v>　レベル　3</v>
      </c>
      <c r="H25" s="3579"/>
      <c r="I25" s="3580"/>
      <c r="J25" s="3579"/>
      <c r="K25" s="3580"/>
      <c r="L25" s="3031" t="str">
        <f>IF(L21=$F$7,$G$4,IF(ROUNDDOWN(L21,0)=$F$4,$H$4,$G$4))</f>
        <v>■レベル　3</v>
      </c>
      <c r="M25" s="3593" t="s">
        <v>2720</v>
      </c>
      <c r="N25" s="3596"/>
      <c r="O25" s="3597"/>
    </row>
    <row r="26" spans="2:256" ht="29.45" customHeight="1">
      <c r="B26" s="1">
        <v>4</v>
      </c>
      <c r="C26" s="1">
        <v>4</v>
      </c>
      <c r="D26" s="503"/>
      <c r="E26" s="510"/>
      <c r="F26" s="3031" t="str">
        <f>IF(F21=$F$7,$G$5,IF(ROUNDDOWN(F21,0)=$F$5,$H$5,$G$5))</f>
        <v>　レベル　4</v>
      </c>
      <c r="G26" s="3031" t="str">
        <f>IF(G21=$F$7,$G$5,IF(ROUNDDOWN(G21,0)=$F$5,$H$5,$G$5))</f>
        <v>　レベル　4</v>
      </c>
      <c r="H26" s="3579"/>
      <c r="I26" s="3580"/>
      <c r="J26" s="3579"/>
      <c r="K26" s="3580"/>
      <c r="L26" s="3031" t="str">
        <f>IF(L21=$F$7,$G$5,IF(ROUNDDOWN(L21,0)=$F$5,$H$5,$G$5))</f>
        <v>　レベル　4</v>
      </c>
      <c r="M26" s="3593" t="s">
        <v>4184</v>
      </c>
      <c r="N26" s="3596"/>
      <c r="O26" s="3597"/>
    </row>
    <row r="27" spans="2:256" ht="29.45" customHeight="1">
      <c r="B27" s="1">
        <v>5</v>
      </c>
      <c r="C27" s="1">
        <v>5</v>
      </c>
      <c r="D27" s="503"/>
      <c r="E27" s="510"/>
      <c r="F27" s="3032" t="str">
        <f>IF(F21=$F$7,$G$6,IF(ROUNDDOWN(F21,0)=$F$6,$H$6,$G$6))</f>
        <v>　レベル　5</v>
      </c>
      <c r="G27" s="3032" t="str">
        <f>IF(G21=$F$7,$G$6,IF(ROUNDDOWN(G21,0)=$F$6,$H$6,$G$6))</f>
        <v>■レベル　5</v>
      </c>
      <c r="H27" s="3581"/>
      <c r="I27" s="3582"/>
      <c r="J27" s="3581"/>
      <c r="K27" s="3582"/>
      <c r="L27" s="3032" t="str">
        <f>IF(L21=$F$7,$G$6,IF(ROUNDDOWN(L21,0)=$F$6,$H$6,$G$6))</f>
        <v>　レベル　5</v>
      </c>
      <c r="M27" s="3570" t="s">
        <v>4185</v>
      </c>
      <c r="N27" s="3571"/>
      <c r="O27" s="3572"/>
    </row>
    <row r="28" spans="2:256" ht="15.75">
      <c r="B28" s="551">
        <v>0</v>
      </c>
      <c r="C28" s="551">
        <v>0</v>
      </c>
      <c r="D28" s="503"/>
      <c r="E28" s="1241"/>
      <c r="F28" s="839" t="s">
        <v>2938</v>
      </c>
      <c r="G28" s="3189"/>
      <c r="H28" s="1915"/>
      <c r="I28" s="1915"/>
      <c r="J28" s="1916"/>
      <c r="K28" s="2094" t="s">
        <v>3297</v>
      </c>
      <c r="L28"/>
      <c r="M28"/>
      <c r="N28"/>
      <c r="O28"/>
      <c r="P28" s="1241"/>
      <c r="Q28" s="1241"/>
      <c r="S28" s="1241"/>
      <c r="T28" s="1241"/>
      <c r="U28" s="1241"/>
      <c r="V28" s="1241"/>
      <c r="W28" s="1241"/>
      <c r="X28" s="1241"/>
      <c r="Y28" s="1241"/>
      <c r="Z28" s="1241"/>
      <c r="AA28" s="1241"/>
      <c r="AB28" s="1241"/>
      <c r="AC28" s="1241"/>
      <c r="AD28" s="1241"/>
      <c r="AE28" s="1241"/>
      <c r="AF28" s="1241"/>
      <c r="AG28" s="1241"/>
      <c r="AH28" s="1241"/>
      <c r="AI28" s="1241"/>
      <c r="AJ28" s="1241"/>
      <c r="AK28" s="1241"/>
      <c r="AL28" s="1241"/>
      <c r="AM28" s="1241"/>
      <c r="AN28" s="1241"/>
      <c r="AO28" s="1241"/>
      <c r="AP28" s="1241"/>
      <c r="AQ28" s="1241"/>
      <c r="AR28" s="1241"/>
      <c r="AS28" s="1241"/>
      <c r="AT28" s="1241"/>
      <c r="AU28" s="1241"/>
      <c r="AV28" s="1241"/>
      <c r="AW28" s="1241"/>
      <c r="AX28" s="1241"/>
      <c r="AY28" s="1241"/>
      <c r="AZ28" s="1241"/>
      <c r="BA28" s="1241"/>
      <c r="BB28" s="1241"/>
      <c r="BC28" s="1241"/>
      <c r="BD28" s="1241"/>
      <c r="BE28" s="1241"/>
      <c r="BF28" s="1241"/>
      <c r="BG28" s="1241"/>
      <c r="BH28" s="1241"/>
      <c r="BI28" s="1241"/>
      <c r="BJ28" s="1241"/>
      <c r="BK28" s="1241"/>
      <c r="BL28" s="1241"/>
      <c r="BM28" s="1241"/>
      <c r="BN28" s="1241"/>
      <c r="BO28" s="1241"/>
      <c r="BP28" s="1241"/>
      <c r="BQ28" s="1241"/>
      <c r="BR28" s="1241"/>
      <c r="BS28" s="1241"/>
      <c r="BT28" s="1241"/>
      <c r="BU28" s="1241"/>
      <c r="BV28" s="1241"/>
      <c r="BW28" s="1241"/>
      <c r="BX28" s="1241"/>
      <c r="BY28" s="1241"/>
      <c r="BZ28" s="1241"/>
      <c r="CA28" s="1241"/>
      <c r="CB28" s="1241"/>
      <c r="CC28" s="1241"/>
      <c r="CD28" s="1241"/>
      <c r="CE28" s="1241"/>
      <c r="CF28" s="1241"/>
      <c r="CG28" s="1241"/>
      <c r="CH28" s="1241"/>
      <c r="CI28" s="1241"/>
      <c r="CJ28" s="1241"/>
      <c r="CK28" s="1241"/>
      <c r="CL28" s="1241"/>
      <c r="CM28" s="1241"/>
      <c r="CN28" s="1241"/>
      <c r="CO28" s="1241"/>
      <c r="CP28" s="1241"/>
      <c r="CQ28" s="1241"/>
      <c r="CR28" s="1241"/>
      <c r="CS28" s="1241"/>
      <c r="CT28" s="1241"/>
      <c r="CU28" s="1241"/>
      <c r="CV28" s="1241"/>
      <c r="CW28" s="1241"/>
      <c r="CX28" s="1241"/>
      <c r="CY28" s="1241"/>
      <c r="CZ28" s="1241"/>
      <c r="DA28" s="1241"/>
      <c r="DB28" s="1241"/>
      <c r="DC28" s="1241"/>
      <c r="DD28" s="1241"/>
      <c r="DE28" s="1241"/>
      <c r="DF28" s="1241"/>
      <c r="DG28" s="1241"/>
      <c r="DH28" s="1241"/>
      <c r="DI28" s="1241"/>
      <c r="DJ28" s="1241"/>
      <c r="DK28" s="1241"/>
      <c r="DL28" s="1241"/>
      <c r="DM28" s="1241"/>
      <c r="DN28" s="1241"/>
      <c r="DO28" s="1241"/>
      <c r="DP28" s="1241"/>
      <c r="DQ28" s="1241"/>
      <c r="DR28" s="1241"/>
      <c r="DS28" s="1241"/>
      <c r="DT28" s="1241"/>
      <c r="DU28" s="1241"/>
      <c r="DV28" s="1241"/>
      <c r="DW28" s="1241"/>
      <c r="DX28" s="1241"/>
      <c r="DY28" s="1241"/>
      <c r="DZ28" s="1241"/>
      <c r="EA28" s="1241"/>
      <c r="EB28" s="1241"/>
      <c r="EC28" s="1241"/>
      <c r="ED28" s="1241"/>
      <c r="EE28" s="1241"/>
      <c r="EF28" s="1241"/>
      <c r="EG28" s="1241"/>
      <c r="EH28" s="1241"/>
      <c r="EI28" s="1241"/>
      <c r="EJ28" s="1241"/>
      <c r="EK28" s="1241"/>
      <c r="EL28" s="1241"/>
      <c r="EM28" s="1241"/>
      <c r="EN28" s="1241"/>
      <c r="EO28" s="1241"/>
      <c r="EP28" s="1241"/>
      <c r="EQ28" s="1241"/>
      <c r="ER28" s="1241"/>
      <c r="ES28" s="1241"/>
      <c r="ET28" s="1241"/>
      <c r="EU28" s="1241"/>
      <c r="EV28" s="1241"/>
      <c r="EW28" s="1241"/>
      <c r="EX28" s="1241"/>
      <c r="EY28" s="1241"/>
      <c r="EZ28" s="1241"/>
      <c r="FA28" s="1241"/>
      <c r="FB28" s="1241"/>
      <c r="FC28" s="1241"/>
      <c r="FD28" s="1241"/>
      <c r="FE28" s="1241"/>
      <c r="FF28" s="1241"/>
      <c r="FG28" s="1241"/>
      <c r="FH28" s="1241"/>
      <c r="FI28" s="1241"/>
      <c r="FJ28" s="1241"/>
      <c r="FK28" s="1241"/>
      <c r="FL28" s="1241"/>
      <c r="FM28" s="1241"/>
      <c r="FN28" s="1241"/>
      <c r="FO28" s="1241"/>
      <c r="FP28" s="1241"/>
      <c r="FQ28" s="1241"/>
      <c r="FR28" s="1241"/>
      <c r="FS28" s="1241"/>
      <c r="FT28" s="1241"/>
      <c r="FU28" s="1241"/>
      <c r="FV28" s="1241"/>
      <c r="FW28" s="1241"/>
      <c r="FX28" s="1241"/>
      <c r="FY28" s="1241"/>
      <c r="FZ28" s="1241"/>
      <c r="GA28" s="1241"/>
      <c r="GB28" s="1241"/>
      <c r="GC28" s="1241"/>
      <c r="GD28" s="1241"/>
      <c r="GE28" s="1241"/>
      <c r="GF28" s="1241"/>
      <c r="GG28" s="1241"/>
      <c r="GH28" s="1241"/>
      <c r="GI28" s="1241"/>
      <c r="GJ28" s="1241"/>
      <c r="GK28" s="1241"/>
      <c r="GL28" s="1241"/>
      <c r="GM28" s="1241"/>
      <c r="GN28" s="1241"/>
      <c r="GO28" s="1241"/>
      <c r="GP28" s="1241"/>
      <c r="GQ28" s="1241"/>
      <c r="GR28" s="1241"/>
      <c r="GS28" s="1241"/>
      <c r="GT28" s="1241"/>
      <c r="GU28" s="1241"/>
      <c r="GV28" s="1241"/>
      <c r="GW28" s="1241"/>
      <c r="GX28" s="1241"/>
      <c r="GY28" s="1241"/>
      <c r="GZ28" s="1241"/>
      <c r="HA28" s="1241"/>
      <c r="HB28" s="1241"/>
      <c r="HC28" s="1241"/>
      <c r="HD28" s="1241"/>
      <c r="HE28" s="1241"/>
      <c r="HF28" s="1241"/>
      <c r="HG28" s="1241"/>
      <c r="HH28" s="1241"/>
      <c r="HI28" s="1241"/>
      <c r="HJ28" s="1241"/>
      <c r="HK28" s="1241"/>
      <c r="HL28" s="1241"/>
      <c r="HM28" s="1241"/>
      <c r="HN28" s="1241"/>
      <c r="HO28" s="1241"/>
      <c r="HP28" s="1241"/>
      <c r="HQ28" s="1241"/>
      <c r="HR28" s="1241"/>
      <c r="HS28" s="1241"/>
      <c r="HT28" s="1241"/>
      <c r="HU28" s="1241"/>
      <c r="HV28" s="1241"/>
      <c r="HW28" s="1241"/>
      <c r="HX28" s="1241"/>
      <c r="HY28" s="1241"/>
      <c r="HZ28" s="1241"/>
      <c r="IA28" s="1241"/>
      <c r="IB28" s="1241"/>
      <c r="IC28" s="1241"/>
      <c r="ID28" s="1241"/>
      <c r="IE28" s="1241"/>
      <c r="IF28" s="1241"/>
      <c r="IG28" s="1241"/>
      <c r="IH28" s="1241"/>
      <c r="II28" s="1241"/>
      <c r="IJ28" s="1241"/>
      <c r="IK28" s="1241"/>
      <c r="IL28" s="1241"/>
      <c r="IM28" s="1241"/>
      <c r="IN28" s="1241"/>
      <c r="IO28" s="1241"/>
      <c r="IP28" s="1241"/>
      <c r="IQ28" s="1241"/>
      <c r="IR28" s="1241"/>
      <c r="IS28" s="1241"/>
      <c r="IT28" s="1241"/>
      <c r="IU28" s="1241"/>
      <c r="IV28" s="1241"/>
    </row>
    <row r="29" spans="2:256" ht="15.75" hidden="1">
      <c r="B29" s="870"/>
      <c r="C29" s="870"/>
      <c r="D29" s="503"/>
      <c r="E29" s="503"/>
      <c r="F29" s="3033" t="s">
        <v>2706</v>
      </c>
      <c r="G29"/>
      <c r="H29"/>
      <c r="I29" s="503"/>
      <c r="J29"/>
      <c r="K29"/>
      <c r="L29"/>
      <c r="M29"/>
      <c r="N29"/>
      <c r="O29" s="1241"/>
      <c r="P29" s="1241"/>
      <c r="Q29" s="1241"/>
      <c r="R29" s="1241"/>
      <c r="S29" s="1241"/>
      <c r="T29" s="1241"/>
      <c r="U29" s="1241"/>
      <c r="V29" s="1241"/>
      <c r="W29" s="1241"/>
      <c r="X29" s="1241"/>
      <c r="Y29" s="1241"/>
      <c r="Z29" s="1241"/>
      <c r="AA29" s="1241"/>
      <c r="AB29" s="1241"/>
      <c r="AC29" s="1241"/>
      <c r="AD29" s="1241"/>
      <c r="AE29" s="1241"/>
      <c r="AF29" s="1241"/>
      <c r="AG29" s="1241"/>
      <c r="AH29" s="1241"/>
      <c r="AI29" s="1241"/>
      <c r="AJ29" s="1241"/>
      <c r="AK29" s="1241"/>
      <c r="AL29" s="1241"/>
      <c r="AM29" s="1241"/>
      <c r="AN29" s="1241"/>
      <c r="AO29" s="1241"/>
      <c r="AP29" s="1241"/>
      <c r="AQ29" s="1241"/>
      <c r="AR29" s="1241"/>
      <c r="AS29" s="1241"/>
      <c r="AT29" s="1241"/>
      <c r="AU29" s="1241"/>
      <c r="AV29" s="1241"/>
      <c r="AW29" s="1241"/>
      <c r="AX29" s="1241"/>
      <c r="AY29" s="1241"/>
      <c r="AZ29" s="1241"/>
      <c r="BA29" s="1241"/>
      <c r="BB29" s="1241"/>
      <c r="BC29" s="1241"/>
      <c r="BD29" s="1241"/>
      <c r="BE29" s="1241"/>
      <c r="BF29" s="1241"/>
      <c r="BG29" s="1241"/>
      <c r="BH29" s="1241"/>
      <c r="BI29" s="1241"/>
      <c r="BJ29" s="1241"/>
      <c r="BK29" s="1241"/>
      <c r="BL29" s="1241"/>
      <c r="BM29" s="1241"/>
      <c r="BN29" s="1241"/>
      <c r="BO29" s="1241"/>
      <c r="BP29" s="1241"/>
      <c r="BQ29" s="1241"/>
      <c r="BR29" s="1241"/>
      <c r="BS29" s="1241"/>
      <c r="BT29" s="1241"/>
      <c r="BU29" s="1241"/>
      <c r="BV29" s="1241"/>
      <c r="BW29" s="1241"/>
      <c r="BX29" s="1241"/>
      <c r="BY29" s="1241"/>
      <c r="BZ29" s="1241"/>
      <c r="CA29" s="1241"/>
      <c r="CB29" s="1241"/>
      <c r="CC29" s="1241"/>
      <c r="CD29" s="1241"/>
      <c r="CE29" s="1241"/>
      <c r="CF29" s="1241"/>
      <c r="CG29" s="1241"/>
      <c r="CH29" s="1241"/>
      <c r="CI29" s="1241"/>
      <c r="CJ29" s="1241"/>
      <c r="CK29" s="1241"/>
      <c r="CL29" s="1241"/>
      <c r="CM29" s="1241"/>
      <c r="CN29" s="1241"/>
      <c r="CO29" s="1241"/>
      <c r="CP29" s="1241"/>
      <c r="CQ29" s="1241"/>
      <c r="CR29" s="1241"/>
      <c r="CS29" s="1241"/>
      <c r="CT29" s="1241"/>
      <c r="CU29" s="1241"/>
      <c r="CV29" s="1241"/>
      <c r="CW29" s="1241"/>
      <c r="CX29" s="1241"/>
      <c r="CY29" s="1241"/>
      <c r="CZ29" s="1241"/>
      <c r="DA29" s="1241"/>
      <c r="DB29" s="1241"/>
      <c r="DC29" s="1241"/>
      <c r="DD29" s="1241"/>
      <c r="DE29" s="1241"/>
      <c r="DF29" s="1241"/>
      <c r="DG29" s="1241"/>
      <c r="DH29" s="1241"/>
      <c r="DI29" s="1241"/>
      <c r="DJ29" s="1241"/>
      <c r="DK29" s="1241"/>
      <c r="DL29" s="1241"/>
      <c r="DM29" s="1241"/>
      <c r="DN29" s="1241"/>
      <c r="DO29" s="1241"/>
      <c r="DP29" s="1241"/>
      <c r="DQ29" s="1241"/>
      <c r="DR29" s="1241"/>
      <c r="DS29" s="1241"/>
      <c r="DT29" s="1241"/>
      <c r="DU29" s="1241"/>
      <c r="DV29" s="1241"/>
      <c r="DW29" s="1241"/>
      <c r="DX29" s="1241"/>
      <c r="DY29" s="1241"/>
      <c r="DZ29" s="1241"/>
      <c r="EA29" s="1241"/>
      <c r="EB29" s="1241"/>
      <c r="EC29" s="1241"/>
      <c r="ED29" s="1241"/>
      <c r="EE29" s="1241"/>
      <c r="EF29" s="1241"/>
      <c r="EG29" s="1241"/>
      <c r="EH29" s="1241"/>
      <c r="EI29" s="1241"/>
      <c r="EJ29" s="1241"/>
      <c r="EK29" s="1241"/>
      <c r="EL29" s="1241"/>
      <c r="EM29" s="1241"/>
      <c r="EN29" s="1241"/>
      <c r="EO29" s="1241"/>
      <c r="EP29" s="1241"/>
      <c r="EQ29" s="1241"/>
      <c r="ER29" s="1241"/>
      <c r="ES29" s="1241"/>
      <c r="ET29" s="1241"/>
      <c r="EU29" s="1241"/>
      <c r="EV29" s="1241"/>
      <c r="EW29" s="1241"/>
      <c r="EX29" s="1241"/>
      <c r="EY29" s="1241"/>
      <c r="EZ29" s="1241"/>
      <c r="FA29" s="1241"/>
      <c r="FB29" s="1241"/>
      <c r="FC29" s="1241"/>
      <c r="FD29" s="1241"/>
      <c r="FE29" s="1241"/>
      <c r="FF29" s="1241"/>
      <c r="FG29" s="1241"/>
      <c r="FH29" s="1241"/>
      <c r="FI29" s="1241"/>
      <c r="FJ29" s="1241"/>
      <c r="FK29" s="1241"/>
      <c r="FL29" s="1241"/>
      <c r="FM29" s="1241"/>
      <c r="FN29" s="1241"/>
      <c r="FO29" s="1241"/>
      <c r="FP29" s="1241"/>
      <c r="FQ29" s="1241"/>
      <c r="FR29" s="1241"/>
      <c r="FS29" s="1241"/>
      <c r="FT29" s="1241"/>
      <c r="FU29" s="1241"/>
      <c r="FV29" s="1241"/>
      <c r="FW29" s="1241"/>
      <c r="FX29" s="1241"/>
      <c r="FY29" s="1241"/>
      <c r="FZ29" s="1241"/>
      <c r="GA29" s="1241"/>
      <c r="GB29" s="1241"/>
      <c r="GC29" s="1241"/>
      <c r="GD29" s="1241"/>
      <c r="GE29" s="1241"/>
      <c r="GF29" s="1241"/>
      <c r="GG29" s="1241"/>
      <c r="GH29" s="1241"/>
      <c r="GI29" s="1241"/>
      <c r="GJ29" s="1241"/>
      <c r="GK29" s="1241"/>
      <c r="GL29" s="1241"/>
      <c r="GM29" s="1241"/>
      <c r="GN29" s="1241"/>
      <c r="GO29" s="1241"/>
      <c r="GP29" s="1241"/>
      <c r="GQ29" s="1241"/>
      <c r="GR29" s="1241"/>
      <c r="GS29" s="1241"/>
      <c r="GT29" s="1241"/>
      <c r="GU29" s="1241"/>
      <c r="GV29" s="1241"/>
      <c r="GW29" s="1241"/>
      <c r="GX29" s="1241"/>
      <c r="GY29" s="1241"/>
      <c r="GZ29" s="1241"/>
      <c r="HA29" s="1241"/>
      <c r="HB29" s="1241"/>
      <c r="HC29" s="1241"/>
      <c r="HD29" s="1241"/>
      <c r="HE29" s="1241"/>
      <c r="HF29" s="1241"/>
      <c r="HG29" s="1241"/>
      <c r="HH29" s="1241"/>
      <c r="HI29" s="1241"/>
      <c r="HJ29" s="1241"/>
      <c r="HK29" s="1241"/>
      <c r="HL29" s="1241"/>
      <c r="HM29" s="1241"/>
      <c r="HN29" s="1241"/>
      <c r="HO29" s="1241"/>
      <c r="HP29" s="1241"/>
      <c r="HQ29" s="1241"/>
      <c r="HR29" s="1241"/>
      <c r="HS29" s="1241"/>
      <c r="HT29" s="1241"/>
      <c r="HU29" s="1241"/>
      <c r="HV29" s="1241"/>
      <c r="HW29" s="1241"/>
      <c r="HX29" s="1241"/>
      <c r="HY29" s="1241"/>
      <c r="HZ29" s="1241"/>
      <c r="IA29" s="1241"/>
      <c r="IB29" s="1241"/>
      <c r="IC29" s="1241"/>
      <c r="ID29" s="1241"/>
      <c r="IE29" s="1241"/>
      <c r="IF29" s="1241"/>
      <c r="IG29" s="1241"/>
      <c r="IH29" s="1241"/>
      <c r="II29" s="1241"/>
      <c r="IJ29" s="1241"/>
      <c r="IK29" s="1241"/>
      <c r="IL29" s="1241"/>
      <c r="IM29" s="1241"/>
      <c r="IN29" s="1241"/>
      <c r="IO29" s="1241"/>
      <c r="IP29" s="1241"/>
      <c r="IQ29" s="1241"/>
      <c r="IR29" s="1241"/>
      <c r="IS29" s="1241"/>
      <c r="IT29" s="1241"/>
      <c r="IU29" s="1241"/>
      <c r="IV29" s="1241"/>
    </row>
    <row r="30" spans="2:256" ht="15">
      <c r="D30" s="3019"/>
      <c r="E30" s="500"/>
      <c r="G30"/>
      <c r="H30"/>
      <c r="K30"/>
      <c r="L30"/>
      <c r="M30"/>
      <c r="N30"/>
      <c r="O30"/>
    </row>
    <row r="31" spans="2:256" ht="15.75">
      <c r="D31" s="503">
        <v>2</v>
      </c>
      <c r="E31" s="510" t="s">
        <v>2067</v>
      </c>
      <c r="F31" s="510"/>
      <c r="G31"/>
      <c r="H31"/>
      <c r="I31"/>
      <c r="J31" t="str">
        <f>IF(OR(F33=0,AND(J33=0,O33=0)),$L$3,"")</f>
        <v/>
      </c>
      <c r="K31"/>
      <c r="L31"/>
      <c r="M31"/>
      <c r="N31"/>
      <c r="O31"/>
    </row>
    <row r="32" spans="2:256" ht="16.5" thickBot="1">
      <c r="D32" s="503"/>
      <c r="E32" s="510"/>
      <c r="F32" s="515"/>
      <c r="G32" s="1264"/>
      <c r="H32" s="517"/>
      <c r="I32" s="518" t="s">
        <v>1126</v>
      </c>
      <c r="J32" s="519">
        <f>重み!M124</f>
        <v>0.1</v>
      </c>
      <c r="K32" s="631"/>
      <c r="L32" s="631"/>
      <c r="M32" s="631"/>
      <c r="N32" s="631"/>
      <c r="O32" s="528"/>
    </row>
    <row r="33" spans="2:17" ht="27" customHeight="1" thickBot="1">
      <c r="D33" s="503"/>
      <c r="E33" s="510"/>
      <c r="F33" s="1777">
        <f>IF((J33+O33)=0,0,IF(AND(G44=0,O33&gt;0),L33,G44*J33/(J33+O33)+L33*O33/(J33+O33)))</f>
        <v>2.333333333333333</v>
      </c>
      <c r="G33" s="1777">
        <f>G44</f>
        <v>3</v>
      </c>
      <c r="H33" s="1464" t="s">
        <v>845</v>
      </c>
      <c r="I33" s="1464"/>
      <c r="J33" s="693">
        <f>計画書!H99</f>
        <v>500</v>
      </c>
      <c r="K33" s="762" t="s">
        <v>1089</v>
      </c>
      <c r="L33" s="522">
        <v>2</v>
      </c>
      <c r="M33" s="763" t="s">
        <v>1202</v>
      </c>
      <c r="N33" s="764"/>
      <c r="O33" s="693">
        <f>計画書!H98</f>
        <v>1000</v>
      </c>
    </row>
    <row r="34" spans="2:17" ht="26.25" customHeight="1">
      <c r="B34" s="1" t="s">
        <v>177</v>
      </c>
      <c r="C34" s="1" t="s">
        <v>177</v>
      </c>
      <c r="D34" s="503"/>
      <c r="E34" s="503"/>
      <c r="F34" s="770" t="str">
        <f>IF(F33=$F$7,"",IF(ROUNDDOWN(F33,0)=$F$2,$H$2,$G$2))</f>
        <v>　レベル　1</v>
      </c>
      <c r="G34" s="770" t="str">
        <f>IF(G33=$F$7,"",IF(ROUNDDOWN(G33,0)=$F$2,$H$2,$G$2))</f>
        <v>　レベル　1</v>
      </c>
      <c r="H34" s="531" t="s">
        <v>1794</v>
      </c>
      <c r="I34" s="532"/>
      <c r="J34" s="532"/>
      <c r="K34" s="3583" t="s">
        <v>2588</v>
      </c>
      <c r="L34" s="770" t="str">
        <f>IF(L33=$F$7,"",IF(ROUNDDOWN(L33,0)=$F$2,$H$2,$G$2))</f>
        <v>　レベル　1</v>
      </c>
      <c r="M34" s="531" t="s">
        <v>1794</v>
      </c>
      <c r="N34" s="532"/>
      <c r="O34" s="533"/>
    </row>
    <row r="35" spans="2:17" ht="26.25" customHeight="1">
      <c r="B35" s="1" t="s">
        <v>177</v>
      </c>
      <c r="C35" s="1">
        <v>2</v>
      </c>
      <c r="D35" s="503"/>
      <c r="E35" s="503"/>
      <c r="F35" s="771" t="str">
        <f>IF(F33=$F$7,"",IF(ROUNDDOWN(F33,0)=$F$3,$H$3,$G$3))</f>
        <v>■レベル　2</v>
      </c>
      <c r="G35" s="771" t="str">
        <f>IF(G33=$F$7,"",IF(ROUNDDOWN(G33,0)=$F$3,$H$3,$G$3))</f>
        <v>　レベル　2</v>
      </c>
      <c r="H35" s="537" t="s">
        <v>1794</v>
      </c>
      <c r="I35" s="538"/>
      <c r="J35" s="538"/>
      <c r="K35" s="3584"/>
      <c r="L35" s="771" t="str">
        <f>IF(L33=$F$7,"",IF(ROUNDDOWN(L33,0)=$F$3,$H$3,$G$3))</f>
        <v>■レベル　2</v>
      </c>
      <c r="M35" s="537" t="s">
        <v>3849</v>
      </c>
      <c r="N35" s="538"/>
      <c r="O35" s="539"/>
    </row>
    <row r="36" spans="2:17" ht="39.75" customHeight="1">
      <c r="B36" s="1">
        <v>3</v>
      </c>
      <c r="C36" s="1">
        <v>3</v>
      </c>
      <c r="D36" s="503"/>
      <c r="E36" s="503"/>
      <c r="F36" s="771" t="str">
        <f>IF(F33=$F$7,"",IF(ROUNDDOWN(F33,0)=$F$4,$H$4,$G$4))</f>
        <v>　レベル　3</v>
      </c>
      <c r="G36" s="771" t="str">
        <f>IF(G33=$F$7,"",IF(ROUNDDOWN(G33,0)=$F$4,$H$4,$G$4))</f>
        <v>■レベル　3</v>
      </c>
      <c r="H36" s="3585" t="s">
        <v>2461</v>
      </c>
      <c r="I36" s="3586"/>
      <c r="J36" s="3587"/>
      <c r="K36" s="3034" t="s">
        <v>2538</v>
      </c>
      <c r="L36" s="771" t="str">
        <f>IF(L33=$F$7,"",IF(ROUNDDOWN(L33,0)=$F$4,$H$4,$G$4))</f>
        <v>　レベル　3</v>
      </c>
      <c r="M36" s="3328" t="s">
        <v>3850</v>
      </c>
      <c r="N36" s="3345"/>
      <c r="O36" s="3372"/>
    </row>
    <row r="37" spans="2:17" ht="36.75" customHeight="1">
      <c r="B37" s="1">
        <v>4</v>
      </c>
      <c r="C37" s="1">
        <v>4</v>
      </c>
      <c r="D37" s="503"/>
      <c r="E37" s="503"/>
      <c r="F37" s="771" t="str">
        <f>IF(F33=$F$7,"",IF(ROUNDDOWN(F33,0)=$F$5,$H$5,$G$5))</f>
        <v>　レベル　4</v>
      </c>
      <c r="G37" s="771" t="str">
        <f>IF(G33=$F$7,"",IF(ROUNDDOWN(G33,0)=$F$5,$H$5,$G$5))</f>
        <v>　レベル　4</v>
      </c>
      <c r="H37" s="3585" t="s">
        <v>2462</v>
      </c>
      <c r="I37" s="3588"/>
      <c r="J37" s="3589"/>
      <c r="K37" s="3034" t="s">
        <v>2537</v>
      </c>
      <c r="L37" s="771" t="str">
        <f>IF(L33=$F$7,"",IF(ROUNDDOWN(L33,0)=$F$5,$H$5,$G$5))</f>
        <v>　レベル　4</v>
      </c>
      <c r="M37" s="3328" t="s">
        <v>3851</v>
      </c>
      <c r="N37" s="3345"/>
      <c r="O37" s="3372"/>
    </row>
    <row r="38" spans="2:17" ht="27" customHeight="1">
      <c r="B38" s="1">
        <v>5</v>
      </c>
      <c r="C38" s="1">
        <v>5</v>
      </c>
      <c r="D38" s="503"/>
      <c r="E38" s="503"/>
      <c r="F38" s="772" t="str">
        <f>IF(F33=$F$7,"",IF(ROUNDDOWN(F33,0)=$F$6,$H$6,$G$6))</f>
        <v>　レベル　5</v>
      </c>
      <c r="G38" s="772" t="str">
        <f>IF(G33=$F$7,"",IF(ROUNDDOWN(G33,0)=$F$6,$H$6,$G$6))</f>
        <v>　レベル　5</v>
      </c>
      <c r="H38" s="3567" t="s">
        <v>643</v>
      </c>
      <c r="I38" s="3568"/>
      <c r="J38" s="3569"/>
      <c r="K38" s="3035"/>
      <c r="L38" s="772" t="str">
        <f>IF(L33=$F$7,"",IF(ROUNDDOWN(L33,0)=$F$6,$H$6,$G$6))</f>
        <v>　レベル　5</v>
      </c>
      <c r="M38" s="3332" t="s">
        <v>3852</v>
      </c>
      <c r="N38" s="3350"/>
      <c r="O38" s="3356"/>
    </row>
    <row r="39" spans="2:17" ht="14.25" customHeight="1" thickBot="1">
      <c r="B39" s="551">
        <v>0</v>
      </c>
      <c r="C39" s="551">
        <v>0</v>
      </c>
      <c r="F39" s="839" t="s">
        <v>2938</v>
      </c>
      <c r="G39" s="1941"/>
      <c r="H39" s="1915"/>
      <c r="I39" s="1915"/>
      <c r="J39" s="1916"/>
      <c r="K39" s="2094" t="s">
        <v>3306</v>
      </c>
      <c r="L39"/>
      <c r="M39"/>
      <c r="N39"/>
      <c r="O39"/>
    </row>
    <row r="40" spans="2:17" ht="15.75" hidden="1" customHeight="1">
      <c r="B40" s="870"/>
      <c r="C40" s="870"/>
      <c r="F40" s="3033" t="s">
        <v>2706</v>
      </c>
      <c r="G40" s="503"/>
      <c r="H40" s="503"/>
    </row>
    <row r="41" spans="2:17" ht="15.75" customHeight="1" thickBot="1">
      <c r="G41" s="839" t="s">
        <v>3126</v>
      </c>
      <c r="H41" s="2264">
        <v>0</v>
      </c>
      <c r="I41" s="500" t="s">
        <v>3113</v>
      </c>
      <c r="K41" s="1977" t="s">
        <v>3275</v>
      </c>
      <c r="L41" s="2074">
        <v>0.8</v>
      </c>
      <c r="M41"/>
      <c r="N41" s="1977" t="s">
        <v>3274</v>
      </c>
      <c r="O41" s="2074">
        <v>0.8</v>
      </c>
    </row>
    <row r="42" spans="2:17" ht="15.75" customHeight="1">
      <c r="G42" s="1949" t="s">
        <v>3127</v>
      </c>
      <c r="J42"/>
      <c r="K42" s="1977" t="s">
        <v>3276</v>
      </c>
      <c r="L42" s="2074">
        <v>0.8</v>
      </c>
      <c r="M42"/>
      <c r="N42" s="1977" t="s">
        <v>3273</v>
      </c>
      <c r="O42" s="2074">
        <v>0.8</v>
      </c>
    </row>
    <row r="43" spans="2:17" ht="18.75" customHeight="1">
      <c r="F43" s="507" t="s">
        <v>2041</v>
      </c>
    </row>
    <row r="44" spans="2:17" ht="19.5" customHeight="1" thickBot="1">
      <c r="D44" s="503"/>
      <c r="E44" s="1433"/>
      <c r="F44" s="503"/>
      <c r="G44" s="2211">
        <f>IF(G58&lt;1,3,IF(G58&gt;=1,IF(H41&lt;15,4,5)))</f>
        <v>3</v>
      </c>
      <c r="H44" s="649" t="s">
        <v>1431</v>
      </c>
      <c r="I44" s="408" t="s">
        <v>1430</v>
      </c>
      <c r="J44" s="2226"/>
      <c r="K44" s="2226"/>
      <c r="L44" s="2228" t="s">
        <v>2811</v>
      </c>
      <c r="M44" s="2226"/>
      <c r="N44" s="2226"/>
      <c r="O44" s="2227"/>
      <c r="P44" s="1241"/>
      <c r="Q44" s="1241"/>
    </row>
    <row r="45" spans="2:17" ht="15.75">
      <c r="D45" s="503"/>
      <c r="E45" s="1433"/>
      <c r="F45" s="1927" t="s">
        <v>2856</v>
      </c>
      <c r="G45" s="3550" t="str">
        <f>IF(COUNTIF(L45:L48,$M$3)&gt;0,$M$3,"")</f>
        <v/>
      </c>
      <c r="H45" s="3552" t="s">
        <v>2812</v>
      </c>
      <c r="I45" s="3400" t="s">
        <v>2813</v>
      </c>
      <c r="J45" s="3494"/>
      <c r="K45" s="3564"/>
      <c r="L45" s="1943"/>
      <c r="M45" s="3036" t="s">
        <v>2814</v>
      </c>
      <c r="N45" s="3036"/>
      <c r="O45" s="3037"/>
    </row>
    <row r="46" spans="2:17" ht="15.75">
      <c r="D46" s="503"/>
      <c r="E46" s="1433"/>
      <c r="F46" s="1927" t="s">
        <v>2857</v>
      </c>
      <c r="G46" s="3551"/>
      <c r="H46" s="3563"/>
      <c r="I46" s="3554"/>
      <c r="J46" s="3481"/>
      <c r="K46" s="3555"/>
      <c r="L46" s="1979"/>
      <c r="M46" s="1729" t="s">
        <v>2815</v>
      </c>
      <c r="N46" s="1729"/>
      <c r="O46" s="2084"/>
    </row>
    <row r="47" spans="2:17" ht="15.75">
      <c r="D47" s="503"/>
      <c r="E47" s="1433"/>
      <c r="F47" s="1927" t="s">
        <v>2858</v>
      </c>
      <c r="G47" s="3551"/>
      <c r="H47" s="3563"/>
      <c r="I47" s="3554"/>
      <c r="J47" s="3481"/>
      <c r="K47" s="3555"/>
      <c r="L47" s="1979"/>
      <c r="M47" s="1729" t="s">
        <v>2816</v>
      </c>
      <c r="N47" s="1729"/>
      <c r="O47" s="2084"/>
    </row>
    <row r="48" spans="2:17" ht="15.75">
      <c r="D48" s="503"/>
      <c r="E48" s="1433"/>
      <c r="F48" s="1927" t="s">
        <v>2859</v>
      </c>
      <c r="G48" s="3562"/>
      <c r="H48" s="3553"/>
      <c r="I48" s="3554"/>
      <c r="J48" s="3481"/>
      <c r="K48" s="3555"/>
      <c r="L48" s="1980"/>
      <c r="M48" s="3038" t="s">
        <v>3288</v>
      </c>
      <c r="N48" s="1729"/>
      <c r="O48" s="2084"/>
    </row>
    <row r="49" spans="4:15" ht="27.75" customHeight="1">
      <c r="D49" s="503"/>
      <c r="E49" s="1433"/>
      <c r="F49" s="1927" t="s">
        <v>2860</v>
      </c>
      <c r="G49" s="3550" t="str">
        <f>IF(COUNTIF(L49:L54,$M$3)&gt;0,$M$3,"")</f>
        <v/>
      </c>
      <c r="H49" s="3552" t="s">
        <v>2817</v>
      </c>
      <c r="I49" s="3400" t="s">
        <v>2818</v>
      </c>
      <c r="J49" s="3494"/>
      <c r="K49" s="3564"/>
      <c r="L49" s="1981"/>
      <c r="M49" s="3565" t="s">
        <v>2819</v>
      </c>
      <c r="N49" s="3427"/>
      <c r="O49" s="3566"/>
    </row>
    <row r="50" spans="4:15" ht="15.75">
      <c r="D50" s="503"/>
      <c r="E50" s="1433"/>
      <c r="F50" s="1927" t="s">
        <v>2861</v>
      </c>
      <c r="G50" s="3551"/>
      <c r="H50" s="3563"/>
      <c r="I50" s="3554"/>
      <c r="J50" s="3481"/>
      <c r="K50" s="3555"/>
      <c r="L50" s="1944"/>
      <c r="M50" s="1729" t="s">
        <v>2820</v>
      </c>
      <c r="N50" s="1729"/>
      <c r="O50" s="2084"/>
    </row>
    <row r="51" spans="4:15" ht="15.75">
      <c r="D51" s="503"/>
      <c r="E51" s="1433"/>
      <c r="F51" s="1927" t="s">
        <v>2862</v>
      </c>
      <c r="G51" s="3551"/>
      <c r="H51" s="3563"/>
      <c r="I51" s="3554"/>
      <c r="J51" s="3481"/>
      <c r="K51" s="3555"/>
      <c r="L51" s="1944"/>
      <c r="M51" s="1729" t="s">
        <v>2821</v>
      </c>
      <c r="N51" s="1729"/>
      <c r="O51" s="2084"/>
    </row>
    <row r="52" spans="4:15" ht="15.75">
      <c r="D52" s="503"/>
      <c r="E52" s="1433"/>
      <c r="F52" s="1927" t="s">
        <v>2863</v>
      </c>
      <c r="G52" s="3551"/>
      <c r="H52" s="3563"/>
      <c r="I52" s="3554"/>
      <c r="J52" s="3481"/>
      <c r="K52" s="3555"/>
      <c r="L52" s="1944"/>
      <c r="M52" s="1729" t="s">
        <v>2822</v>
      </c>
      <c r="N52" s="1729"/>
      <c r="O52" s="2084"/>
    </row>
    <row r="53" spans="4:15" ht="15.75">
      <c r="D53" s="503"/>
      <c r="E53" s="1433"/>
      <c r="F53" s="1927" t="s">
        <v>2864</v>
      </c>
      <c r="G53" s="3551"/>
      <c r="H53" s="3563"/>
      <c r="I53" s="3554"/>
      <c r="J53" s="3481"/>
      <c r="K53" s="3555"/>
      <c r="L53" s="1944"/>
      <c r="M53" s="1729" t="s">
        <v>2823</v>
      </c>
      <c r="N53" s="1729"/>
      <c r="O53" s="2084"/>
    </row>
    <row r="54" spans="4:15" ht="15.75">
      <c r="D54" s="503"/>
      <c r="E54" s="1433"/>
      <c r="F54" s="1927" t="s">
        <v>2893</v>
      </c>
      <c r="G54" s="3562"/>
      <c r="H54" s="3553"/>
      <c r="I54" s="3402"/>
      <c r="J54" s="3512"/>
      <c r="K54" s="3556"/>
      <c r="L54" s="1982"/>
      <c r="M54" s="3039" t="s">
        <v>3288</v>
      </c>
      <c r="N54" s="3039"/>
      <c r="O54" s="3040"/>
    </row>
    <row r="55" spans="4:15" ht="22.5" customHeight="1">
      <c r="D55" s="503"/>
      <c r="E55" s="1433"/>
      <c r="F55" s="1927" t="s">
        <v>2894</v>
      </c>
      <c r="G55" s="3550" t="str">
        <f>IF(COUNTIF(L55:L56,$M$3)&gt;0,$M$3,"")</f>
        <v/>
      </c>
      <c r="H55" s="3552" t="s">
        <v>2824</v>
      </c>
      <c r="I55" s="3554" t="s">
        <v>2825</v>
      </c>
      <c r="J55" s="3481"/>
      <c r="K55" s="3555"/>
      <c r="L55" s="1979"/>
      <c r="M55" s="3036" t="s">
        <v>2826</v>
      </c>
      <c r="N55" s="3036"/>
      <c r="O55" s="3037"/>
    </row>
    <row r="56" spans="4:15" ht="22.5" customHeight="1" thickBot="1">
      <c r="D56" s="503"/>
      <c r="E56" s="1433"/>
      <c r="F56" s="1927" t="s">
        <v>2895</v>
      </c>
      <c r="G56" s="3551"/>
      <c r="H56" s="3553"/>
      <c r="I56" s="3402"/>
      <c r="J56" s="3512"/>
      <c r="K56" s="3556"/>
      <c r="L56" s="1983"/>
      <c r="M56" s="3038" t="s">
        <v>3288</v>
      </c>
      <c r="N56" s="3039"/>
      <c r="O56" s="3040"/>
    </row>
    <row r="57" spans="4:15" ht="27.75" customHeight="1" thickBot="1">
      <c r="D57" s="503"/>
      <c r="E57" s="1433"/>
      <c r="F57" s="1927" t="s">
        <v>2896</v>
      </c>
      <c r="G57" s="2051" t="str">
        <f>IF(L57=0,"",L57)</f>
        <v/>
      </c>
      <c r="H57" s="1707" t="s">
        <v>2827</v>
      </c>
      <c r="I57" s="3557" t="s">
        <v>2828</v>
      </c>
      <c r="J57" s="3558"/>
      <c r="K57" s="3559"/>
      <c r="L57" s="1984"/>
      <c r="M57" s="3560" t="s">
        <v>3236</v>
      </c>
      <c r="N57" s="3558"/>
      <c r="O57" s="3561"/>
    </row>
    <row r="58" spans="4:15" ht="15.75">
      <c r="D58" s="503"/>
      <c r="E58" s="1433"/>
      <c r="F58" s="1927" t="s">
        <v>386</v>
      </c>
      <c r="G58" s="1978">
        <f>COUNTIF(G45:G57,$M$3)</f>
        <v>0</v>
      </c>
      <c r="H58" s="823" t="s">
        <v>1777</v>
      </c>
      <c r="I58" s="1728"/>
      <c r="J58" s="1728"/>
      <c r="K58" s="1728"/>
      <c r="L58" s="1728"/>
      <c r="M58" s="1728"/>
      <c r="N58" s="1728"/>
      <c r="O58" s="2068"/>
    </row>
    <row r="59" spans="4:15">
      <c r="G59"/>
      <c r="H59"/>
      <c r="I59"/>
      <c r="J59"/>
      <c r="K59"/>
      <c r="L59"/>
      <c r="M59"/>
      <c r="N59"/>
      <c r="O59"/>
    </row>
    <row r="60" spans="4:15" ht="15.75">
      <c r="D60" s="499">
        <v>3</v>
      </c>
      <c r="E60" s="508" t="s">
        <v>1275</v>
      </c>
      <c r="F60" s="741"/>
      <c r="G60"/>
      <c r="H60"/>
      <c r="I60"/>
      <c r="J60" t="str">
        <f>IF(OR(F63=0,AND(O62=0,N70=0)),$L$3,"")</f>
        <v/>
      </c>
      <c r="K60"/>
      <c r="L60"/>
      <c r="M60"/>
      <c r="N60"/>
      <c r="O60"/>
    </row>
    <row r="61" spans="4:15" ht="15.75" hidden="1">
      <c r="D61" s="499">
        <v>3.1</v>
      </c>
      <c r="E61" s="508" t="s">
        <v>2464</v>
      </c>
      <c r="F61" s="741"/>
      <c r="G61" s="741"/>
      <c r="H61" s="741"/>
      <c r="I61" s="741"/>
      <c r="J61" s="578"/>
      <c r="K61" s="741"/>
      <c r="L61" s="741"/>
      <c r="M61" s="741"/>
      <c r="N61" s="741"/>
      <c r="O61" s="741"/>
    </row>
    <row r="62" spans="4:15" ht="14.25">
      <c r="D62" s="3016"/>
      <c r="E62" s="788"/>
      <c r="F62" s="1495" t="s">
        <v>2143</v>
      </c>
      <c r="G62" s="694" t="s">
        <v>4186</v>
      </c>
      <c r="H62" s="516"/>
      <c r="I62" s="516"/>
      <c r="J62" s="516"/>
      <c r="K62" s="516"/>
      <c r="L62" s="516"/>
      <c r="M62" s="516"/>
      <c r="N62" s="518" t="s">
        <v>1126</v>
      </c>
      <c r="O62" s="521">
        <f>重み!M129</f>
        <v>0.5</v>
      </c>
    </row>
    <row r="63" spans="4:15" ht="27" customHeight="1">
      <c r="D63" s="503"/>
      <c r="E63" s="500"/>
      <c r="F63" s="1574">
        <f>ROUNDDOWN(IF(K63+K77=0,0,(G63*K63+G77*K77)/(K63+K77)),1)</f>
        <v>1.3</v>
      </c>
      <c r="G63" s="1574">
        <f>ROUNDDOWN(計画書!J36,1)</f>
        <v>2</v>
      </c>
      <c r="H63" s="618" t="s">
        <v>4187</v>
      </c>
      <c r="I63" s="527"/>
      <c r="J63" s="527"/>
      <c r="K63" s="1272">
        <f>計画書!G47</f>
        <v>500</v>
      </c>
      <c r="L63" s="618" t="s">
        <v>1089</v>
      </c>
      <c r="M63" s="527"/>
      <c r="N63" s="527"/>
      <c r="O63" s="528"/>
    </row>
    <row r="64" spans="4:15" ht="21" customHeight="1">
      <c r="D64" s="503"/>
      <c r="E64" s="500"/>
      <c r="F64" s="621" t="str">
        <f>IF(F63=$F$7,$G$2,IF(ROUNDDOWN(F63,0)=$F$2,$H$2,$G$2))</f>
        <v>■レベル　1</v>
      </c>
      <c r="G64" s="621" t="str">
        <f>IF(G63=$F$7,$G$2,IF(ROUNDDOWN(G63,0)=$F$2,$H$2,$G$2))</f>
        <v>　レベル　1</v>
      </c>
      <c r="H64" s="3041"/>
      <c r="I64" s="3042" t="s">
        <v>2589</v>
      </c>
      <c r="J64" s="3043">
        <f>ROUNDDOWN(計画書!J47,2)</f>
        <v>0.9</v>
      </c>
      <c r="K64" s="3044"/>
      <c r="L64" s="3041"/>
      <c r="M64" s="3045"/>
      <c r="N64" s="3045"/>
      <c r="O64" s="3044"/>
    </row>
    <row r="65" spans="4:15" ht="21" customHeight="1">
      <c r="D65" s="503"/>
      <c r="E65" s="500"/>
      <c r="F65" s="650" t="str">
        <f>IF(F63=$F$7,$G$3,IF(ROUNDDOWN(F63,0)=$F$3,$H$3,$G$3))</f>
        <v>　レベル　2</v>
      </c>
      <c r="G65" s="650" t="str">
        <f>IF(G63=$F$7,$G$3,IF(ROUNDDOWN(G63,0)=$F$3,$H$3,$G$3))</f>
        <v>■レベル　2</v>
      </c>
      <c r="H65" s="3046"/>
      <c r="I65" s="3047" t="s">
        <v>2590</v>
      </c>
      <c r="J65" s="3048">
        <f>ROUNDDOWN(計画書!K47,2)</f>
        <v>0.8</v>
      </c>
      <c r="K65" s="3049"/>
      <c r="L65" s="3050" t="s">
        <v>4188</v>
      </c>
      <c r="M65" s="3051"/>
      <c r="N65" s="3051"/>
      <c r="O65" s="3049"/>
    </row>
    <row r="66" spans="4:15" ht="21" customHeight="1">
      <c r="D66" s="503"/>
      <c r="E66" s="500"/>
      <c r="F66" s="650" t="str">
        <f>IF(F63=$F$7,$G$4,IF(ROUNDDOWN(F63,0)=$F$4,$H$4,$G$4))</f>
        <v>　レベル　3</v>
      </c>
      <c r="G66" s="650" t="str">
        <f>IF(G63=$F$7,$G$4,IF(ROUNDDOWN(G63,0)=$F$4,$H$4,$G$4))</f>
        <v>　レベル　3</v>
      </c>
      <c r="H66" s="3050"/>
      <c r="I66" s="3047" t="s">
        <v>4189</v>
      </c>
      <c r="J66" s="3052">
        <f>ROUNDDOWN(計画書!L47,2)</f>
        <v>0.6</v>
      </c>
      <c r="K66" s="3049"/>
      <c r="L66" s="3050" t="s">
        <v>4190</v>
      </c>
      <c r="M66" s="3051"/>
      <c r="N66" s="3051"/>
      <c r="O66" s="3049"/>
    </row>
    <row r="67" spans="4:15" ht="21" customHeight="1">
      <c r="D67" s="503"/>
      <c r="E67" s="500"/>
      <c r="F67" s="650" t="str">
        <f>IF(F63=$F$7,$G$5,IF(ROUNDDOWN(F63,0)=$F$5,$H$5,$G$5))</f>
        <v>　レベル　4</v>
      </c>
      <c r="G67" s="650" t="str">
        <f>IF(G63=$F$7,$G$5,IF(ROUNDDOWN(G63,0)=$F$5,$H$5,$G$5))</f>
        <v>　レベル　4</v>
      </c>
      <c r="H67" s="3050" t="str">
        <f>H74</f>
        <v>[BEI][BEIm] ＝ 0.5、かつ[BEI*][BEIm*] ≦ 0.5</v>
      </c>
      <c r="I67" s="3052"/>
      <c r="J67" s="3051"/>
      <c r="K67" s="3049"/>
      <c r="L67" s="3050" t="s">
        <v>4191</v>
      </c>
      <c r="M67" s="3051"/>
      <c r="N67" s="3051"/>
      <c r="O67" s="3049"/>
    </row>
    <row r="68" spans="4:15" ht="21" customHeight="1">
      <c r="D68" s="503"/>
      <c r="E68" s="500"/>
      <c r="F68" s="3053" t="str">
        <f>IF(F63=$F$7,$G$6,IF(ROUNDDOWN(F63,0)=$F$6,$H$6,$G$6))</f>
        <v>　レベル　5</v>
      </c>
      <c r="G68" s="3053" t="str">
        <f>IF(G63=$F$7,$G$6,IF(ROUNDDOWN(G63,0)=$F$6,$H$6,$G$6))</f>
        <v>　レベル　5</v>
      </c>
      <c r="H68" s="3050" t="str">
        <f>H75</f>
        <v>[BEI][BEIm] ≦ 0.25、かつ[BEI*][BEIm*] ≦ 0.5</v>
      </c>
      <c r="I68" s="3048"/>
      <c r="J68" s="3051"/>
      <c r="K68" s="3049"/>
      <c r="L68" s="3050" t="s">
        <v>4192</v>
      </c>
      <c r="M68" s="3051"/>
      <c r="N68" s="3051"/>
      <c r="O68" s="3049"/>
    </row>
    <row r="69" spans="4:15" ht="21" customHeight="1">
      <c r="D69" s="503"/>
      <c r="E69" s="500"/>
      <c r="F69" s="768"/>
      <c r="G69" s="768"/>
      <c r="H69" s="3054" t="str">
        <f>H76</f>
        <v>又は、[BEI+] ≦ 0.25、かつ[BEI*] ≦ 0.5、かつ[BEI]＜[BEI*]</v>
      </c>
      <c r="I69" s="3055"/>
      <c r="J69" s="3056"/>
      <c r="K69" s="3057"/>
      <c r="L69" s="3535" t="s">
        <v>4193</v>
      </c>
      <c r="M69" s="3536"/>
      <c r="N69" s="3536"/>
      <c r="O69" s="3537"/>
    </row>
    <row r="70" spans="4:15" ht="21" customHeight="1">
      <c r="D70"/>
      <c r="E70"/>
      <c r="F70"/>
      <c r="G70" s="3058"/>
      <c r="H70" s="618" t="s">
        <v>4194</v>
      </c>
      <c r="I70" s="1272">
        <f>計画書!G43</f>
        <v>500</v>
      </c>
      <c r="J70" s="1464" t="s">
        <v>4195</v>
      </c>
      <c r="K70" s="1272">
        <f>計画書!G44</f>
        <v>0</v>
      </c>
      <c r="L70" s="1464" t="s">
        <v>4196</v>
      </c>
      <c r="M70" s="1272">
        <f>計画書!G45</f>
        <v>0</v>
      </c>
      <c r="N70" s="618" t="s">
        <v>3719</v>
      </c>
      <c r="O70" s="1272">
        <f>計画書!G46</f>
        <v>0</v>
      </c>
    </row>
    <row r="71" spans="4:15" ht="20.45" customHeight="1">
      <c r="D71"/>
      <c r="E71"/>
      <c r="F71"/>
      <c r="G71" s="621" t="str">
        <f>IF(G70=$F$7,$G$2,IF(ROUNDDOWN(G70,0)=$F$2,$H$2,$G$2))</f>
        <v>　レベル　1</v>
      </c>
      <c r="H71" s="3041" t="s">
        <v>4197</v>
      </c>
      <c r="I71" s="3045"/>
      <c r="J71" s="3045"/>
      <c r="K71" s="3045"/>
      <c r="L71" s="3059"/>
      <c r="M71" s="3045"/>
      <c r="N71" s="3045"/>
      <c r="O71" s="3044"/>
    </row>
    <row r="72" spans="4:15" ht="20.45" customHeight="1">
      <c r="D72"/>
      <c r="E72"/>
      <c r="F72"/>
      <c r="G72" s="650" t="str">
        <f>IF(G70=$F$7,$G$3,IF(ROUNDDOWN(G70,0)=$F$3,$H$3,$G$3))</f>
        <v>　レベル　2</v>
      </c>
      <c r="H72" s="3050" t="s">
        <v>4198</v>
      </c>
      <c r="I72" s="3060"/>
      <c r="J72" s="3050" t="s">
        <v>4198</v>
      </c>
      <c r="K72" s="3051"/>
      <c r="L72" s="3050" t="s">
        <v>4199</v>
      </c>
      <c r="M72" s="3051"/>
      <c r="N72" s="3050" t="s">
        <v>4200</v>
      </c>
      <c r="O72" s="3049"/>
    </row>
    <row r="73" spans="4:15" ht="20.45" customHeight="1">
      <c r="D73"/>
      <c r="E73"/>
      <c r="F73"/>
      <c r="G73" s="650" t="str">
        <f>IF(G70=$F$7,$G$4,IF(ROUNDDOWN(G70,0)=$F$4,$H$4,$G$4))</f>
        <v>　レベル　3</v>
      </c>
      <c r="H73" s="3050" t="s">
        <v>4201</v>
      </c>
      <c r="I73" s="3060"/>
      <c r="J73" s="3050" t="s">
        <v>4202</v>
      </c>
      <c r="K73" s="3051"/>
      <c r="L73" s="3050" t="s">
        <v>4202</v>
      </c>
      <c r="M73" s="3051"/>
      <c r="N73" s="3050" t="s">
        <v>4201</v>
      </c>
      <c r="O73" s="3049"/>
    </row>
    <row r="74" spans="4:15" ht="20.45" customHeight="1">
      <c r="D74"/>
      <c r="E74"/>
      <c r="F74"/>
      <c r="G74" s="650" t="str">
        <f>IF(G70=$F$7,$G$5,IF(ROUNDDOWN(G70,0)=$F$5,$H$5,$G$5))</f>
        <v>　レベル　4</v>
      </c>
      <c r="H74" s="3050" t="s">
        <v>4203</v>
      </c>
      <c r="I74" s="3060"/>
      <c r="J74" s="3051"/>
      <c r="K74" s="3051"/>
      <c r="L74" s="3051"/>
      <c r="M74" s="3051"/>
      <c r="N74" s="3051"/>
      <c r="O74" s="3049"/>
    </row>
    <row r="75" spans="4:15" ht="20.45" customHeight="1">
      <c r="D75"/>
      <c r="E75"/>
      <c r="F75"/>
      <c r="G75" s="3053" t="str">
        <f>IF(G70=$F$7,$G$6,IF(ROUNDDOWN(G70,0)=$F$6,$H$6,$G$6))</f>
        <v>　レベル　5</v>
      </c>
      <c r="H75" s="3050" t="s">
        <v>4204</v>
      </c>
      <c r="I75" s="3060"/>
      <c r="J75" s="3051"/>
      <c r="K75" s="3051"/>
      <c r="L75" s="3051"/>
      <c r="M75" s="3051"/>
      <c r="N75" s="3051"/>
      <c r="O75" s="3049"/>
    </row>
    <row r="76" spans="4:15" ht="20.45" customHeight="1">
      <c r="D76"/>
      <c r="E76"/>
      <c r="F76"/>
      <c r="G76" s="768"/>
      <c r="H76" s="3054" t="s">
        <v>4205</v>
      </c>
      <c r="I76" s="3061"/>
      <c r="J76" s="3056"/>
      <c r="K76" s="3056"/>
      <c r="L76" s="3056"/>
      <c r="M76" s="3056"/>
      <c r="N76" s="3056"/>
      <c r="O76" s="3057"/>
    </row>
    <row r="77" spans="4:15" ht="25.9" customHeight="1">
      <c r="D77"/>
      <c r="E77"/>
      <c r="F77"/>
      <c r="G77" s="1574">
        <f>ROUNDDOWN(計画書!K36,1)</f>
        <v>1</v>
      </c>
      <c r="H77" s="3062" t="s">
        <v>1552</v>
      </c>
      <c r="I77" s="3063"/>
      <c r="J77" s="3063"/>
      <c r="K77" s="693">
        <f>メイン!C67</f>
        <v>1000</v>
      </c>
      <c r="L77" s="694" t="s">
        <v>1089</v>
      </c>
      <c r="M77" s="762"/>
      <c r="N77" s="762"/>
      <c r="O77" s="695"/>
    </row>
    <row r="78" spans="4:15" ht="20.45" customHeight="1">
      <c r="D78"/>
      <c r="E78"/>
      <c r="F78"/>
      <c r="G78" s="689" t="str">
        <f>IF(G77=$F$7,$G$2,IF(ROUNDDOWN(G77,0)=$F$2,$H$2,$G$2))</f>
        <v>■レベル　1</v>
      </c>
      <c r="H78" s="3041" t="s">
        <v>4206</v>
      </c>
      <c r="I78" s="3045"/>
      <c r="J78" s="3045"/>
      <c r="K78" s="3045"/>
      <c r="L78" s="3041" t="s">
        <v>4207</v>
      </c>
      <c r="M78" s="3059"/>
      <c r="N78" s="3059"/>
      <c r="O78" s="3064"/>
    </row>
    <row r="79" spans="4:15" ht="20.45" customHeight="1">
      <c r="D79"/>
      <c r="E79"/>
      <c r="F79"/>
      <c r="G79" s="1492" t="str">
        <f>IF(G77=$F$7,$G$3,IF(ROUNDDOWN(G77,0)=$F$3,$H$3,$G$3))</f>
        <v>　レベル　2</v>
      </c>
      <c r="H79" s="3050" t="s">
        <v>4208</v>
      </c>
      <c r="I79" s="3060"/>
      <c r="J79" s="3060"/>
      <c r="K79" s="3060"/>
      <c r="L79" s="3050" t="s">
        <v>4209</v>
      </c>
      <c r="M79" s="3060"/>
      <c r="N79" s="3051"/>
      <c r="O79" s="3065"/>
    </row>
    <row r="80" spans="4:15" ht="20.45" customHeight="1">
      <c r="D80"/>
      <c r="E80"/>
      <c r="F80"/>
      <c r="G80" s="1492" t="str">
        <f>IF(G77=$F$7,$G$4,IF(ROUNDDOWN(G77,0)=$F$4,$H$4,$G$4))</f>
        <v>　レベル　3</v>
      </c>
      <c r="H80" s="3050" t="s">
        <v>4210</v>
      </c>
      <c r="I80" s="3060"/>
      <c r="J80" s="3060"/>
      <c r="K80" s="3060"/>
      <c r="L80" s="3050" t="s">
        <v>4211</v>
      </c>
      <c r="M80" s="3060"/>
      <c r="N80" s="3051"/>
      <c r="O80" s="3065"/>
    </row>
    <row r="81" spans="4:15" ht="20.45" customHeight="1">
      <c r="D81"/>
      <c r="E81"/>
      <c r="F81"/>
      <c r="G81" s="1492" t="str">
        <f>IF(G77=$F$7,$G$5,IF(ROUNDDOWN(G77,0)=$F$5,$H$5,$G$5))</f>
        <v>　レベル　4</v>
      </c>
      <c r="H81" s="3050" t="s">
        <v>4212</v>
      </c>
      <c r="I81" s="3060"/>
      <c r="J81" s="3060"/>
      <c r="K81" s="3060"/>
      <c r="L81" s="3050" t="s">
        <v>4213</v>
      </c>
      <c r="M81" s="3060"/>
      <c r="N81" s="3051"/>
      <c r="O81" s="3065"/>
    </row>
    <row r="82" spans="4:15" ht="25.15" customHeight="1">
      <c r="D82"/>
      <c r="E82"/>
      <c r="F82"/>
      <c r="G82" s="3066" t="str">
        <f>IF(G77=$F$7,$G$6,IF(ROUNDDOWN(G77,0)=$F$6,$H$6,$G$6))</f>
        <v>　レベル　5</v>
      </c>
      <c r="H82" s="3326" t="s">
        <v>4214</v>
      </c>
      <c r="I82" s="3538"/>
      <c r="J82" s="3538"/>
      <c r="K82" s="3539"/>
      <c r="L82" s="3050" t="s">
        <v>4215</v>
      </c>
      <c r="M82" s="3060"/>
      <c r="N82" s="3051"/>
      <c r="O82" s="3065"/>
    </row>
    <row r="83" spans="4:15" ht="25.15" customHeight="1">
      <c r="D83"/>
      <c r="E83"/>
      <c r="F83"/>
      <c r="G83" s="1493"/>
      <c r="H83" s="3054" t="s">
        <v>4216</v>
      </c>
      <c r="I83" s="3061"/>
      <c r="J83" s="3061"/>
      <c r="K83" s="3061"/>
      <c r="L83" s="3324" t="s">
        <v>4217</v>
      </c>
      <c r="M83" s="3540"/>
      <c r="N83" s="3540"/>
      <c r="O83" s="3541"/>
    </row>
    <row r="84" spans="4:15">
      <c r="F84" s="839" t="s">
        <v>2938</v>
      </c>
      <c r="G84" s="3189"/>
      <c r="H84" s="783"/>
      <c r="I84" s="783"/>
      <c r="J84" s="3067"/>
      <c r="K84" s="2094" t="s">
        <v>4218</v>
      </c>
      <c r="L84"/>
      <c r="M84"/>
      <c r="N84"/>
      <c r="O84"/>
    </row>
    <row r="85" spans="4:15">
      <c r="D85"/>
      <c r="E85"/>
      <c r="F85" s="1977"/>
      <c r="G85" s="1977"/>
      <c r="H85" s="1977" t="s">
        <v>3307</v>
      </c>
      <c r="I85" s="1942"/>
      <c r="J85" s="1977" t="s">
        <v>3320</v>
      </c>
      <c r="K85" s="1942"/>
      <c r="L85" s="1977" t="s">
        <v>3308</v>
      </c>
      <c r="M85" s="1942"/>
      <c r="N85" s="1949" t="s">
        <v>3102</v>
      </c>
      <c r="O85"/>
    </row>
    <row r="86" spans="4:15" ht="14.25" hidden="1">
      <c r="F86" s="3033" t="s">
        <v>2707</v>
      </c>
    </row>
    <row r="87" spans="4:15" ht="15.75" hidden="1">
      <c r="D87" s="499"/>
      <c r="E87" s="508"/>
      <c r="F87" s="499" t="s">
        <v>2516</v>
      </c>
      <c r="J87" s="1433"/>
    </row>
    <row r="88" spans="4:15" hidden="1">
      <c r="E88" s="1433"/>
      <c r="F88" s="1433" t="s">
        <v>2465</v>
      </c>
    </row>
    <row r="89" spans="4:15" hidden="1">
      <c r="E89" s="1433"/>
      <c r="F89" s="767" t="e">
        <f>[1]計画書!#REF!</f>
        <v>#REF!</v>
      </c>
      <c r="G89" s="1443" t="s">
        <v>2517</v>
      </c>
      <c r="H89" s="1444"/>
      <c r="I89" s="1444"/>
      <c r="J89" s="1444"/>
      <c r="K89" s="1445">
        <v>1</v>
      </c>
      <c r="L89"/>
    </row>
    <row r="90" spans="4:15" hidden="1">
      <c r="G90" s="1443" t="s">
        <v>2518</v>
      </c>
      <c r="H90" s="1444"/>
      <c r="I90" s="1444"/>
      <c r="J90" s="1444"/>
      <c r="K90" s="1445" t="s">
        <v>2519</v>
      </c>
      <c r="L90"/>
    </row>
    <row r="91" spans="4:15" ht="14.25" hidden="1" thickBot="1">
      <c r="G91" s="500"/>
      <c r="H91" s="500"/>
      <c r="I91" s="500"/>
      <c r="J91" s="500"/>
      <c r="K91" s="3068"/>
      <c r="L91"/>
    </row>
    <row r="92" spans="4:15" ht="14.25" hidden="1" thickBot="1">
      <c r="F92" s="1433" t="s">
        <v>2466</v>
      </c>
      <c r="H92"/>
      <c r="I92" s="1446"/>
    </row>
    <row r="93" spans="4:15" hidden="1">
      <c r="F93" s="767" t="e">
        <f>[1]計画書!#REF!</f>
        <v>#REF!</v>
      </c>
      <c r="G93" s="1447" t="s">
        <v>2520</v>
      </c>
      <c r="H93" s="1448" t="s">
        <v>2521</v>
      </c>
      <c r="I93" s="1448" t="s">
        <v>2522</v>
      </c>
      <c r="J93" s="1448" t="s">
        <v>2523</v>
      </c>
    </row>
    <row r="94" spans="4:15" hidden="1">
      <c r="G94" s="1449" t="s">
        <v>2524</v>
      </c>
      <c r="H94" s="1445">
        <v>2</v>
      </c>
      <c r="I94" s="1445">
        <v>1</v>
      </c>
      <c r="J94" s="1445">
        <v>1</v>
      </c>
    </row>
    <row r="95" spans="4:15" hidden="1">
      <c r="G95" s="1449" t="s">
        <v>2525</v>
      </c>
      <c r="H95" s="1445">
        <v>2.5</v>
      </c>
      <c r="I95" s="1445">
        <v>1.5</v>
      </c>
      <c r="J95" s="1445">
        <v>1</v>
      </c>
    </row>
    <row r="96" spans="4:15" hidden="1">
      <c r="G96" s="1449" t="s">
        <v>2526</v>
      </c>
      <c r="H96" s="1445">
        <v>3</v>
      </c>
      <c r="I96" s="1445">
        <v>2</v>
      </c>
      <c r="J96" s="1445">
        <v>1</v>
      </c>
    </row>
    <row r="97" spans="2:15" hidden="1">
      <c r="G97" s="1449" t="s">
        <v>2527</v>
      </c>
      <c r="H97" s="1445">
        <v>3.5</v>
      </c>
      <c r="I97" s="1445">
        <v>2.5</v>
      </c>
      <c r="J97" s="1445">
        <v>1.5</v>
      </c>
    </row>
    <row r="98" spans="2:15" hidden="1">
      <c r="G98" s="1449" t="s">
        <v>2528</v>
      </c>
      <c r="H98" s="1445">
        <v>4</v>
      </c>
      <c r="I98" s="1445">
        <v>3</v>
      </c>
      <c r="J98" s="1445">
        <v>2</v>
      </c>
    </row>
    <row r="99" spans="2:15" hidden="1">
      <c r="G99" s="1449" t="s">
        <v>2529</v>
      </c>
      <c r="H99" s="1445">
        <v>4.5</v>
      </c>
      <c r="I99" s="1445">
        <v>3.5</v>
      </c>
      <c r="J99" s="1445">
        <v>2.5</v>
      </c>
    </row>
    <row r="100" spans="2:15" hidden="1">
      <c r="G100" s="1450">
        <v>4</v>
      </c>
      <c r="H100" s="1445">
        <v>5</v>
      </c>
      <c r="I100" s="1445">
        <v>4</v>
      </c>
      <c r="J100" s="1445">
        <v>3</v>
      </c>
    </row>
    <row r="101" spans="2:15" ht="14.25" hidden="1">
      <c r="F101" s="508" t="s">
        <v>1810</v>
      </c>
      <c r="I101" s="3069"/>
      <c r="J101" s="500"/>
      <c r="K101" s="500"/>
    </row>
    <row r="102" spans="2:15" ht="14.25" hidden="1" thickBot="1">
      <c r="B102" t="s">
        <v>1092</v>
      </c>
      <c r="F102" s="630" t="s">
        <v>642</v>
      </c>
      <c r="G102" s="516"/>
      <c r="H102" s="517"/>
      <c r="I102" s="518" t="s">
        <v>1126</v>
      </c>
      <c r="J102" s="519">
        <v>0.5</v>
      </c>
      <c r="K102" s="631"/>
      <c r="L102" s="631"/>
      <c r="M102" s="631"/>
      <c r="N102" s="631"/>
      <c r="O102" s="528"/>
    </row>
    <row r="103" spans="2:15" ht="14.25" hidden="1" thickBot="1">
      <c r="B103" s="714">
        <v>0</v>
      </c>
      <c r="F103" s="522">
        <v>0</v>
      </c>
      <c r="G103" s="527" t="s">
        <v>1615</v>
      </c>
      <c r="H103" s="527"/>
      <c r="I103" s="527"/>
      <c r="J103" s="527"/>
      <c r="K103" s="527"/>
      <c r="L103" s="527"/>
      <c r="M103" s="528"/>
      <c r="N103" s="618" t="s">
        <v>1089</v>
      </c>
      <c r="O103" s="528"/>
    </row>
    <row r="104" spans="2:15" hidden="1">
      <c r="B104" s="1" t="s">
        <v>177</v>
      </c>
      <c r="C104" s="1">
        <v>1</v>
      </c>
      <c r="F104" s="757" t="str">
        <f>IF(F103=$F$7,"",IF(ROUNDDOWN(F103,0)=$F$2,$H$2,$G$2))</f>
        <v/>
      </c>
      <c r="G104" s="531" t="s">
        <v>1794</v>
      </c>
      <c r="H104" s="769"/>
      <c r="I104" s="769"/>
      <c r="J104" s="769"/>
      <c r="K104" s="769"/>
      <c r="L104" s="769"/>
      <c r="M104" s="769"/>
      <c r="N104" s="3400"/>
      <c r="O104" s="3542"/>
    </row>
    <row r="105" spans="2:15" hidden="1">
      <c r="B105" s="1">
        <v>2</v>
      </c>
      <c r="C105" s="1">
        <v>3</v>
      </c>
      <c r="F105" s="758" t="str">
        <f>IF(F103=$F$7,"",IF(ROUNDDOWN(F103,0)=$F$3,$H$3,$G$3))</f>
        <v/>
      </c>
      <c r="G105" s="537" t="s">
        <v>1824</v>
      </c>
      <c r="H105" s="769"/>
      <c r="I105" s="769"/>
      <c r="J105" s="769"/>
      <c r="K105" s="769"/>
      <c r="L105" s="769"/>
      <c r="M105" s="769"/>
      <c r="N105" s="3543"/>
      <c r="O105" s="3544"/>
    </row>
    <row r="106" spans="2:15" hidden="1">
      <c r="B106" s="1">
        <v>3</v>
      </c>
      <c r="C106" s="1">
        <v>3</v>
      </c>
      <c r="F106" s="758" t="str">
        <f>IF(F103=$F$7,"",IF(ROUNDDOWN(F103,0)=$F$4,$H$4,$G$4))</f>
        <v/>
      </c>
      <c r="G106" s="537" t="s">
        <v>1825</v>
      </c>
      <c r="H106" s="769"/>
      <c r="I106" s="769"/>
      <c r="J106" s="769"/>
      <c r="K106" s="769"/>
      <c r="L106" s="769"/>
      <c r="M106" s="769"/>
      <c r="N106" s="3543"/>
      <c r="O106" s="3544"/>
    </row>
    <row r="107" spans="2:15" hidden="1">
      <c r="B107" s="1">
        <v>4</v>
      </c>
      <c r="C107" s="1">
        <v>4</v>
      </c>
      <c r="F107" s="758" t="str">
        <f>IF(F103=$F$7,"",IF(ROUNDDOWN(F103,0)=$F$5,$H$5,$G$5))</f>
        <v/>
      </c>
      <c r="G107" s="537" t="s">
        <v>1826</v>
      </c>
      <c r="H107" s="769"/>
      <c r="I107" s="769"/>
      <c r="J107" s="769"/>
      <c r="K107" s="769"/>
      <c r="L107" s="769"/>
      <c r="M107" s="769"/>
      <c r="N107" s="3543"/>
      <c r="O107" s="3544"/>
    </row>
    <row r="108" spans="2:15" hidden="1">
      <c r="B108" s="1">
        <v>5</v>
      </c>
      <c r="C108" s="1">
        <v>5</v>
      </c>
      <c r="F108" s="759" t="str">
        <f>IF(F103=$F$7,"",IF(ROUNDDOWN(F103,0)=$F$6,$H$6,$G$6))</f>
        <v/>
      </c>
      <c r="G108" s="548" t="s">
        <v>1952</v>
      </c>
      <c r="H108" s="549"/>
      <c r="I108" s="549"/>
      <c r="J108" s="549"/>
      <c r="K108" s="549"/>
      <c r="L108" s="549"/>
      <c r="M108" s="549"/>
      <c r="N108" s="3545"/>
      <c r="O108" s="3546"/>
    </row>
    <row r="109" spans="2:15" hidden="1">
      <c r="B109" s="551">
        <v>0</v>
      </c>
      <c r="C109" s="551">
        <v>0</v>
      </c>
    </row>
    <row r="110" spans="2:15" ht="14.25" hidden="1">
      <c r="F110" s="508" t="s">
        <v>1953</v>
      </c>
      <c r="G110" s="500"/>
      <c r="H110" s="500" t="s">
        <v>1123</v>
      </c>
      <c r="I110" s="500"/>
    </row>
    <row r="111" spans="2:15">
      <c r="H111"/>
    </row>
    <row r="112" spans="2:15" ht="15.75" hidden="1">
      <c r="F112" s="508" t="s">
        <v>1954</v>
      </c>
      <c r="G112" s="766"/>
      <c r="H112" s="508"/>
      <c r="I112" s="500"/>
      <c r="K112" s="500"/>
    </row>
    <row r="113" spans="2:15" ht="14.25" hidden="1" thickBot="1">
      <c r="B113" t="s">
        <v>1092</v>
      </c>
      <c r="F113" s="630" t="s">
        <v>642</v>
      </c>
      <c r="G113" s="516"/>
      <c r="H113" s="517"/>
      <c r="I113" s="518" t="s">
        <v>1126</v>
      </c>
      <c r="J113" s="519">
        <v>0.5</v>
      </c>
      <c r="K113" s="631"/>
      <c r="L113" s="631"/>
      <c r="M113" s="631"/>
      <c r="N113" s="631"/>
      <c r="O113" s="528"/>
    </row>
    <row r="114" spans="2:15" ht="14.25" hidden="1" thickBot="1">
      <c r="B114" s="714">
        <v>0</v>
      </c>
      <c r="F114" s="522">
        <v>0</v>
      </c>
      <c r="G114" s="527" t="s">
        <v>1615</v>
      </c>
      <c r="H114" s="527"/>
      <c r="I114" s="527"/>
      <c r="J114" s="527"/>
      <c r="K114" s="527"/>
      <c r="L114" s="527"/>
      <c r="M114" s="528"/>
      <c r="N114" s="618" t="s">
        <v>1089</v>
      </c>
      <c r="O114" s="528"/>
    </row>
    <row r="115" spans="2:15" hidden="1">
      <c r="B115" s="1" t="s">
        <v>177</v>
      </c>
      <c r="C115" s="1">
        <v>1</v>
      </c>
      <c r="F115" s="757" t="str">
        <f>IF(F114=$F$7,"",IF(ROUNDDOWN(F114,0)=$F$2,$H$2,$G$2))</f>
        <v/>
      </c>
      <c r="G115" s="531" t="s">
        <v>1794</v>
      </c>
      <c r="H115" s="769"/>
      <c r="I115" s="769"/>
      <c r="J115" s="769"/>
      <c r="K115" s="769"/>
      <c r="L115" s="769"/>
      <c r="M115" s="769"/>
      <c r="N115" s="3400" t="s">
        <v>1827</v>
      </c>
      <c r="O115" s="3542"/>
    </row>
    <row r="116" spans="2:15" hidden="1">
      <c r="B116" s="1">
        <v>2</v>
      </c>
      <c r="C116" s="1">
        <v>3</v>
      </c>
      <c r="F116" s="758" t="str">
        <f>IF(F114=$F$7,"",IF(ROUNDDOWN(F114,0)=$F$3,$H$3,$G$3))</f>
        <v/>
      </c>
      <c r="G116" s="537" t="s">
        <v>1819</v>
      </c>
      <c r="H116" s="769"/>
      <c r="I116" s="769"/>
      <c r="J116" s="769"/>
      <c r="K116" s="769"/>
      <c r="L116" s="769"/>
      <c r="M116" s="769"/>
      <c r="N116" s="3543"/>
      <c r="O116" s="3544"/>
    </row>
    <row r="117" spans="2:15" hidden="1">
      <c r="B117" s="1">
        <v>3</v>
      </c>
      <c r="C117" s="1">
        <v>3</v>
      </c>
      <c r="F117" s="758" t="str">
        <f>IF(F114=$F$7,"",IF(ROUNDDOWN(F114,0)=$F$4,$H$4,$G$4))</f>
        <v/>
      </c>
      <c r="G117" s="537" t="s">
        <v>1955</v>
      </c>
      <c r="H117" s="769"/>
      <c r="I117" s="769"/>
      <c r="J117" s="769"/>
      <c r="K117" s="769"/>
      <c r="L117" s="769"/>
      <c r="M117" s="769"/>
      <c r="N117" s="3543"/>
      <c r="O117" s="3544"/>
    </row>
    <row r="118" spans="2:15" hidden="1">
      <c r="B118" s="1">
        <v>4</v>
      </c>
      <c r="C118" s="1">
        <v>4</v>
      </c>
      <c r="F118" s="758" t="str">
        <f>IF(F114=$F$7,"",IF(ROUNDDOWN(F114,0)=$F$5,$H$5,$G$5))</f>
        <v/>
      </c>
      <c r="G118" s="537" t="s">
        <v>1828</v>
      </c>
      <c r="H118" s="769"/>
      <c r="I118" s="769"/>
      <c r="J118" s="769"/>
      <c r="K118" s="769"/>
      <c r="L118" s="769"/>
      <c r="M118" s="769"/>
      <c r="N118" s="3543"/>
      <c r="O118" s="3544"/>
    </row>
    <row r="119" spans="2:15" hidden="1">
      <c r="B119" s="1">
        <v>5</v>
      </c>
      <c r="C119" s="1">
        <v>5</v>
      </c>
      <c r="F119" s="759" t="str">
        <f>IF(F114=$F$7,"",IF(ROUNDDOWN(F114,0)=$F$6,$H$6,$G$6))</f>
        <v/>
      </c>
      <c r="G119" s="548" t="s">
        <v>1829</v>
      </c>
      <c r="H119" s="549"/>
      <c r="I119" s="549"/>
      <c r="J119" s="549"/>
      <c r="K119" s="549"/>
      <c r="L119" s="549"/>
      <c r="M119" s="549"/>
      <c r="N119" s="3545"/>
      <c r="O119" s="3546"/>
    </row>
    <row r="120" spans="2:15" hidden="1">
      <c r="B120" s="551">
        <v>0</v>
      </c>
      <c r="C120" s="551">
        <v>0</v>
      </c>
    </row>
    <row r="121" spans="2:15" ht="14.25" hidden="1">
      <c r="F121" s="508" t="s">
        <v>1956</v>
      </c>
      <c r="H121" s="500" t="s">
        <v>1123</v>
      </c>
      <c r="I121" s="500"/>
    </row>
    <row r="122" spans="2:15" hidden="1">
      <c r="I122" s="500"/>
    </row>
    <row r="123" spans="2:15" ht="14.25" hidden="1">
      <c r="F123" s="508" t="s">
        <v>1957</v>
      </c>
      <c r="H123" s="500" t="s">
        <v>1123</v>
      </c>
      <c r="I123" s="500"/>
    </row>
    <row r="124" spans="2:15"/>
    <row r="125" spans="2:15" ht="15.75">
      <c r="D125" s="499">
        <v>4</v>
      </c>
      <c r="E125" s="508" t="s">
        <v>2131</v>
      </c>
      <c r="F125" s="508"/>
      <c r="G125"/>
      <c r="H125"/>
      <c r="I125"/>
      <c r="J125"/>
      <c r="K125"/>
      <c r="L125"/>
      <c r="M125"/>
      <c r="N125"/>
      <c r="O125"/>
    </row>
    <row r="126" spans="2:15" ht="15.75">
      <c r="D126" s="499">
        <v>4.0999999999999996</v>
      </c>
      <c r="E126" s="508" t="s">
        <v>836</v>
      </c>
      <c r="F126" s="508"/>
      <c r="G126"/>
      <c r="H126"/>
      <c r="I126"/>
      <c r="J126" t="str">
        <f>IF(OR(F128=0,AND(J127=0,O127=0)),$L$3,"")</f>
        <v>&lt;評価しない&gt;</v>
      </c>
      <c r="K126"/>
      <c r="L126"/>
      <c r="M126"/>
      <c r="N126"/>
      <c r="O126"/>
    </row>
    <row r="127" spans="2:15" ht="15" thickBot="1">
      <c r="D127" s="3016"/>
      <c r="E127" s="788"/>
      <c r="F127" s="630"/>
      <c r="G127" s="516"/>
      <c r="H127" s="517"/>
      <c r="I127" s="518" t="s">
        <v>1126</v>
      </c>
      <c r="J127" s="519">
        <f>重み!M140</f>
        <v>0.16666666666666666</v>
      </c>
      <c r="K127" s="630"/>
      <c r="L127" s="516"/>
      <c r="M127" s="517"/>
      <c r="N127" s="518" t="s">
        <v>1126</v>
      </c>
      <c r="O127" s="521">
        <f>重み!M143</f>
        <v>0.33333333333333331</v>
      </c>
    </row>
    <row r="128" spans="2:15" ht="27" customHeight="1" thickBot="1">
      <c r="D128" s="503"/>
      <c r="E128" s="500"/>
      <c r="F128" s="522">
        <v>0</v>
      </c>
      <c r="G128" s="1370" t="s">
        <v>2132</v>
      </c>
      <c r="H128" s="762"/>
      <c r="I128" s="762"/>
      <c r="J128" s="762"/>
      <c r="K128" s="522">
        <v>3</v>
      </c>
      <c r="L128" s="526" t="s">
        <v>1552</v>
      </c>
      <c r="M128" s="527"/>
      <c r="N128" s="527"/>
      <c r="O128" s="528"/>
    </row>
    <row r="129" spans="2:16" ht="21" customHeight="1">
      <c r="B129" s="1" t="s">
        <v>177</v>
      </c>
      <c r="C129" s="1" t="s">
        <v>177</v>
      </c>
      <c r="D129" s="503"/>
      <c r="E129" s="500"/>
      <c r="F129" s="529" t="str">
        <f>IF(F128=$F$7,$G$2,IF(ROUNDDOWN(F128,0)=$F$2,$H$2,$G$2))</f>
        <v>　レベル　1</v>
      </c>
      <c r="G129" s="531" t="s">
        <v>1498</v>
      </c>
      <c r="H129" s="1271"/>
      <c r="I129" s="1271"/>
      <c r="J129" s="1271"/>
      <c r="K129" s="529" t="str">
        <f>IF(K128=$F$7,$G$2,IF(ROUNDDOWN(K128,0)=$F$2,$H$2,$G$2))</f>
        <v>　レベル　1</v>
      </c>
      <c r="L129" s="624" t="s">
        <v>1498</v>
      </c>
      <c r="M129" s="625"/>
      <c r="N129" s="625"/>
      <c r="O129" s="1274"/>
    </row>
    <row r="130" spans="2:16" ht="21" customHeight="1">
      <c r="B130" s="1" t="s">
        <v>177</v>
      </c>
      <c r="C130" s="1" t="s">
        <v>177</v>
      </c>
      <c r="D130" s="503"/>
      <c r="E130" s="500"/>
      <c r="F130" s="650" t="str">
        <f>IF(F128=$F$7,$G$3,IF(ROUNDDOWN(F128,0)=$F$3,$H$3,$G$3))</f>
        <v>　レベル　2</v>
      </c>
      <c r="G130" s="537" t="s">
        <v>1498</v>
      </c>
      <c r="H130" s="769"/>
      <c r="I130" s="769"/>
      <c r="J130" s="769"/>
      <c r="K130" s="650" t="str">
        <f>IF(K128=$F$7,$G$3,IF(ROUNDDOWN(K128,0)=$F$3,$H$3,$G$3))</f>
        <v>　レベル　2</v>
      </c>
      <c r="L130" s="537" t="s">
        <v>1498</v>
      </c>
      <c r="M130" s="538"/>
      <c r="N130" s="538"/>
      <c r="O130" s="539"/>
    </row>
    <row r="131" spans="2:16" ht="45" customHeight="1">
      <c r="B131" s="1">
        <v>3</v>
      </c>
      <c r="C131" s="1">
        <v>3</v>
      </c>
      <c r="D131" s="503"/>
      <c r="E131" s="500"/>
      <c r="F131" s="650" t="str">
        <f>IF(F128=$F$7,$G$4,IF(ROUNDDOWN(F128,0)=$F$4,$H$4,$G$4))</f>
        <v>　レベル　3</v>
      </c>
      <c r="G131" s="3362" t="s">
        <v>1811</v>
      </c>
      <c r="H131" s="3495"/>
      <c r="I131" s="3495"/>
      <c r="J131" s="3547"/>
      <c r="K131" s="650" t="str">
        <f>IF(K128=$F$7,$G$4,IF(ROUNDDOWN(K128,0)=$F$4,$H$4,$G$4))</f>
        <v>■レベル　3</v>
      </c>
      <c r="L131" s="537" t="s">
        <v>159</v>
      </c>
      <c r="M131" s="538"/>
      <c r="N131" s="538"/>
      <c r="O131" s="539"/>
    </row>
    <row r="132" spans="2:16" ht="45" customHeight="1">
      <c r="B132" s="1">
        <v>4</v>
      </c>
      <c r="C132" s="1">
        <v>4</v>
      </c>
      <c r="D132" s="503"/>
      <c r="E132" s="500"/>
      <c r="F132" s="650" t="str">
        <f>IF(F128=$F$7,$G$5,IF(ROUNDDOWN(F128,0)=$F$5,$H$5,$G$5))</f>
        <v>　レベル　4</v>
      </c>
      <c r="G132" s="3362" t="s">
        <v>162</v>
      </c>
      <c r="H132" s="3495"/>
      <c r="I132" s="3495"/>
      <c r="J132" s="3547"/>
      <c r="K132" s="650" t="str">
        <f>IF(K128=$F$7,$G$5,IF(ROUNDDOWN(K128,0)=$F$5,$H$5,$G$5))</f>
        <v>　レベル　4</v>
      </c>
      <c r="L132" s="3328" t="s">
        <v>160</v>
      </c>
      <c r="M132" s="3345"/>
      <c r="N132" s="3345"/>
      <c r="O132" s="3372"/>
    </row>
    <row r="133" spans="2:16" ht="45" customHeight="1">
      <c r="B133" s="1">
        <v>5</v>
      </c>
      <c r="C133" s="1">
        <v>5</v>
      </c>
      <c r="D133" s="503"/>
      <c r="E133" s="500"/>
      <c r="F133" s="544" t="str">
        <f>IF(F128=$F$7,$G$6,IF(ROUNDDOWN(F128,0)=$F$6,$H$6,$G$6))</f>
        <v>　レベル　5</v>
      </c>
      <c r="G133" s="3332" t="s">
        <v>839</v>
      </c>
      <c r="H133" s="3416"/>
      <c r="I133" s="3416"/>
      <c r="J133" s="3417"/>
      <c r="K133" s="544" t="str">
        <f>IF(K128=$F$7,$G$6,IF(ROUNDDOWN(K128,0)=$F$6,$H$6,$G$6))</f>
        <v>　レベル　5</v>
      </c>
      <c r="L133" s="3332" t="s">
        <v>161</v>
      </c>
      <c r="M133" s="3416"/>
      <c r="N133" s="3416"/>
      <c r="O133" s="3417"/>
    </row>
    <row r="134" spans="2:16" ht="15.75">
      <c r="B134" s="551">
        <v>0</v>
      </c>
      <c r="C134" s="551">
        <v>0</v>
      </c>
      <c r="D134" s="503"/>
      <c r="E134" s="500"/>
      <c r="F134" s="839" t="s">
        <v>2938</v>
      </c>
      <c r="G134" s="1941"/>
      <c r="H134" s="1915"/>
      <c r="I134" s="1915"/>
      <c r="J134" s="1916"/>
      <c r="K134" s="839" t="s">
        <v>2938</v>
      </c>
      <c r="L134" s="1941"/>
      <c r="M134" s="1915"/>
      <c r="N134" s="1915"/>
      <c r="O134" s="1916"/>
      <c r="P134" s="1977"/>
    </row>
    <row r="135" spans="2:16" ht="10.5" customHeight="1">
      <c r="D135" s="503"/>
      <c r="E135" s="500"/>
      <c r="F135" s="404"/>
      <c r="G135" s="506" t="s">
        <v>837</v>
      </c>
      <c r="H135" s="404"/>
      <c r="I135" s="404"/>
      <c r="J135" s="404"/>
      <c r="K135" s="404"/>
      <c r="L135" s="404"/>
      <c r="M135" s="404"/>
      <c r="N135" s="404"/>
      <c r="O135" s="404"/>
    </row>
    <row r="136" spans="2:16" ht="10.5" customHeight="1">
      <c r="D136" s="503"/>
      <c r="E136" s="500"/>
      <c r="F136" s="404"/>
      <c r="G136" s="506" t="s">
        <v>838</v>
      </c>
      <c r="H136" s="404"/>
      <c r="I136" s="404"/>
      <c r="J136" s="404"/>
      <c r="K136" s="404"/>
      <c r="L136" s="404"/>
      <c r="M136" s="404"/>
      <c r="N136" s="404"/>
      <c r="O136" s="404"/>
    </row>
    <row r="137" spans="2:16" ht="18.75" customHeight="1">
      <c r="D137" s="503"/>
      <c r="E137" s="500"/>
      <c r="F137" s="404" t="s">
        <v>2379</v>
      </c>
      <c r="G137" s="404"/>
      <c r="H137" s="404"/>
      <c r="I137" s="404"/>
      <c r="J137" s="404"/>
      <c r="K137" s="404"/>
      <c r="L137" s="404"/>
      <c r="M137" s="404"/>
      <c r="N137" s="404"/>
      <c r="O137" s="404"/>
    </row>
    <row r="138" spans="2:16" ht="16.5" customHeight="1">
      <c r="D138" s="503"/>
      <c r="E138" s="500"/>
      <c r="F138" s="3548" t="s">
        <v>2380</v>
      </c>
      <c r="G138" s="3549"/>
      <c r="H138" s="3013" t="s">
        <v>2381</v>
      </c>
      <c r="I138" s="3014"/>
      <c r="J138" s="3013" t="s">
        <v>2382</v>
      </c>
      <c r="K138" s="3014"/>
      <c r="L138" s="3014"/>
      <c r="M138" s="3015"/>
      <c r="N138" s="773" t="s">
        <v>2383</v>
      </c>
      <c r="O138" s="774"/>
    </row>
    <row r="139" spans="2:16" ht="16.5" customHeight="1">
      <c r="D139" s="503"/>
      <c r="E139" s="500"/>
      <c r="F139" s="3533">
        <v>1</v>
      </c>
      <c r="G139" s="3533" t="s">
        <v>2384</v>
      </c>
      <c r="H139" s="775" t="s">
        <v>2385</v>
      </c>
      <c r="I139" s="776"/>
      <c r="J139" s="775" t="s">
        <v>348</v>
      </c>
      <c r="K139" s="776"/>
      <c r="L139" s="776"/>
      <c r="M139" s="777"/>
      <c r="N139" s="775"/>
      <c r="O139" s="777"/>
    </row>
    <row r="140" spans="2:16" ht="16.5" customHeight="1">
      <c r="D140" s="503"/>
      <c r="E140" s="500"/>
      <c r="F140" s="3533"/>
      <c r="G140" s="3533"/>
      <c r="H140" s="775" t="s">
        <v>2387</v>
      </c>
      <c r="I140" s="776"/>
      <c r="J140" s="775" t="s">
        <v>2388</v>
      </c>
      <c r="K140" s="776"/>
      <c r="L140" s="776"/>
      <c r="M140" s="777"/>
      <c r="N140" s="775" t="s">
        <v>2389</v>
      </c>
      <c r="O140" s="777"/>
    </row>
    <row r="141" spans="2:16" ht="16.5" customHeight="1">
      <c r="D141" s="503"/>
      <c r="E141" s="500"/>
      <c r="F141" s="3533"/>
      <c r="G141" s="3533"/>
      <c r="H141" s="775" t="s">
        <v>2390</v>
      </c>
      <c r="I141" s="776"/>
      <c r="J141" s="775" t="s">
        <v>2238</v>
      </c>
      <c r="K141" s="776"/>
      <c r="L141" s="776"/>
      <c r="M141" s="777"/>
      <c r="N141" s="775"/>
      <c r="O141" s="777"/>
    </row>
    <row r="142" spans="2:16" ht="16.5" customHeight="1">
      <c r="D142" s="503"/>
      <c r="E142" s="500"/>
      <c r="F142" s="3530">
        <v>2</v>
      </c>
      <c r="G142" s="3530" t="s">
        <v>1044</v>
      </c>
      <c r="H142" s="775" t="s">
        <v>2239</v>
      </c>
      <c r="I142" s="776"/>
      <c r="J142" s="775" t="s">
        <v>2240</v>
      </c>
      <c r="K142" s="776"/>
      <c r="L142" s="776"/>
      <c r="M142" s="777"/>
      <c r="N142" s="775"/>
      <c r="O142" s="777"/>
    </row>
    <row r="143" spans="2:16" ht="16.5" customHeight="1">
      <c r="D143" s="503"/>
      <c r="E143" s="500"/>
      <c r="F143" s="3531"/>
      <c r="G143" s="3531"/>
      <c r="H143" s="775" t="s">
        <v>2241</v>
      </c>
      <c r="I143" s="776"/>
      <c r="J143" s="775" t="s">
        <v>2242</v>
      </c>
      <c r="K143" s="776"/>
      <c r="L143" s="776"/>
      <c r="M143" s="777"/>
      <c r="N143" s="775"/>
      <c r="O143" s="777"/>
    </row>
    <row r="144" spans="2:16" ht="16.5" customHeight="1">
      <c r="D144" s="503"/>
      <c r="E144" s="500"/>
      <c r="F144" s="3531"/>
      <c r="G144" s="3531"/>
      <c r="H144" s="775" t="s">
        <v>146</v>
      </c>
      <c r="I144" s="776"/>
      <c r="J144" s="775" t="s">
        <v>2242</v>
      </c>
      <c r="K144" s="776"/>
      <c r="L144" s="776"/>
      <c r="M144" s="777"/>
      <c r="N144" s="775"/>
      <c r="O144" s="777"/>
    </row>
    <row r="145" spans="2:15" ht="16.5" customHeight="1">
      <c r="D145" s="503"/>
      <c r="E145" s="500"/>
      <c r="F145" s="3532"/>
      <c r="G145" s="3532"/>
      <c r="H145" s="775" t="s">
        <v>1378</v>
      </c>
      <c r="I145" s="776"/>
      <c r="J145" s="775" t="s">
        <v>1379</v>
      </c>
      <c r="K145" s="776"/>
      <c r="L145" s="776"/>
      <c r="M145" s="777"/>
      <c r="N145" s="775"/>
      <c r="O145" s="777"/>
    </row>
    <row r="146" spans="2:15" ht="16.5" customHeight="1">
      <c r="D146" s="503"/>
      <c r="E146" s="500"/>
      <c r="F146" s="3012">
        <v>3</v>
      </c>
      <c r="G146" s="3012" t="s">
        <v>1045</v>
      </c>
      <c r="H146" s="775" t="s">
        <v>1380</v>
      </c>
      <c r="I146" s="776"/>
      <c r="J146" s="775"/>
      <c r="K146" s="776"/>
      <c r="L146" s="776"/>
      <c r="M146" s="777"/>
      <c r="N146" s="775"/>
      <c r="O146" s="777"/>
    </row>
    <row r="147" spans="2:15" ht="16.5" customHeight="1">
      <c r="D147" s="503"/>
      <c r="E147" s="500"/>
      <c r="F147" s="3012">
        <v>4</v>
      </c>
      <c r="G147" s="3012" t="s">
        <v>1046</v>
      </c>
      <c r="H147" s="775" t="s">
        <v>1381</v>
      </c>
      <c r="I147" s="776"/>
      <c r="J147" s="775" t="s">
        <v>1382</v>
      </c>
      <c r="K147" s="776"/>
      <c r="L147" s="776"/>
      <c r="M147" s="777"/>
      <c r="N147" s="775"/>
      <c r="O147" s="777"/>
    </row>
    <row r="148" spans="2:15" ht="16.5" customHeight="1">
      <c r="D148" s="503"/>
      <c r="E148" s="500"/>
      <c r="F148" s="3533">
        <v>5</v>
      </c>
      <c r="G148" s="3533" t="s">
        <v>1047</v>
      </c>
      <c r="H148" s="775" t="s">
        <v>2385</v>
      </c>
      <c r="I148" s="776"/>
      <c r="J148" s="775" t="s">
        <v>2386</v>
      </c>
      <c r="K148" s="776"/>
      <c r="L148" s="776"/>
      <c r="M148" s="777"/>
      <c r="N148" s="775"/>
      <c r="O148" s="777"/>
    </row>
    <row r="149" spans="2:15" ht="16.5" customHeight="1">
      <c r="D149" s="503"/>
      <c r="E149" s="500"/>
      <c r="F149" s="3533"/>
      <c r="G149" s="3533"/>
      <c r="H149" s="775" t="s">
        <v>2387</v>
      </c>
      <c r="I149" s="776"/>
      <c r="J149" s="775" t="s">
        <v>2388</v>
      </c>
      <c r="K149" s="776"/>
      <c r="L149" s="776"/>
      <c r="M149" s="777"/>
      <c r="N149" s="775"/>
      <c r="O149" s="777"/>
    </row>
    <row r="150" spans="2:15" ht="16.5" customHeight="1">
      <c r="D150" s="503"/>
      <c r="E150" s="500"/>
      <c r="F150" s="3533"/>
      <c r="G150" s="3533"/>
      <c r="H150" s="775" t="s">
        <v>2390</v>
      </c>
      <c r="I150" s="776"/>
      <c r="J150" s="775" t="s">
        <v>2238</v>
      </c>
      <c r="K150" s="776"/>
      <c r="L150" s="776"/>
      <c r="M150" s="777"/>
      <c r="N150" s="775"/>
      <c r="O150" s="777"/>
    </row>
    <row r="151" spans="2:15" ht="16.5" customHeight="1">
      <c r="D151" s="503"/>
      <c r="E151" s="500"/>
      <c r="F151" s="3012">
        <v>6</v>
      </c>
      <c r="G151" s="3012" t="s">
        <v>349</v>
      </c>
      <c r="H151" s="775" t="s">
        <v>350</v>
      </c>
      <c r="I151" s="776"/>
      <c r="J151" s="775" t="s">
        <v>351</v>
      </c>
      <c r="K151" s="776"/>
      <c r="L151" s="776"/>
      <c r="M151" s="777"/>
      <c r="N151" s="775"/>
      <c r="O151" s="777"/>
    </row>
    <row r="152" spans="2:15" ht="16.5" customHeight="1">
      <c r="D152" s="503"/>
      <c r="E152" s="500"/>
      <c r="F152" s="3533">
        <v>7</v>
      </c>
      <c r="G152" s="3533" t="s">
        <v>1383</v>
      </c>
      <c r="H152" s="775" t="s">
        <v>352</v>
      </c>
      <c r="I152" s="776"/>
      <c r="J152" s="775" t="s">
        <v>353</v>
      </c>
      <c r="K152" s="776"/>
      <c r="L152" s="776"/>
      <c r="M152" s="777"/>
      <c r="N152" s="775"/>
      <c r="O152" s="777"/>
    </row>
    <row r="153" spans="2:15" ht="16.5" customHeight="1">
      <c r="D153" s="503"/>
      <c r="E153" s="500"/>
      <c r="F153" s="3533"/>
      <c r="G153" s="3533"/>
      <c r="H153" s="775" t="s">
        <v>1384</v>
      </c>
      <c r="I153" s="776"/>
      <c r="J153" s="775" t="s">
        <v>354</v>
      </c>
      <c r="K153" s="776"/>
      <c r="L153" s="776"/>
      <c r="M153" s="777"/>
      <c r="N153" s="775"/>
      <c r="O153" s="777"/>
    </row>
    <row r="154" spans="2:15" ht="16.5" customHeight="1">
      <c r="D154" s="503"/>
      <c r="E154" s="500"/>
      <c r="F154" s="3533"/>
      <c r="G154" s="3533"/>
      <c r="H154" s="775" t="s">
        <v>1385</v>
      </c>
      <c r="I154" s="776"/>
      <c r="J154" s="775" t="s">
        <v>355</v>
      </c>
      <c r="K154" s="776"/>
      <c r="L154" s="776"/>
      <c r="M154" s="777"/>
      <c r="N154" s="775"/>
      <c r="O154" s="777"/>
    </row>
    <row r="155" spans="2:15" ht="16.5" customHeight="1">
      <c r="D155" s="503"/>
      <c r="E155" s="500"/>
      <c r="F155" s="3534"/>
      <c r="G155" s="3534"/>
      <c r="H155" s="775" t="s">
        <v>301</v>
      </c>
      <c r="I155" s="776"/>
      <c r="J155" s="775" t="s">
        <v>2703</v>
      </c>
      <c r="K155" s="776"/>
      <c r="L155" s="776"/>
      <c r="M155" s="777"/>
      <c r="N155" s="775"/>
      <c r="O155" s="777"/>
    </row>
    <row r="156" spans="2:15" ht="18" customHeight="1">
      <c r="D156" s="503"/>
      <c r="E156" s="404"/>
      <c r="F156" s="404"/>
      <c r="G156" s="404" t="s">
        <v>609</v>
      </c>
      <c r="H156" s="404"/>
      <c r="I156" s="404"/>
      <c r="J156" s="404"/>
      <c r="K156" s="404"/>
      <c r="L156" s="404"/>
      <c r="M156" s="404"/>
      <c r="N156" s="404"/>
      <c r="O156" s="404"/>
    </row>
    <row r="157" spans="2:15" ht="18" customHeight="1">
      <c r="D157" s="499">
        <v>4.2</v>
      </c>
      <c r="E157" s="508" t="s">
        <v>843</v>
      </c>
      <c r="F157" s="852"/>
      <c r="G157"/>
      <c r="H157"/>
      <c r="I157"/>
      <c r="J157" t="str">
        <f>IF(OR(F159=0,AND(J158=0,O158=0)),$L$3,"")</f>
        <v>&lt;評価しない&gt;</v>
      </c>
      <c r="K157"/>
      <c r="L157"/>
      <c r="M157"/>
      <c r="N157"/>
      <c r="O157"/>
    </row>
    <row r="158" spans="2:15" ht="15" thickBot="1">
      <c r="D158" s="3016"/>
      <c r="E158" s="788"/>
      <c r="F158" s="630"/>
      <c r="G158" s="516"/>
      <c r="H158" s="517"/>
      <c r="I158" s="518" t="s">
        <v>1126</v>
      </c>
      <c r="J158" s="519">
        <f>重み!M141</f>
        <v>0.16666666666666666</v>
      </c>
      <c r="K158" s="630"/>
      <c r="L158" s="516"/>
      <c r="M158" s="517"/>
      <c r="N158" s="518" t="s">
        <v>1126</v>
      </c>
      <c r="O158" s="521">
        <f>重み!M144</f>
        <v>0.33333333333333331</v>
      </c>
    </row>
    <row r="159" spans="2:15" ht="25.5" customHeight="1" thickBot="1">
      <c r="D159" s="503"/>
      <c r="E159" s="500"/>
      <c r="F159" s="522">
        <v>0</v>
      </c>
      <c r="G159" s="527" t="s">
        <v>2132</v>
      </c>
      <c r="H159" s="527"/>
      <c r="I159" s="527"/>
      <c r="J159" s="527"/>
      <c r="K159" s="522">
        <v>3</v>
      </c>
      <c r="L159" s="526" t="s">
        <v>1552</v>
      </c>
      <c r="M159" s="527"/>
      <c r="N159" s="527"/>
      <c r="O159" s="528"/>
    </row>
    <row r="160" spans="2:15" ht="21" customHeight="1">
      <c r="B160" s="1">
        <v>1</v>
      </c>
      <c r="C160" s="1">
        <v>1</v>
      </c>
      <c r="D160" s="503"/>
      <c r="E160" s="500"/>
      <c r="F160" s="534" t="str">
        <f>IF(F159=$F$7,$G$2,IF(AND($O$9=$O$3,ROUNDDOWN(F159,0)=$F$2),$H$2,$G$2))</f>
        <v>　レベル　1</v>
      </c>
      <c r="G160" s="624" t="s">
        <v>672</v>
      </c>
      <c r="H160" s="769"/>
      <c r="I160" s="769"/>
      <c r="J160" s="769"/>
      <c r="K160" s="529" t="str">
        <f>IF(K159=$F$7,$G$2,IF(ROUNDDOWN(K159,0)=$F$2,$H$2,$G$2))</f>
        <v>　レベル　1</v>
      </c>
      <c r="L160" s="624" t="s">
        <v>1312</v>
      </c>
      <c r="M160" s="625"/>
      <c r="N160" s="625"/>
      <c r="O160" s="1274"/>
    </row>
    <row r="161" spans="2:16" ht="21" customHeight="1">
      <c r="B161" s="1">
        <v>2</v>
      </c>
      <c r="C161" s="1">
        <v>2</v>
      </c>
      <c r="D161" s="503"/>
      <c r="E161" s="500"/>
      <c r="F161" s="534" t="str">
        <f>IF(F159=$F$7,$G$3,IF(AND($O$9=$O$3,ROUNDDOWN(F159,0)=$F$3),$H$3,$G$3))</f>
        <v>　レベル　2</v>
      </c>
      <c r="G161" s="537" t="s">
        <v>673</v>
      </c>
      <c r="H161" s="769"/>
      <c r="I161" s="769"/>
      <c r="J161" s="769"/>
      <c r="K161" s="650" t="str">
        <f>IF(K159=$F$7,$G$3,IF(ROUNDDOWN(K159,0)=$F$3,$H$3,$G$3))</f>
        <v>　レベル　2</v>
      </c>
      <c r="L161" s="537" t="s">
        <v>1498</v>
      </c>
      <c r="M161" s="538"/>
      <c r="N161" s="538"/>
      <c r="O161" s="539"/>
    </row>
    <row r="162" spans="2:16" ht="25.5" customHeight="1">
      <c r="B162" s="1">
        <v>3</v>
      </c>
      <c r="C162" s="1">
        <v>3</v>
      </c>
      <c r="D162" s="503"/>
      <c r="E162" s="500"/>
      <c r="F162" s="534" t="str">
        <f>IF(F159=$F$7,$G$4,IF(AND($O$9=$O$3,ROUNDDOWN(F159,0)=$F$4),$H$4,$G$4))</f>
        <v>　レベル　3</v>
      </c>
      <c r="G162" s="3328" t="s">
        <v>610</v>
      </c>
      <c r="H162" s="3345"/>
      <c r="I162" s="3345"/>
      <c r="J162" s="3372"/>
      <c r="K162" s="650" t="str">
        <f>IF(K159=$F$7,$G$4,IF(ROUNDDOWN(K159,0)=$F$4,$H$4,$G$4))</f>
        <v>■レベル　3</v>
      </c>
      <c r="L162" s="537" t="s">
        <v>1313</v>
      </c>
      <c r="M162" s="538"/>
      <c r="N162" s="538"/>
      <c r="O162" s="539"/>
    </row>
    <row r="163" spans="2:16" ht="42.75" customHeight="1">
      <c r="B163" s="1">
        <v>4</v>
      </c>
      <c r="C163" s="1">
        <v>4</v>
      </c>
      <c r="D163" s="503"/>
      <c r="E163" s="500"/>
      <c r="F163" s="534" t="str">
        <f>IF(F159=$F$7,$G$5,IF(AND($O$9=$O$3,ROUNDDOWN(F159,0)=$F$5),$H$5,$G$5))</f>
        <v>　レベル　4</v>
      </c>
      <c r="G163" s="3328" t="s">
        <v>2436</v>
      </c>
      <c r="H163" s="3419"/>
      <c r="I163" s="3419"/>
      <c r="J163" s="3418"/>
      <c r="K163" s="650" t="str">
        <f>IF(K159=$F$7,$G$5,IF(ROUNDDOWN(K159,0)=$F$5,$H$5,$G$5))</f>
        <v>　レベル　4</v>
      </c>
      <c r="L163" s="3328" t="s">
        <v>1314</v>
      </c>
      <c r="M163" s="3419"/>
      <c r="N163" s="3419"/>
      <c r="O163" s="3418"/>
    </row>
    <row r="164" spans="2:16" ht="40.5" customHeight="1">
      <c r="B164" s="1">
        <v>5</v>
      </c>
      <c r="C164" s="1">
        <v>5</v>
      </c>
      <c r="D164" s="503"/>
      <c r="E164" s="500"/>
      <c r="F164" s="544" t="str">
        <f>IF(F159=$F$7,$G$6,IF(AND($O$9=$O$3,ROUNDDOWN(F159,0)=$F$6),$H$6,$G$6))</f>
        <v>　レベル　5</v>
      </c>
      <c r="G164" s="3332" t="s">
        <v>2437</v>
      </c>
      <c r="H164" s="3416"/>
      <c r="I164" s="3416"/>
      <c r="J164" s="3417"/>
      <c r="K164" s="544" t="str">
        <f>IF(K159=$F$7,$G$6,IF(ROUNDDOWN(K159,0)=$F$6,$H$6,$G$6))</f>
        <v>　レベル　5</v>
      </c>
      <c r="L164" s="3332" t="s">
        <v>1315</v>
      </c>
      <c r="M164" s="3416"/>
      <c r="N164" s="3416"/>
      <c r="O164" s="3417"/>
    </row>
    <row r="165" spans="2:16" ht="17.25" customHeight="1">
      <c r="B165" s="551">
        <v>0</v>
      </c>
      <c r="C165" s="551">
        <v>0</v>
      </c>
      <c r="D165" s="503"/>
      <c r="F165" s="839" t="s">
        <v>2938</v>
      </c>
      <c r="G165" s="1941"/>
      <c r="H165" s="1915"/>
      <c r="I165" s="1915"/>
      <c r="J165" s="1916"/>
      <c r="K165" s="839" t="s">
        <v>2938</v>
      </c>
      <c r="L165" s="1941"/>
      <c r="M165" s="1915"/>
      <c r="N165" s="1915"/>
      <c r="O165" s="1916"/>
      <c r="P165" s="1977"/>
    </row>
    <row r="166" spans="2:16" ht="14.25" hidden="1">
      <c r="E166" s="3070"/>
      <c r="K166" s="852"/>
      <c r="L166" s="3071"/>
      <c r="M166" s="3072"/>
      <c r="N166" s="3072"/>
      <c r="O166" s="578"/>
    </row>
    <row r="167" spans="2:16" ht="14.25" hidden="1">
      <c r="E167" s="1273"/>
    </row>
    <row r="168" spans="2:16" ht="15.75" hidden="1">
      <c r="D168" s="503"/>
      <c r="E168" s="1273"/>
    </row>
    <row r="169" spans="2:16" ht="15.75" hidden="1">
      <c r="B169" s="1">
        <v>1</v>
      </c>
      <c r="C169" s="1" t="s">
        <v>177</v>
      </c>
      <c r="D169" s="503"/>
      <c r="E169" s="1273"/>
    </row>
    <row r="170" spans="2:16" ht="15.75" hidden="1">
      <c r="B170" s="1" t="s">
        <v>177</v>
      </c>
      <c r="C170" s="1" t="s">
        <v>177</v>
      </c>
      <c r="D170" s="503"/>
      <c r="E170" s="1273"/>
    </row>
    <row r="171" spans="2:16" ht="15.75" hidden="1">
      <c r="B171" s="1">
        <v>3</v>
      </c>
      <c r="C171" s="1">
        <v>3</v>
      </c>
      <c r="D171" s="503"/>
      <c r="E171" s="1273"/>
    </row>
    <row r="172" spans="2:16" ht="27" hidden="1" customHeight="1">
      <c r="B172" s="1">
        <v>4</v>
      </c>
      <c r="C172" s="1">
        <v>4</v>
      </c>
      <c r="D172" s="503"/>
      <c r="E172" s="1273"/>
    </row>
    <row r="173" spans="2:16" ht="34.5" hidden="1" customHeight="1">
      <c r="B173" s="1">
        <v>5</v>
      </c>
      <c r="C173" s="1">
        <v>5</v>
      </c>
      <c r="D173" s="503"/>
      <c r="E173" s="1273"/>
    </row>
    <row r="174" spans="2:16" ht="15.75" hidden="1">
      <c r="B174" s="551">
        <v>0</v>
      </c>
      <c r="C174" s="551">
        <v>0</v>
      </c>
      <c r="D174" s="503"/>
      <c r="E174" s="1275"/>
      <c r="F174" s="3073"/>
      <c r="G174" s="3073"/>
      <c r="H174" s="3074"/>
      <c r="I174" s="3074"/>
      <c r="J174" s="3074"/>
      <c r="K174" s="3074"/>
      <c r="L174" s="3074"/>
      <c r="M174" s="3074"/>
      <c r="N174" s="3074"/>
      <c r="O174" s="3074"/>
    </row>
    <row r="175" spans="2:16"/>
    <row r="176" spans="2:1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6"/>
    <row r="217"/>
    <row r="222"/>
    <row r="225"/>
    <row r="270"/>
    <row r="286"/>
    <row r="292"/>
    <row r="293"/>
    <row r="294"/>
    <row r="295"/>
    <row r="296"/>
    <row r="297"/>
    <row r="298"/>
    <row r="299"/>
    <row r="300"/>
    <row r="302"/>
    <row r="305"/>
    <row r="308"/>
    <row r="309"/>
    <row r="310"/>
    <row r="311"/>
    <row r="312"/>
    <row r="313"/>
    <row r="314"/>
    <row r="315"/>
    <row r="316"/>
    <row r="318"/>
    <row r="321"/>
    <row r="324"/>
    <row r="325"/>
    <row r="326"/>
    <row r="327"/>
    <row r="328"/>
    <row r="329"/>
    <row r="330"/>
    <row r="331"/>
    <row r="332"/>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sheetData>
  <sheetProtection algorithmName="SHA-512" hashValue="T4xe6zqkMZjpxqB9f1+R8rpJX88c3hy8Dq4TJ3+Ky3s1rWSx9coIly8kEvwuzsX9HUt1oeFKZNrmfLoQmM5zxQ==" saltValue="IspJiSGnmXK6QL5UTtBi/A==" spinCount="100000" sheet="1" objects="1" scenarios="1"/>
  <mergeCells count="69">
    <mergeCell ref="I14:J14"/>
    <mergeCell ref="K14:L14"/>
    <mergeCell ref="M15:O15"/>
    <mergeCell ref="M16:O16"/>
    <mergeCell ref="G17:H17"/>
    <mergeCell ref="I17:J17"/>
    <mergeCell ref="K17:L17"/>
    <mergeCell ref="M17:O17"/>
    <mergeCell ref="K34:K35"/>
    <mergeCell ref="H36:J36"/>
    <mergeCell ref="M36:O36"/>
    <mergeCell ref="H37:J37"/>
    <mergeCell ref="G18:H18"/>
    <mergeCell ref="I18:J18"/>
    <mergeCell ref="K18:L18"/>
    <mergeCell ref="M18:O18"/>
    <mergeCell ref="G19:H19"/>
    <mergeCell ref="I19:J19"/>
    <mergeCell ref="K19:L19"/>
    <mergeCell ref="M19:O19"/>
    <mergeCell ref="M23:O23"/>
    <mergeCell ref="M24:O24"/>
    <mergeCell ref="M25:O25"/>
    <mergeCell ref="M26:O26"/>
    <mergeCell ref="M27:O27"/>
    <mergeCell ref="F21:F22"/>
    <mergeCell ref="G21:G22"/>
    <mergeCell ref="L21:L22"/>
    <mergeCell ref="H23:I27"/>
    <mergeCell ref="J23:K27"/>
    <mergeCell ref="M37:O37"/>
    <mergeCell ref="G45:G48"/>
    <mergeCell ref="H45:H48"/>
    <mergeCell ref="I45:K48"/>
    <mergeCell ref="G49:G54"/>
    <mergeCell ref="H49:H54"/>
    <mergeCell ref="I49:K54"/>
    <mergeCell ref="M49:O49"/>
    <mergeCell ref="H38:J38"/>
    <mergeCell ref="M38:O38"/>
    <mergeCell ref="G55:G56"/>
    <mergeCell ref="H55:H56"/>
    <mergeCell ref="I55:K56"/>
    <mergeCell ref="I57:K57"/>
    <mergeCell ref="M57:O57"/>
    <mergeCell ref="F139:F141"/>
    <mergeCell ref="G139:G141"/>
    <mergeCell ref="L69:O69"/>
    <mergeCell ref="H82:K82"/>
    <mergeCell ref="L83:O83"/>
    <mergeCell ref="N104:O108"/>
    <mergeCell ref="N115:O119"/>
    <mergeCell ref="G131:J131"/>
    <mergeCell ref="G132:J132"/>
    <mergeCell ref="L132:O132"/>
    <mergeCell ref="G133:J133"/>
    <mergeCell ref="L133:O133"/>
    <mergeCell ref="F138:G138"/>
    <mergeCell ref="F142:F145"/>
    <mergeCell ref="G142:G145"/>
    <mergeCell ref="F148:F150"/>
    <mergeCell ref="G148:G150"/>
    <mergeCell ref="F152:F155"/>
    <mergeCell ref="G152:G155"/>
    <mergeCell ref="G162:J162"/>
    <mergeCell ref="G163:J163"/>
    <mergeCell ref="L163:O163"/>
    <mergeCell ref="G164:J164"/>
    <mergeCell ref="L164:O164"/>
  </mergeCells>
  <phoneticPr fontId="27"/>
  <conditionalFormatting sqref="F13 F103 F114 F128 F159">
    <cfRule type="expression" dxfId="264" priority="1" stopIfTrue="1">
      <formula>AND(OR(F13&lt;1,F13&gt;5),F13&lt;&gt;0)</formula>
    </cfRule>
    <cfRule type="expression" dxfId="263" priority="2" stopIfTrue="1">
      <formula>$J12&gt;0</formula>
    </cfRule>
  </conditionalFormatting>
  <conditionalFormatting sqref="F21">
    <cfRule type="cellIs" dxfId="262" priority="8" stopIfTrue="1" operator="equal">
      <formula>#REF!</formula>
    </cfRule>
  </conditionalFormatting>
  <conditionalFormatting sqref="H41">
    <cfRule type="expression" dxfId="261" priority="7" stopIfTrue="1">
      <formula>$J$33&gt;0</formula>
    </cfRule>
  </conditionalFormatting>
  <conditionalFormatting sqref="K128">
    <cfRule type="expression" dxfId="260" priority="5" stopIfTrue="1">
      <formula>AND(OR(K128&lt;1,K128&gt;5),K128&lt;&gt;0)</formula>
    </cfRule>
    <cfRule type="expression" dxfId="259" priority="6" stopIfTrue="1">
      <formula>$O$127</formula>
    </cfRule>
  </conditionalFormatting>
  <conditionalFormatting sqref="L33">
    <cfRule type="expression" dxfId="258" priority="3" stopIfTrue="1">
      <formula>AND(OR(L33&lt;1,L33&gt;5),L33&lt;&gt;0)</formula>
    </cfRule>
    <cfRule type="expression" dxfId="257" priority="4" stopIfTrue="1">
      <formula>O33&gt;0</formula>
    </cfRule>
  </conditionalFormatting>
  <dataValidations count="6">
    <dataValidation type="list" allowBlank="1" showInputMessage="1" showErrorMessage="1" sqref="L45:L57" xr:uid="{00000000-0002-0000-0900-000000000000}">
      <formula1>$M$3:$M$4</formula1>
    </dataValidation>
    <dataValidation type="list" allowBlank="1" showInputMessage="1" sqref="L33" xr:uid="{00000000-0002-0000-0900-000001000000}">
      <formula1>$C$34:$C$39</formula1>
    </dataValidation>
    <dataValidation type="list" allowBlank="1" showInputMessage="1" sqref="K128 K159" xr:uid="{00000000-0002-0000-0900-000002000000}">
      <formula1>$C$129:$C$134</formula1>
    </dataValidation>
    <dataValidation allowBlank="1" showInputMessage="1" sqref="H41" xr:uid="{00000000-0002-0000-0900-000003000000}"/>
    <dataValidation type="list" allowBlank="1" showInputMessage="1" sqref="F128" xr:uid="{00000000-0002-0000-0900-000004000000}">
      <formula1>$B$129:$B$134</formula1>
    </dataValidation>
    <dataValidation type="list" allowBlank="1" showInputMessage="1" sqref="F13 F114 F103 F159" xr:uid="{00000000-0002-0000-0900-000005000000}">
      <formula1>$B14:$B19</formula1>
    </dataValidation>
  </dataValidations>
  <printOptions horizontalCentered="1"/>
  <pageMargins left="0.59055118110236227" right="0.59055118110236227" top="0.78740157480314965" bottom="0.59055118110236227" header="0.51181102362204722" footer="0.51181102362204722"/>
  <pageSetup paperSize="9" scale="80" fitToHeight="0" orientation="portrait" verticalDpi="4294967293" r:id="rId1"/>
  <headerFooter alignWithMargins="0">
    <oddHeader>&amp;L&amp;F&amp;R&amp;A</oddHeader>
    <oddFooter>&amp;C&amp;P/&amp;N</oddFooter>
  </headerFooter>
  <rowBreaks count="2" manualBreakCount="2">
    <brk id="59" min="2" max="15" man="1"/>
    <brk id="124" min="2" max="1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111"/>
  <sheetViews>
    <sheetView showGridLines="0" topLeftCell="A62" zoomScale="85" zoomScaleNormal="85" workbookViewId="0">
      <selection activeCell="N29" sqref="N29"/>
    </sheetView>
  </sheetViews>
  <sheetFormatPr defaultColWidth="0" defaultRowHeight="13.5" zeroHeight="1"/>
  <cols>
    <col min="1" max="2" width="1.375" customWidth="1"/>
    <col min="3" max="3" width="2.125" customWidth="1"/>
    <col min="4" max="4" width="2.5" customWidth="1"/>
    <col min="5" max="5" width="10.75" customWidth="1"/>
    <col min="6" max="6" width="9.625" customWidth="1"/>
    <col min="7" max="7" width="9.25" customWidth="1"/>
    <col min="8" max="8" width="10.875" customWidth="1"/>
    <col min="9" max="9" width="1.25" customWidth="1"/>
    <col min="10" max="10" width="10.875" customWidth="1"/>
    <col min="11" max="11" width="11" customWidth="1"/>
    <col min="12" max="12" width="9.5" customWidth="1"/>
    <col min="13" max="14" width="11.25" customWidth="1"/>
    <col min="15" max="15" width="2.375" customWidth="1"/>
    <col min="16" max="16" width="9.625" customWidth="1"/>
    <col min="17" max="17" width="2.625" customWidth="1"/>
    <col min="18" max="18" width="0.875" customWidth="1"/>
    <col min="19" max="19" width="23.5" hidden="1" customWidth="1"/>
    <col min="20" max="20" width="13.375" hidden="1" customWidth="1"/>
    <col min="21" max="21" width="6.75" hidden="1" customWidth="1"/>
    <col min="22" max="22" width="9.125" hidden="1" customWidth="1"/>
    <col min="23" max="23" width="13.875" hidden="1" customWidth="1"/>
    <col min="24" max="24" width="12.75" hidden="1" customWidth="1"/>
    <col min="25" max="25" width="6.75" hidden="1" customWidth="1"/>
    <col min="26" max="26" width="6.5" hidden="1" customWidth="1"/>
    <col min="27" max="27" width="13.875" hidden="1" customWidth="1"/>
    <col min="28" max="28" width="12.75" hidden="1" customWidth="1"/>
    <col min="29" max="16384" width="9" hidden="1"/>
  </cols>
  <sheetData>
    <row r="1" spans="2:28" ht="9.75" customHeight="1" thickBot="1"/>
    <row r="2" spans="2:28" ht="25.5" customHeight="1">
      <c r="B2" s="3083"/>
      <c r="C2" s="3084" t="s">
        <v>2564</v>
      </c>
      <c r="D2" s="3085"/>
      <c r="E2" s="3085"/>
      <c r="F2" s="3086"/>
      <c r="G2" s="3086"/>
      <c r="H2" s="3087"/>
      <c r="I2" s="3085"/>
      <c r="J2" s="3085"/>
      <c r="K2" s="3085"/>
      <c r="L2" s="3085"/>
      <c r="M2" s="3088" t="s">
        <v>2243</v>
      </c>
      <c r="N2" s="3089" t="str">
        <f>メイン!C11</f>
        <v>○○ビル</v>
      </c>
      <c r="O2" s="3089"/>
      <c r="P2" s="3089"/>
      <c r="Q2" s="3090"/>
    </row>
    <row r="3" spans="2:28">
      <c r="B3" s="1253"/>
      <c r="C3" s="7"/>
      <c r="D3" s="7"/>
      <c r="E3" s="7"/>
      <c r="F3" s="7"/>
      <c r="G3" s="7"/>
      <c r="H3" s="7"/>
      <c r="I3" s="7"/>
      <c r="J3" s="7"/>
      <c r="K3" s="7"/>
      <c r="L3" s="7"/>
      <c r="M3" s="7"/>
      <c r="N3" s="7"/>
      <c r="O3" s="7"/>
      <c r="P3" s="7"/>
      <c r="Q3" s="1337"/>
    </row>
    <row r="4" spans="2:28" hidden="1">
      <c r="B4" s="1253"/>
      <c r="C4" s="7"/>
      <c r="D4" s="7"/>
      <c r="E4" s="7"/>
      <c r="F4" s="7"/>
      <c r="G4" s="7"/>
      <c r="H4" s="1256"/>
      <c r="I4" s="7"/>
      <c r="J4" s="7"/>
      <c r="K4" s="7"/>
      <c r="L4" s="7"/>
      <c r="M4" s="7"/>
      <c r="N4" s="7"/>
      <c r="O4" s="7"/>
      <c r="P4" s="7"/>
      <c r="Q4" s="1337"/>
    </row>
    <row r="5" spans="2:28" ht="14.25" thickBot="1">
      <c r="B5" s="1253"/>
      <c r="C5" s="3091" t="s">
        <v>2566</v>
      </c>
      <c r="D5" s="1884" t="s">
        <v>2689</v>
      </c>
      <c r="E5" s="7"/>
      <c r="F5" s="7"/>
      <c r="G5" s="7"/>
      <c r="H5" s="7"/>
      <c r="I5" s="7"/>
      <c r="J5" s="7"/>
      <c r="K5" s="7"/>
      <c r="L5" s="7"/>
      <c r="M5" s="7"/>
      <c r="N5" s="7"/>
      <c r="O5" s="7"/>
      <c r="P5" s="7"/>
      <c r="Q5" s="1337"/>
      <c r="U5" s="1357">
        <f>IF($H$6&lt;=V10,U11,IF($H$6&lt;=V9,U10,IF($H$6&lt;=V8,U9,IF($H$6&lt;=V7,U8,1))))</f>
        <v>5</v>
      </c>
      <c r="W5">
        <f>VLOOKUP($U$5,U7:X11,3)</f>
        <v>-10.000000000000002</v>
      </c>
      <c r="X5">
        <f>VLOOKUP($U$5,U7:X11,4)</f>
        <v>13.000000000000002</v>
      </c>
      <c r="Y5" s="1357">
        <f>IF($H$6&lt;=Z10,Y11,IF($H$6&lt;=Z9,Y10,IF($H$6&lt;=Z8,Y9,IF($H$6&lt;=Z7,Y8,1))))</f>
        <v>5</v>
      </c>
      <c r="AA5">
        <f>VLOOKUP($Y$5,Y7:AB11,3)</f>
        <v>-12.499999999999989</v>
      </c>
      <c r="AB5">
        <f>VLOOKUP($Y$5,Y7:AB11,4)</f>
        <v>15.624999999999991</v>
      </c>
    </row>
    <row r="6" spans="2:28" ht="14.25" thickBot="1">
      <c r="B6" s="1253"/>
      <c r="C6" s="7"/>
      <c r="D6" s="1884"/>
      <c r="E6" s="1884" t="s">
        <v>91</v>
      </c>
      <c r="F6" s="1884"/>
      <c r="G6" s="3092" t="s">
        <v>2568</v>
      </c>
      <c r="H6" s="1497">
        <v>0.7</v>
      </c>
      <c r="I6" s="7"/>
      <c r="J6" s="945" t="str">
        <f>[1]メイン!F12</f>
        <v>６地域</v>
      </c>
      <c r="K6" s="7"/>
      <c r="L6" s="3093" t="s">
        <v>2585</v>
      </c>
      <c r="M6" s="3094">
        <f>IF(H6="",1,IF(H6&lt;=V11,U11,IF(H6&gt;=V7,U7,H6*W5+X5)))</f>
        <v>5</v>
      </c>
      <c r="N6" s="7"/>
      <c r="O6" s="7"/>
      <c r="P6" s="7"/>
      <c r="Q6" s="1337"/>
      <c r="T6" t="s">
        <v>2463</v>
      </c>
      <c r="U6" s="1" t="s">
        <v>941</v>
      </c>
      <c r="V6" s="1" t="s">
        <v>2066</v>
      </c>
      <c r="W6" t="s">
        <v>2314</v>
      </c>
      <c r="X6" t="s">
        <v>2315</v>
      </c>
      <c r="Y6" s="1" t="s">
        <v>941</v>
      </c>
      <c r="Z6" s="1" t="str">
        <f>メイン!I18</f>
        <v>８地域</v>
      </c>
      <c r="AA6" t="s">
        <v>2314</v>
      </c>
      <c r="AB6" t="s">
        <v>2315</v>
      </c>
    </row>
    <row r="7" spans="2:28">
      <c r="B7" s="1253"/>
      <c r="C7" s="7"/>
      <c r="D7" s="7"/>
      <c r="E7" s="7"/>
      <c r="F7" s="7"/>
      <c r="G7" s="7"/>
      <c r="H7" s="7"/>
      <c r="I7" s="7"/>
      <c r="J7" s="7"/>
      <c r="K7" s="7"/>
      <c r="L7" s="3093" t="s">
        <v>2584</v>
      </c>
      <c r="M7" s="3094">
        <f>IF(H6="",1,IF(H6&lt;=Z11,Y11,IF(H6&gt;=Z7,Y7,H6*AA5+AB5)))</f>
        <v>5</v>
      </c>
      <c r="N7" s="7"/>
      <c r="O7" s="3095"/>
      <c r="P7" s="7"/>
      <c r="Q7" s="3096"/>
      <c r="T7" s="1898" t="s">
        <v>4219</v>
      </c>
      <c r="U7" s="1">
        <v>1</v>
      </c>
      <c r="V7" s="1">
        <v>1.03</v>
      </c>
      <c r="W7" s="1357">
        <v>0</v>
      </c>
      <c r="X7" s="1357">
        <v>1</v>
      </c>
      <c r="Y7" s="1">
        <v>1</v>
      </c>
      <c r="Z7" s="1">
        <v>1.03</v>
      </c>
      <c r="AA7" s="1357">
        <v>0</v>
      </c>
      <c r="AB7" s="1357">
        <v>1</v>
      </c>
    </row>
    <row r="8" spans="2:28" ht="7.5" customHeight="1" thickBot="1">
      <c r="B8" s="1253"/>
      <c r="C8" s="7"/>
      <c r="D8" s="7"/>
      <c r="E8" s="7"/>
      <c r="F8" s="7"/>
      <c r="G8" s="7"/>
      <c r="H8" s="7"/>
      <c r="I8" s="7"/>
      <c r="J8" s="3097"/>
      <c r="K8" s="7"/>
      <c r="L8" s="7"/>
      <c r="M8" s="7"/>
      <c r="N8" s="7"/>
      <c r="O8" s="7"/>
      <c r="P8" s="7"/>
      <c r="Q8" s="1337"/>
      <c r="T8" s="1898" t="s">
        <v>2316</v>
      </c>
      <c r="U8" s="1">
        <v>2</v>
      </c>
      <c r="V8" s="1">
        <v>1</v>
      </c>
      <c r="W8">
        <f>(U8-U7)/(V8-V7)</f>
        <v>-33.3333333333333</v>
      </c>
      <c r="X8">
        <f>U8-W8*V8</f>
        <v>35.3333333333333</v>
      </c>
      <c r="Y8" s="1">
        <v>2</v>
      </c>
      <c r="Z8" s="1">
        <v>1</v>
      </c>
      <c r="AA8">
        <f>(Y8-Y7)/(Z8-Z7)</f>
        <v>-33.3333333333333</v>
      </c>
      <c r="AB8">
        <f>Y8-AA8*Z8</f>
        <v>35.3333333333333</v>
      </c>
    </row>
    <row r="9" spans="2:28" ht="14.25" thickBot="1">
      <c r="B9" s="1253"/>
      <c r="C9" s="7"/>
      <c r="D9" s="7"/>
      <c r="E9" s="1884" t="s">
        <v>2567</v>
      </c>
      <c r="F9" s="7"/>
      <c r="G9" s="1279" t="s">
        <v>538</v>
      </c>
      <c r="H9" s="1488" t="s">
        <v>2391</v>
      </c>
      <c r="I9" s="7" t="s">
        <v>2582</v>
      </c>
      <c r="J9" s="7"/>
      <c r="K9" s="7"/>
      <c r="L9" s="7"/>
      <c r="M9" s="7"/>
      <c r="N9" s="7"/>
      <c r="O9" s="7"/>
      <c r="P9" s="7"/>
      <c r="Q9" s="1337"/>
      <c r="T9" s="1898" t="s">
        <v>2391</v>
      </c>
      <c r="U9" s="1">
        <v>3</v>
      </c>
      <c r="V9" s="1">
        <v>0.97</v>
      </c>
      <c r="W9">
        <f>(U9-U8)/(V9-V8)</f>
        <v>-33.3333333333333</v>
      </c>
      <c r="X9">
        <f>U9-W9*V9</f>
        <v>35.3333333333333</v>
      </c>
      <c r="Y9" s="1">
        <v>3</v>
      </c>
      <c r="Z9" s="1">
        <v>0.97</v>
      </c>
      <c r="AA9">
        <f>(Y9-Y8)/(Z9-Z8)</f>
        <v>-33.3333333333333</v>
      </c>
      <c r="AB9">
        <f>Y9-AA9*Z9</f>
        <v>35.3333333333333</v>
      </c>
    </row>
    <row r="10" spans="2:28" ht="24.6" customHeight="1">
      <c r="B10" s="1253"/>
      <c r="C10" s="7"/>
      <c r="D10" s="3093"/>
      <c r="E10" s="3098" t="s">
        <v>2583</v>
      </c>
      <c r="F10" s="3602" t="s">
        <v>4272</v>
      </c>
      <c r="G10" s="3602"/>
      <c r="H10" s="3602"/>
      <c r="I10" s="3602"/>
      <c r="J10" s="3602"/>
      <c r="K10" s="3602"/>
      <c r="L10" s="3602"/>
      <c r="M10" s="3602"/>
      <c r="N10" s="3602"/>
      <c r="O10" s="3602"/>
      <c r="P10" s="3602"/>
      <c r="Q10" s="1337"/>
      <c r="T10" s="1898" t="s">
        <v>4220</v>
      </c>
      <c r="U10" s="1">
        <v>4</v>
      </c>
      <c r="V10" s="1">
        <v>0.9</v>
      </c>
      <c r="W10">
        <f>(U10-U9)/(V10-V9)</f>
        <v>-14.285714285714295</v>
      </c>
      <c r="X10">
        <f>U10-W10*V10</f>
        <v>16.857142857142868</v>
      </c>
      <c r="Y10" s="1">
        <v>4</v>
      </c>
      <c r="Z10" s="1">
        <v>0.93</v>
      </c>
      <c r="AA10">
        <f>(Y10-Y9)/(Z10-Z9)</f>
        <v>-25.000000000000046</v>
      </c>
      <c r="AB10">
        <f>Y10-AA10*Z10</f>
        <v>27.250000000000043</v>
      </c>
    </row>
    <row r="11" spans="2:28" ht="14.25" thickBot="1">
      <c r="B11" s="1253"/>
      <c r="C11" s="7"/>
      <c r="D11" s="7"/>
      <c r="E11" s="1884"/>
      <c r="F11" s="7"/>
      <c r="G11" s="3099" t="s">
        <v>2581</v>
      </c>
      <c r="H11" s="3099" t="s">
        <v>2591</v>
      </c>
      <c r="I11" s="7"/>
      <c r="J11" s="7"/>
      <c r="K11" s="3098"/>
      <c r="L11" s="3098"/>
      <c r="M11" s="3098"/>
      <c r="N11" s="3098"/>
      <c r="O11" s="3098"/>
      <c r="P11" s="3098"/>
      <c r="Q11" s="1337"/>
      <c r="T11" s="1898" t="s">
        <v>4221</v>
      </c>
      <c r="U11" s="1">
        <v>5</v>
      </c>
      <c r="V11" s="1">
        <v>0.8</v>
      </c>
      <c r="W11">
        <f>(U11-U10)/(V11-V10)</f>
        <v>-10.000000000000002</v>
      </c>
      <c r="X11">
        <f>U11-W11*V11</f>
        <v>13.000000000000002</v>
      </c>
      <c r="Y11" s="1">
        <v>5</v>
      </c>
      <c r="Z11" s="1">
        <v>0.85</v>
      </c>
      <c r="AA11">
        <f>(Y11-Y10)/(Z11-Z10)</f>
        <v>-12.499999999999989</v>
      </c>
      <c r="AB11">
        <f>Y11-AA11*Z11</f>
        <v>15.624999999999991</v>
      </c>
    </row>
    <row r="12" spans="2:28" ht="14.25" thickBot="1">
      <c r="B12" s="1253"/>
      <c r="C12" s="7"/>
      <c r="D12" s="7"/>
      <c r="E12" s="1884"/>
      <c r="F12" s="1256" t="s">
        <v>91</v>
      </c>
      <c r="G12" s="1693">
        <v>500</v>
      </c>
      <c r="H12" s="3100">
        <f>IF(G12+G13=0,0,G12/(G12+G13))</f>
        <v>0.33333333333333331</v>
      </c>
      <c r="I12" s="7"/>
      <c r="J12" s="3101">
        <f>IF(H6="",1,IF(J6=Z6,M7,M6))</f>
        <v>5</v>
      </c>
      <c r="K12" s="3098"/>
      <c r="L12" s="3098"/>
      <c r="M12" s="3098"/>
      <c r="N12" s="3098"/>
      <c r="O12" s="3098"/>
      <c r="P12" s="3098"/>
      <c r="Q12" s="1337"/>
      <c r="T12" t="s">
        <v>2392</v>
      </c>
    </row>
    <row r="13" spans="2:28" ht="14.25" thickBot="1">
      <c r="B13" s="1253"/>
      <c r="C13" s="7"/>
      <c r="D13" s="7"/>
      <c r="E13" s="1884"/>
      <c r="F13" s="1256" t="s">
        <v>2567</v>
      </c>
      <c r="G13" s="1259">
        <f>IF(H9=T6,0,メイン!C67)</f>
        <v>1000</v>
      </c>
      <c r="H13" s="3100">
        <f>IF(G12+G13=0,0,G13/(G12+G13))</f>
        <v>0.66666666666666663</v>
      </c>
      <c r="I13" s="7"/>
      <c r="J13" s="3101">
        <f>IF(H9="",$T12,IF(H9=T11,U11,IF(H9=T10,U10,IF(H9=T9,U9,IF(H9=T8,U8,U7)))))</f>
        <v>3</v>
      </c>
      <c r="K13" s="3098"/>
      <c r="L13" s="3098"/>
      <c r="M13" s="3098"/>
      <c r="N13" s="3098"/>
      <c r="O13" s="3098"/>
      <c r="P13" s="3098"/>
      <c r="Q13" s="1337"/>
      <c r="T13" t="s">
        <v>2593</v>
      </c>
    </row>
    <row r="14" spans="2:28" ht="9" customHeight="1" thickBot="1">
      <c r="B14" s="1253"/>
      <c r="C14" s="7"/>
      <c r="D14" s="7"/>
      <c r="E14" s="1884"/>
      <c r="F14" s="7"/>
      <c r="G14" s="7"/>
      <c r="H14" s="7"/>
      <c r="I14" s="7"/>
      <c r="J14" s="7"/>
      <c r="K14" s="7"/>
      <c r="L14" s="3102"/>
      <c r="M14" s="7"/>
      <c r="N14" s="7"/>
      <c r="O14" s="7"/>
      <c r="P14" s="7"/>
      <c r="Q14" s="1337"/>
    </row>
    <row r="15" spans="2:28" ht="14.25" thickBot="1">
      <c r="B15" s="1253"/>
      <c r="C15" s="7"/>
      <c r="D15" s="1884" t="s">
        <v>892</v>
      </c>
      <c r="E15" s="1884"/>
      <c r="F15" s="7"/>
      <c r="G15" s="1256"/>
      <c r="H15" s="3101">
        <f>SUMPRODUCT(H12:H13,J12:J13)</f>
        <v>3.6666666666666665</v>
      </c>
      <c r="I15" s="7"/>
      <c r="J15" s="7"/>
      <c r="K15" s="1451"/>
      <c r="L15" s="3102"/>
      <c r="M15" s="7"/>
      <c r="N15" s="7"/>
      <c r="O15" s="7"/>
      <c r="P15" s="7"/>
      <c r="Q15" s="1337"/>
    </row>
    <row r="16" spans="2:28">
      <c r="B16" s="1253"/>
      <c r="C16" s="7"/>
      <c r="D16" s="1451"/>
      <c r="E16" s="1451"/>
      <c r="F16" s="1451"/>
      <c r="G16" s="1451"/>
      <c r="H16" s="1451"/>
      <c r="I16" s="1451"/>
      <c r="J16" s="1451"/>
      <c r="K16" s="1451"/>
      <c r="L16" s="3102"/>
      <c r="M16" s="7"/>
      <c r="N16" s="7"/>
      <c r="O16" s="7"/>
      <c r="P16" s="7"/>
      <c r="Q16" s="1337"/>
    </row>
    <row r="17" spans="2:28">
      <c r="B17" s="1253"/>
      <c r="C17" s="3091" t="s">
        <v>2565</v>
      </c>
      <c r="D17" s="1884" t="s">
        <v>4222</v>
      </c>
      <c r="E17" s="7"/>
      <c r="F17" s="7"/>
      <c r="G17" s="7"/>
      <c r="H17" s="7"/>
      <c r="I17" s="7"/>
      <c r="J17" s="7"/>
      <c r="K17" s="7"/>
      <c r="L17" s="3102"/>
      <c r="M17" s="7"/>
      <c r="N17" s="7"/>
      <c r="O17" s="7"/>
      <c r="P17" s="7"/>
      <c r="Q17" s="1337"/>
      <c r="T17" t="s">
        <v>4223</v>
      </c>
      <c r="U17" s="1489">
        <f>IF($G$20&lt;=V24,U24,IF($G$20&lt;=V23,U23,IF($G$20&lt;=V22,U22,IF($G$20&lt;=V21,U21,U20))))</f>
        <v>1</v>
      </c>
      <c r="W17">
        <f>VLOOKUP($U$17,U20:X24,3)</f>
        <v>-10.000000000000002</v>
      </c>
      <c r="X17">
        <f>VLOOKUP($U$17,U20:X24,4)</f>
        <v>10.000000000000002</v>
      </c>
      <c r="Y17" t="s">
        <v>1779</v>
      </c>
    </row>
    <row r="18" spans="2:28">
      <c r="B18" s="1253"/>
      <c r="C18" s="3091"/>
      <c r="D18" s="7" t="s">
        <v>4224</v>
      </c>
      <c r="E18" s="1257"/>
      <c r="F18" s="1257"/>
      <c r="G18" s="1257"/>
      <c r="H18" s="7"/>
      <c r="I18" s="7"/>
      <c r="J18" s="7"/>
      <c r="K18" s="7"/>
      <c r="L18" s="3102"/>
      <c r="M18" s="7"/>
      <c r="N18" s="7"/>
      <c r="O18" s="7"/>
      <c r="P18" s="7"/>
      <c r="Q18" s="1337"/>
      <c r="T18" t="s">
        <v>4225</v>
      </c>
      <c r="U18" s="1489">
        <f>IF($G$21&lt;=V24,U24,IF($G$21&lt;=V23,U23,IF($G$21&lt;=V22,U22,IF($G$21&lt;=V21,U21,U20))))</f>
        <v>2</v>
      </c>
      <c r="W18">
        <f>VLOOKUP($U$18,U20:X24,3)</f>
        <v>-4.9999999999999982</v>
      </c>
      <c r="X18">
        <f>VLOOKUP($U$18,U20:X24,4)</f>
        <v>5.9999999999999982</v>
      </c>
      <c r="Y18" s="1489">
        <f>IF($H$20&lt;=Z24,Y24,IF($H$20&lt;=Z23,Y23,IF($H$20&lt;=Z22,Y22,IF($H$20&lt;=Z21,Y21,Y20))))</f>
        <v>5</v>
      </c>
      <c r="AA18">
        <f>VLOOKUP($Y$18,Y20:AB24,3)</f>
        <v>0</v>
      </c>
      <c r="AB18">
        <f>VLOOKUP($Y$18,Y20:AB24,4)</f>
        <v>0</v>
      </c>
    </row>
    <row r="19" spans="2:28" ht="14.25" thickBot="1">
      <c r="B19" s="1253"/>
      <c r="C19" s="3091"/>
      <c r="D19" s="1257"/>
      <c r="E19" s="1257"/>
      <c r="F19" s="1257"/>
      <c r="G19" s="7" t="s">
        <v>4187</v>
      </c>
      <c r="H19" s="1257" t="s">
        <v>1722</v>
      </c>
      <c r="I19" s="7"/>
      <c r="J19" s="7"/>
      <c r="K19" s="7"/>
      <c r="L19" s="3102"/>
      <c r="M19" s="7" t="s">
        <v>4187</v>
      </c>
      <c r="N19" s="1257" t="s">
        <v>1722</v>
      </c>
      <c r="O19" s="7"/>
      <c r="P19" s="7"/>
      <c r="Q19" s="3103"/>
      <c r="U19" s="1" t="s">
        <v>941</v>
      </c>
      <c r="V19" s="1" t="s">
        <v>1939</v>
      </c>
      <c r="W19" t="s">
        <v>2314</v>
      </c>
      <c r="X19" t="s">
        <v>2315</v>
      </c>
      <c r="Y19" s="1" t="s">
        <v>941</v>
      </c>
      <c r="Z19" s="1" t="s">
        <v>1939</v>
      </c>
      <c r="AA19" t="s">
        <v>2314</v>
      </c>
      <c r="AB19" t="s">
        <v>2315</v>
      </c>
    </row>
    <row r="20" spans="2:28" ht="14.25" thickBot="1">
      <c r="B20" s="1253"/>
      <c r="C20" s="7"/>
      <c r="D20" s="1884"/>
      <c r="E20" s="1884"/>
      <c r="F20" s="3092" t="s">
        <v>4226</v>
      </c>
      <c r="G20" s="1500">
        <v>0.85</v>
      </c>
      <c r="H20" s="1500"/>
      <c r="I20" s="7"/>
      <c r="J20" s="1451" t="s">
        <v>4227</v>
      </c>
      <c r="K20" s="7"/>
      <c r="L20" s="3102"/>
      <c r="M20" s="3094">
        <f>IF(OR($G$47=0,G20=""),0,IF($G20&lt;=$V$24,$U$24,IF(G20&gt;=$V$20,$U$20,G20*$W$17+$X$17)))</f>
        <v>1.5</v>
      </c>
      <c r="N20" s="3094">
        <f>IF(OR($G$48=0,H20=""),0,IF(H20&lt;=$Z$25,$Y$24,IF(H20&gt;=$Z$20,$Y$20,H20*$AA$25+$AB$25)))</f>
        <v>0</v>
      </c>
      <c r="O20" s="7"/>
      <c r="P20" s="7"/>
      <c r="Q20" s="1337"/>
      <c r="U20" s="1">
        <v>1</v>
      </c>
      <c r="V20" s="1431">
        <f>J47</f>
        <v>0.9</v>
      </c>
      <c r="W20">
        <f>(U21-U20)/(V21-V20)</f>
        <v>-10.000000000000002</v>
      </c>
      <c r="X20">
        <f>U21-W20*V21</f>
        <v>10.000000000000002</v>
      </c>
      <c r="Y20" s="1">
        <v>1</v>
      </c>
      <c r="Z20" s="1431">
        <v>1.1000000000000001</v>
      </c>
      <c r="AA20">
        <f>(Y21-Y20)/(Z21-Z20)</f>
        <v>-9.9999999999999911</v>
      </c>
      <c r="AB20">
        <f>Y21-AA20*Z21</f>
        <v>11.999999999999991</v>
      </c>
    </row>
    <row r="21" spans="2:28" ht="14.25" thickBot="1">
      <c r="B21" s="1253"/>
      <c r="C21" s="7"/>
      <c r="D21" s="1884"/>
      <c r="E21" s="1884"/>
      <c r="F21" s="3092" t="s">
        <v>2754</v>
      </c>
      <c r="G21" s="3206">
        <v>0.8</v>
      </c>
      <c r="H21" s="1500"/>
      <c r="I21" s="7"/>
      <c r="J21" s="1451" t="s">
        <v>4228</v>
      </c>
      <c r="K21" s="7"/>
      <c r="L21" s="3102"/>
      <c r="M21" s="3094">
        <f>IF(OR($G$47=0,G21=""),0,IF($G21&lt;=$V$24,$U$24,IF(G21&gt;=$V$20,$U$20,G21*$W$18+$X$18)))</f>
        <v>1.9999999999999996</v>
      </c>
      <c r="N21" s="3094">
        <f>IF(OR($G$48=0,H21=""),0,IF(H21&lt;=$Z$24,$Y$24,IF(H21&gt;=$Z$20,$Y$20,H21*$AA$18+$AB$18)))</f>
        <v>0</v>
      </c>
      <c r="O21" s="7"/>
      <c r="P21" s="7"/>
      <c r="Q21" s="1337"/>
      <c r="U21" s="1">
        <v>2</v>
      </c>
      <c r="V21" s="1431">
        <f>K47</f>
        <v>0.8</v>
      </c>
      <c r="W21">
        <f>(U22-U21)/(V22-V21)</f>
        <v>-4.9999999999999982</v>
      </c>
      <c r="X21">
        <f>U22-W21*V22</f>
        <v>5.9999999999999982</v>
      </c>
      <c r="Y21" s="1">
        <v>2</v>
      </c>
      <c r="Z21" s="1431">
        <v>1</v>
      </c>
      <c r="AA21">
        <f>(Y22-Y21)/(Z22-Z21)</f>
        <v>-10.000000000000002</v>
      </c>
      <c r="AB21">
        <f>Y22-AA21*Z22</f>
        <v>12.000000000000002</v>
      </c>
    </row>
    <row r="22" spans="2:28" ht="14.25" thickBot="1">
      <c r="B22" s="1253"/>
      <c r="C22" s="7"/>
      <c r="D22" s="1884"/>
      <c r="E22" s="1884"/>
      <c r="F22" s="3092" t="s">
        <v>4229</v>
      </c>
      <c r="G22" s="1500"/>
      <c r="H22" s="3102"/>
      <c r="I22" s="7"/>
      <c r="J22" s="1451" t="s">
        <v>4230</v>
      </c>
      <c r="K22" s="7"/>
      <c r="L22" s="3102"/>
      <c r="M22" s="3094">
        <f>IF(OR($G$47=0,G22=""),0,IF(G20&gt;0.5,0,IF(G20=G21,0,IF($G22&lt;=$V$24,$U$24,IF(G22&gt;=$V$20,$U$20,G22*$W$23+$X$23)))))</f>
        <v>0</v>
      </c>
      <c r="N22" s="3094" t="s">
        <v>2158</v>
      </c>
      <c r="O22" s="7"/>
      <c r="P22" s="7"/>
      <c r="Q22" s="1337"/>
      <c r="U22" s="1">
        <v>3</v>
      </c>
      <c r="V22" s="1431">
        <f>L47</f>
        <v>0.6</v>
      </c>
      <c r="W22">
        <f>(U23-U22)/(V23-V22)</f>
        <v>-10.000000000000002</v>
      </c>
      <c r="X22">
        <f>U23-W22*V23</f>
        <v>9</v>
      </c>
      <c r="Y22" s="1">
        <v>3</v>
      </c>
      <c r="Z22" s="1431">
        <v>0.9</v>
      </c>
      <c r="AA22">
        <f>(Y23-Y22)/(Z23-Z22)</f>
        <v>-10.000000000000002</v>
      </c>
      <c r="AB22">
        <f>Y23-AA22*Z23</f>
        <v>12.000000000000002</v>
      </c>
    </row>
    <row r="23" spans="2:28">
      <c r="B23" s="1253"/>
      <c r="C23" s="7"/>
      <c r="D23" s="1884"/>
      <c r="E23" s="7"/>
      <c r="F23" s="7"/>
      <c r="G23" s="3104" t="str">
        <f>IF(OR(G20&lt;G21,G21&lt;G22,G20&lt;G22),S36,"")</f>
        <v/>
      </c>
      <c r="H23" s="3105" t="str">
        <f>IF(H20&lt;H21,S36,"")</f>
        <v/>
      </c>
      <c r="I23" s="7"/>
      <c r="J23" s="7"/>
      <c r="K23" s="7"/>
      <c r="L23" s="7"/>
      <c r="M23" s="7"/>
      <c r="N23" s="7"/>
      <c r="O23" s="7"/>
      <c r="P23" s="7"/>
      <c r="Q23" s="1337"/>
      <c r="U23" s="1">
        <v>4</v>
      </c>
      <c r="V23" s="1431">
        <f>M47</f>
        <v>0.5</v>
      </c>
      <c r="W23">
        <f>(U24-U23)/(V24-V23)</f>
        <v>-4</v>
      </c>
      <c r="X23">
        <f>U24-W23*V24</f>
        <v>6</v>
      </c>
      <c r="Y23" s="1">
        <v>4</v>
      </c>
      <c r="Z23" s="1431">
        <v>0.8</v>
      </c>
      <c r="AA23">
        <f>(Y24-Y23)/(Z24-Z23)</f>
        <v>-3.333333333333333</v>
      </c>
      <c r="AB23">
        <f>Y24-AA23*Z24</f>
        <v>6.6666666666666661</v>
      </c>
    </row>
    <row r="24" spans="2:28" ht="14.25" thickBot="1">
      <c r="B24" s="1253"/>
      <c r="C24" s="7"/>
      <c r="D24" s="1884"/>
      <c r="E24" s="1811" t="s">
        <v>4231</v>
      </c>
      <c r="F24" s="7"/>
      <c r="G24" s="7"/>
      <c r="H24" s="7"/>
      <c r="I24" s="7"/>
      <c r="J24" s="7"/>
      <c r="K24" s="7"/>
      <c r="L24" s="7"/>
      <c r="M24" s="7"/>
      <c r="N24" s="7"/>
      <c r="O24" s="7"/>
      <c r="P24" s="7"/>
      <c r="Q24" s="1337"/>
      <c r="S24" t="s">
        <v>4232</v>
      </c>
      <c r="U24" s="1">
        <v>5</v>
      </c>
      <c r="V24" s="1431">
        <f>N47</f>
        <v>0.25</v>
      </c>
      <c r="Y24" s="1">
        <v>5</v>
      </c>
      <c r="Z24" s="1431">
        <v>0.5</v>
      </c>
    </row>
    <row r="25" spans="2:28" ht="14.25" thickBot="1">
      <c r="B25" s="1253"/>
      <c r="C25" s="7"/>
      <c r="D25" s="1884"/>
      <c r="E25" s="7"/>
      <c r="F25" s="7"/>
      <c r="G25" s="3106" t="s">
        <v>4233</v>
      </c>
      <c r="H25" s="3107"/>
      <c r="I25" s="7"/>
      <c r="J25" s="1451" t="s">
        <v>4234</v>
      </c>
      <c r="K25" s="7"/>
      <c r="L25" s="7"/>
      <c r="M25" s="7"/>
      <c r="N25" s="7"/>
      <c r="O25" s="7"/>
      <c r="P25" s="7"/>
      <c r="Q25" s="1337"/>
      <c r="V25" s="3108"/>
      <c r="Y25" s="1"/>
      <c r="Z25" s="1431">
        <v>0.7</v>
      </c>
      <c r="AA25">
        <v>-9.9999999999999893</v>
      </c>
      <c r="AB25">
        <v>11.999999999999993</v>
      </c>
    </row>
    <row r="26" spans="2:28">
      <c r="B26" s="1253"/>
      <c r="C26" s="7"/>
      <c r="D26" s="1884"/>
      <c r="E26" s="3109"/>
      <c r="F26" s="3109"/>
      <c r="G26" s="3106" t="s">
        <v>4235</v>
      </c>
      <c r="H26" s="3110"/>
      <c r="I26" s="3111"/>
      <c r="J26" s="3111"/>
      <c r="K26" s="3112"/>
      <c r="L26" s="1451" t="s">
        <v>4236</v>
      </c>
      <c r="M26" s="7"/>
      <c r="N26" s="7"/>
      <c r="O26" s="7"/>
      <c r="P26" s="7"/>
      <c r="Q26" s="1337"/>
      <c r="V26" s="3108"/>
      <c r="Z26" s="3108"/>
    </row>
    <row r="27" spans="2:28" ht="46.9" customHeight="1">
      <c r="B27" s="1253"/>
      <c r="C27" s="7"/>
      <c r="D27" s="1884"/>
      <c r="E27" s="3109"/>
      <c r="F27" s="3109"/>
      <c r="G27" s="3603" t="s">
        <v>4237</v>
      </c>
      <c r="H27" s="3603"/>
      <c r="I27" s="3603"/>
      <c r="J27" s="3603"/>
      <c r="K27" s="3603"/>
      <c r="L27" s="3603"/>
      <c r="M27" s="3603"/>
      <c r="N27" s="3603"/>
      <c r="O27" s="3603"/>
      <c r="P27" s="3603"/>
      <c r="Q27" s="1337"/>
      <c r="V27" s="3108"/>
      <c r="Z27" s="3108"/>
    </row>
    <row r="28" spans="2:28" ht="14.25" thickBot="1">
      <c r="B28" s="1253"/>
      <c r="C28" s="7"/>
      <c r="D28" s="1884"/>
      <c r="E28" s="1811" t="s">
        <v>4238</v>
      </c>
      <c r="F28" s="3092"/>
      <c r="G28" s="1884"/>
      <c r="H28" s="1884"/>
      <c r="I28" s="1884"/>
      <c r="J28" s="1884"/>
      <c r="K28" s="1884"/>
      <c r="L28" s="1884"/>
      <c r="M28" s="1884"/>
      <c r="N28" s="7"/>
      <c r="O28" s="7"/>
      <c r="P28" s="7"/>
      <c r="Q28" s="1337"/>
      <c r="V28" s="3108"/>
      <c r="Z28" s="3108"/>
    </row>
    <row r="29" spans="2:28" ht="14.25" thickBot="1">
      <c r="B29" s="1253"/>
      <c r="C29" s="7"/>
      <c r="D29" s="1884"/>
      <c r="E29" s="3109"/>
      <c r="F29" s="3109"/>
      <c r="G29" s="3106" t="s">
        <v>4239</v>
      </c>
      <c r="H29" s="3107"/>
      <c r="I29" s="1884"/>
      <c r="J29" s="1451" t="s">
        <v>4240</v>
      </c>
      <c r="K29" s="3109"/>
      <c r="L29" s="1884"/>
      <c r="M29" s="7"/>
      <c r="N29" s="7"/>
      <c r="O29" s="7"/>
      <c r="P29" s="7"/>
      <c r="Q29" s="1337"/>
      <c r="V29" s="3108"/>
      <c r="Z29" s="3108"/>
    </row>
    <row r="30" spans="2:28" ht="14.25" thickBot="1">
      <c r="B30" s="1253"/>
      <c r="C30" s="7"/>
      <c r="D30" s="1884"/>
      <c r="E30" s="3109"/>
      <c r="F30" s="3109"/>
      <c r="G30" s="3106" t="s">
        <v>4241</v>
      </c>
      <c r="H30" s="3113"/>
      <c r="I30" s="3114"/>
      <c r="J30" s="3114"/>
      <c r="K30" s="3115"/>
      <c r="L30" s="1884"/>
      <c r="M30" s="7"/>
      <c r="N30" s="7"/>
      <c r="O30" s="7"/>
      <c r="P30" s="7"/>
      <c r="Q30" s="1337"/>
      <c r="S30" s="1357" t="s">
        <v>2447</v>
      </c>
      <c r="V30" s="3108"/>
      <c r="Z30" s="3108"/>
    </row>
    <row r="31" spans="2:28" ht="14.25" thickBot="1">
      <c r="B31" s="1253"/>
      <c r="C31" s="7"/>
      <c r="D31" s="1884"/>
      <c r="E31" s="3109"/>
      <c r="F31" s="1884"/>
      <c r="G31" s="3106" t="s">
        <v>4242</v>
      </c>
      <c r="H31" s="3604">
        <v>2</v>
      </c>
      <c r="I31" s="3605"/>
      <c r="J31" s="3605"/>
      <c r="K31" s="3606"/>
      <c r="L31" s="1451"/>
      <c r="M31" s="7"/>
      <c r="N31" s="7"/>
      <c r="O31" s="7"/>
      <c r="P31" s="7"/>
      <c r="Q31" s="1337"/>
      <c r="S31">
        <v>1</v>
      </c>
      <c r="V31" s="3108"/>
    </row>
    <row r="32" spans="2:28">
      <c r="B32" s="1253"/>
      <c r="C32" s="7"/>
      <c r="D32" s="1884"/>
      <c r="E32" s="3109"/>
      <c r="F32" s="1884"/>
      <c r="G32" s="3106" t="s">
        <v>4243</v>
      </c>
      <c r="H32" s="3205">
        <v>400</v>
      </c>
      <c r="I32" s="1884"/>
      <c r="J32" s="7" t="s">
        <v>558</v>
      </c>
      <c r="K32" s="1451"/>
      <c r="L32" s="3207" t="str">
        <f>IF(H31=S31,"",IF(H32&gt;0,"",計画書!S34))</f>
        <v/>
      </c>
      <c r="M32" s="7"/>
      <c r="N32" s="7"/>
      <c r="O32" s="1884"/>
      <c r="P32" s="1884"/>
      <c r="Q32" s="1337"/>
      <c r="S32">
        <v>2</v>
      </c>
    </row>
    <row r="33" spans="2:26">
      <c r="B33" s="1253"/>
      <c r="C33" s="7"/>
      <c r="D33" s="1884"/>
      <c r="E33" s="3109"/>
      <c r="F33" s="7"/>
      <c r="G33" s="3106" t="s">
        <v>4244</v>
      </c>
      <c r="H33" s="1693">
        <v>400</v>
      </c>
      <c r="I33" s="1884"/>
      <c r="J33" s="7" t="s">
        <v>558</v>
      </c>
      <c r="K33" s="3116">
        <f>IF(H23=S36,0,IF(H20&lt;=0.8,IF(H29=S24,N21,N20),N20))</f>
        <v>0</v>
      </c>
      <c r="L33" s="1451"/>
      <c r="M33" s="7"/>
      <c r="N33" s="7"/>
      <c r="O33" s="1884"/>
      <c r="P33" s="1884"/>
      <c r="Q33" s="1337"/>
      <c r="S33">
        <v>4</v>
      </c>
    </row>
    <row r="34" spans="2:26" ht="53.25" customHeight="1">
      <c r="B34" s="1253"/>
      <c r="C34" s="7"/>
      <c r="D34" s="1884"/>
      <c r="E34" s="3109"/>
      <c r="F34" s="1884"/>
      <c r="G34" s="3602" t="s">
        <v>4282</v>
      </c>
      <c r="H34" s="3602"/>
      <c r="I34" s="3602"/>
      <c r="J34" s="3602"/>
      <c r="K34" s="3602"/>
      <c r="L34" s="3602"/>
      <c r="M34" s="3602"/>
      <c r="N34" s="3602"/>
      <c r="O34" s="3602"/>
      <c r="P34" s="3602"/>
      <c r="Q34" s="1337"/>
      <c r="S34" t="s">
        <v>4245</v>
      </c>
      <c r="V34" s="3108"/>
      <c r="Z34" s="3108"/>
    </row>
    <row r="35" spans="2:26" ht="14.45" customHeight="1" thickBot="1">
      <c r="B35" s="1253"/>
      <c r="C35" s="7"/>
      <c r="D35" s="1884"/>
      <c r="E35" s="3109"/>
      <c r="F35" s="3109"/>
      <c r="G35" s="3109"/>
      <c r="H35" s="3109"/>
      <c r="I35" s="3109"/>
      <c r="J35" s="7" t="s">
        <v>4187</v>
      </c>
      <c r="K35" s="1257" t="s">
        <v>1722</v>
      </c>
      <c r="L35" s="3109"/>
      <c r="M35" s="3109"/>
      <c r="N35" s="7"/>
      <c r="O35" s="7"/>
      <c r="P35" s="7"/>
      <c r="Q35" s="1337"/>
    </row>
    <row r="36" spans="2:26" ht="14.25" thickBot="1">
      <c r="B36" s="1253"/>
      <c r="C36" s="7"/>
      <c r="D36" s="1884" t="s">
        <v>540</v>
      </c>
      <c r="E36" s="1884"/>
      <c r="F36" s="1884"/>
      <c r="G36" s="1884"/>
      <c r="H36" s="1884"/>
      <c r="I36" s="7"/>
      <c r="J36" s="3117">
        <f>ROUNDDOWN(IF(G23=S36,0,IF(H25=S24,M22,IF(G20&lt;=0.5,M21,IF(M21&gt;=4,M20,IF(G20&lt;=V22,M20,IF(M21&gt;=3,2.9,M21)))))),1)</f>
        <v>2</v>
      </c>
      <c r="K36" s="3118">
        <f>ROUNDDOWN(IF(H31=S30,K33,IF(H33=0,H31,(H31*H32+K33*H33)/(H32+H33))),1)</f>
        <v>1</v>
      </c>
      <c r="L36" s="3109"/>
      <c r="M36" s="7"/>
      <c r="N36" s="7"/>
      <c r="O36" s="7"/>
      <c r="P36" s="7"/>
      <c r="Q36" s="1337"/>
      <c r="S36" t="s">
        <v>4246</v>
      </c>
    </row>
    <row r="37" spans="2:26">
      <c r="B37" s="1253"/>
      <c r="C37" s="7"/>
      <c r="D37" s="1884"/>
      <c r="E37" s="1884"/>
      <c r="F37" s="1884"/>
      <c r="G37" s="1884"/>
      <c r="H37" s="1884"/>
      <c r="I37" s="1884"/>
      <c r="J37" s="1451"/>
      <c r="K37" s="1884"/>
      <c r="L37" s="1884"/>
      <c r="M37" s="1884"/>
      <c r="N37" s="7"/>
      <c r="O37" s="7"/>
      <c r="P37" s="7"/>
      <c r="Q37" s="1337"/>
    </row>
    <row r="38" spans="2:26" hidden="1">
      <c r="B38" s="1253"/>
      <c r="C38" s="7"/>
      <c r="D38" s="1884"/>
      <c r="E38" s="3119" t="s">
        <v>2705</v>
      </c>
      <c r="F38" s="1884"/>
      <c r="G38" s="1884"/>
      <c r="H38" s="1884"/>
      <c r="I38" s="1884"/>
      <c r="J38" s="1884"/>
      <c r="K38" s="1884"/>
      <c r="L38" s="1884"/>
      <c r="M38" s="7"/>
      <c r="N38" s="7"/>
      <c r="O38" s="7"/>
      <c r="P38" s="7"/>
      <c r="Q38" s="1337"/>
    </row>
    <row r="39" spans="2:26" hidden="1">
      <c r="B39" s="1253"/>
      <c r="C39" s="7"/>
      <c r="D39" s="1884"/>
      <c r="E39" s="3109" t="s">
        <v>2708</v>
      </c>
      <c r="F39" s="1884"/>
      <c r="G39" s="1884"/>
      <c r="H39" s="1884"/>
      <c r="I39" s="1884"/>
      <c r="J39" s="1884"/>
      <c r="K39" s="1884"/>
      <c r="L39" s="1884"/>
      <c r="M39" s="7"/>
      <c r="N39" s="7"/>
      <c r="O39" s="7"/>
      <c r="P39" s="7"/>
      <c r="Q39" s="1337"/>
    </row>
    <row r="40" spans="2:26" hidden="1">
      <c r="B40" s="1253"/>
      <c r="C40" s="7"/>
      <c r="D40" s="1884"/>
      <c r="E40" s="3109"/>
      <c r="F40" s="1884"/>
      <c r="G40" s="1884"/>
      <c r="H40" s="1884"/>
      <c r="I40" s="1884"/>
      <c r="J40" s="1884"/>
      <c r="K40" s="1884"/>
      <c r="L40" s="1884"/>
      <c r="M40" s="7"/>
      <c r="N40" s="7"/>
      <c r="O40" s="7"/>
      <c r="P40" s="7"/>
      <c r="Q40" s="1337"/>
    </row>
    <row r="41" spans="2:26">
      <c r="B41" s="1253"/>
      <c r="C41" s="7"/>
      <c r="D41" s="7" t="s">
        <v>4247</v>
      </c>
      <c r="E41" s="3109"/>
      <c r="F41" s="1884"/>
      <c r="G41" s="1884"/>
      <c r="H41" s="1884"/>
      <c r="I41" s="1884"/>
      <c r="J41" s="1884"/>
      <c r="K41" s="1884"/>
      <c r="L41" s="1884"/>
      <c r="M41" s="7"/>
      <c r="N41" s="7"/>
      <c r="O41" s="7"/>
      <c r="P41" s="7"/>
      <c r="Q41" s="1337"/>
    </row>
    <row r="42" spans="2:26">
      <c r="B42" s="1253"/>
      <c r="C42" s="7"/>
      <c r="D42" s="7"/>
      <c r="E42" s="1257"/>
      <c r="F42" s="1256"/>
      <c r="G42" s="3099" t="s">
        <v>2581</v>
      </c>
      <c r="H42" s="3099" t="s">
        <v>2591</v>
      </c>
      <c r="I42" s="7"/>
      <c r="J42" s="471" t="s">
        <v>2580</v>
      </c>
      <c r="K42" s="3120" t="s">
        <v>2579</v>
      </c>
      <c r="L42" s="471" t="s">
        <v>1337</v>
      </c>
      <c r="M42" s="471" t="s">
        <v>2798</v>
      </c>
      <c r="N42" s="3121" t="s">
        <v>4248</v>
      </c>
      <c r="O42" s="1884"/>
      <c r="P42" s="7"/>
      <c r="Q42" s="1337"/>
    </row>
    <row r="43" spans="2:26">
      <c r="B43" s="1253"/>
      <c r="C43" s="7"/>
      <c r="D43" s="1884"/>
      <c r="E43" s="1256" t="s">
        <v>4249</v>
      </c>
      <c r="F43" s="1256" t="s">
        <v>4194</v>
      </c>
      <c r="G43" s="1693">
        <f>メイン!C47+メイン!C50</f>
        <v>500</v>
      </c>
      <c r="H43" s="1496">
        <f>IF($G$47=0,0,G43/$G$47)</f>
        <v>1</v>
      </c>
      <c r="I43" s="7"/>
      <c r="J43" s="3122">
        <f>IF($H$94&lt;300,1.1,0.9)</f>
        <v>0.9</v>
      </c>
      <c r="K43" s="3123">
        <f>IF($H$94&lt;300,1,0.8)</f>
        <v>0.8</v>
      </c>
      <c r="L43" s="3122">
        <v>0.6</v>
      </c>
      <c r="M43" s="3122">
        <v>0.5</v>
      </c>
      <c r="N43" s="3122">
        <v>0.25</v>
      </c>
      <c r="O43" s="1884"/>
      <c r="P43" s="7"/>
      <c r="Q43" s="1337"/>
    </row>
    <row r="44" spans="2:26">
      <c r="B44" s="1253"/>
      <c r="C44" s="7"/>
      <c r="D44" s="1884"/>
      <c r="E44" s="1256" t="s">
        <v>4250</v>
      </c>
      <c r="F44" s="1256" t="s">
        <v>4195</v>
      </c>
      <c r="G44" s="1693">
        <f>メイン!C55+メイン!C65</f>
        <v>0</v>
      </c>
      <c r="H44" s="1496">
        <f t="shared" ref="H44:H46" si="0">IF($G$47=0,0,G44/$G$47)</f>
        <v>0</v>
      </c>
      <c r="I44" s="7"/>
      <c r="J44" s="3122">
        <f>IF($H$94&lt;300,1.1,0.9)</f>
        <v>0.9</v>
      </c>
      <c r="K44" s="3123">
        <f>IF($H$94&lt;300,1,0.8)</f>
        <v>0.8</v>
      </c>
      <c r="L44" s="3122">
        <v>0.7</v>
      </c>
      <c r="M44" s="3122">
        <v>0.5</v>
      </c>
      <c r="N44" s="3122">
        <v>0.25</v>
      </c>
      <c r="O44" s="1884"/>
      <c r="P44" s="7"/>
      <c r="Q44" s="1337"/>
    </row>
    <row r="45" spans="2:26">
      <c r="B45" s="1253"/>
      <c r="C45" s="7"/>
      <c r="D45" s="1884"/>
      <c r="E45" s="1256" t="s">
        <v>4251</v>
      </c>
      <c r="F45" s="1256" t="s">
        <v>4196</v>
      </c>
      <c r="G45" s="1693">
        <f>メイン!C59+メイン!C60+メイン!C64</f>
        <v>0</v>
      </c>
      <c r="H45" s="1496">
        <f t="shared" si="0"/>
        <v>0</v>
      </c>
      <c r="I45" s="7"/>
      <c r="J45" s="3122">
        <f>IF($H$94&lt;300,1.1,0.9)</f>
        <v>0.9</v>
      </c>
      <c r="K45" s="3123">
        <f>IF($H$94&lt;300,1,0.85)</f>
        <v>0.85</v>
      </c>
      <c r="L45" s="3122">
        <v>0.7</v>
      </c>
      <c r="M45" s="3122">
        <v>0.5</v>
      </c>
      <c r="N45" s="3122">
        <v>0.25</v>
      </c>
      <c r="O45" s="1884"/>
      <c r="P45" s="7"/>
      <c r="Q45" s="1337"/>
    </row>
    <row r="46" spans="2:26" ht="14.25" thickBot="1">
      <c r="B46" s="1253"/>
      <c r="C46" s="7"/>
      <c r="D46" s="1884"/>
      <c r="E46" s="1256" t="s">
        <v>4252</v>
      </c>
      <c r="F46" s="1256" t="s">
        <v>3719</v>
      </c>
      <c r="G46" s="3124">
        <f>メイン!E63</f>
        <v>0</v>
      </c>
      <c r="H46" s="3125">
        <f t="shared" si="0"/>
        <v>0</v>
      </c>
      <c r="I46" s="7"/>
      <c r="J46" s="3126">
        <f>IF($H$94&lt;300,1.1,0.9)</f>
        <v>0.9</v>
      </c>
      <c r="K46" s="3127">
        <f>IF($H$94&lt;300,1,0.75)</f>
        <v>0.75</v>
      </c>
      <c r="L46" s="3126">
        <v>0.6</v>
      </c>
      <c r="M46" s="3126">
        <v>0.5</v>
      </c>
      <c r="N46" s="3126">
        <v>0.25</v>
      </c>
      <c r="O46" s="1884"/>
      <c r="P46" s="7"/>
      <c r="Q46" s="1337"/>
    </row>
    <row r="47" spans="2:26" ht="14.25" thickTop="1">
      <c r="B47" s="1253"/>
      <c r="C47" s="7"/>
      <c r="D47" s="1884"/>
      <c r="E47" s="1256"/>
      <c r="F47" s="3092" t="s">
        <v>4253</v>
      </c>
      <c r="G47" s="3128">
        <f>SUM(G43:G46)</f>
        <v>500</v>
      </c>
      <c r="H47" s="3129"/>
      <c r="I47" s="7"/>
      <c r="J47" s="3130">
        <f>SUMPRODUCT(J43:J46,$H$43:$H$46)</f>
        <v>0.9</v>
      </c>
      <c r="K47" s="3130">
        <f>SUMPRODUCT(K43:K46,$H$43:$H$46)</f>
        <v>0.8</v>
      </c>
      <c r="L47" s="3130">
        <f>SUMPRODUCT(L43:L46,$H$43:$H$46)</f>
        <v>0.6</v>
      </c>
      <c r="M47" s="3130">
        <f>SUMPRODUCT(M43:M46,$H$43:$H$46)</f>
        <v>0.5</v>
      </c>
      <c r="N47" s="3130">
        <f>SUMPRODUCT(N43:N46,$H$43:$H$46)</f>
        <v>0.25</v>
      </c>
      <c r="O47" s="1884"/>
      <c r="P47" s="7"/>
      <c r="Q47" s="1337"/>
    </row>
    <row r="48" spans="2:26">
      <c r="B48" s="1253"/>
      <c r="C48" s="7"/>
      <c r="D48" s="1884"/>
      <c r="E48" s="1256"/>
      <c r="F48" s="1256" t="s">
        <v>1552</v>
      </c>
      <c r="G48" s="1693">
        <f>メイン!C67</f>
        <v>1000</v>
      </c>
      <c r="H48" s="1496"/>
      <c r="I48" s="7"/>
      <c r="J48" s="3122">
        <v>1.1000000000000001</v>
      </c>
      <c r="K48" s="3123">
        <v>1</v>
      </c>
      <c r="L48" s="3122">
        <v>0.9</v>
      </c>
      <c r="M48" s="3122">
        <v>0.8</v>
      </c>
      <c r="N48" s="3122">
        <f>IF(H29=S24,0.7,0.5)</f>
        <v>0.5</v>
      </c>
      <c r="O48" s="1884"/>
      <c r="P48" s="7"/>
      <c r="Q48" s="1337"/>
    </row>
    <row r="49" spans="2:20" ht="6.6" customHeight="1">
      <c r="B49" s="1253"/>
      <c r="C49" s="7"/>
      <c r="D49" s="1884"/>
      <c r="E49" s="7"/>
      <c r="F49" s="1451"/>
      <c r="G49" s="1451"/>
      <c r="H49" s="1451"/>
      <c r="I49" s="1451"/>
      <c r="J49" s="3131"/>
      <c r="K49" s="1451"/>
      <c r="L49" s="1451"/>
      <c r="M49" s="1451"/>
      <c r="N49" s="1451"/>
      <c r="O49" s="7"/>
      <c r="P49" s="7"/>
      <c r="Q49" s="1337"/>
    </row>
    <row r="50" spans="2:20">
      <c r="B50" s="1253"/>
      <c r="C50" s="3132" t="s">
        <v>2688</v>
      </c>
      <c r="D50" s="1884" t="s">
        <v>4254</v>
      </c>
      <c r="E50" s="7"/>
      <c r="F50" s="1884"/>
      <c r="G50" s="7"/>
      <c r="H50" s="7"/>
      <c r="I50" s="7"/>
      <c r="J50" s="7"/>
      <c r="K50" s="7"/>
      <c r="L50" s="7"/>
      <c r="M50" s="7"/>
      <c r="N50" s="7"/>
      <c r="O50" s="7"/>
      <c r="P50" s="7"/>
      <c r="Q50" s="1337"/>
    </row>
    <row r="51" spans="2:20" ht="14.25" thickBot="1">
      <c r="B51" s="1253"/>
      <c r="C51" s="7"/>
      <c r="D51" s="7" t="s">
        <v>4255</v>
      </c>
      <c r="E51" s="7"/>
      <c r="F51" s="1884"/>
      <c r="G51" s="1884"/>
      <c r="H51" s="1884"/>
      <c r="I51" s="1884"/>
      <c r="J51" s="1884"/>
      <c r="K51" s="1884"/>
      <c r="L51" s="1884"/>
      <c r="M51" s="7"/>
      <c r="N51" s="7"/>
      <c r="O51" s="7"/>
      <c r="P51" s="7"/>
      <c r="Q51" s="1337"/>
    </row>
    <row r="52" spans="2:20" ht="14.25" thickBot="1">
      <c r="B52" s="1253"/>
      <c r="C52" s="7"/>
      <c r="D52" s="7"/>
      <c r="E52" s="3133" t="s">
        <v>1940</v>
      </c>
      <c r="F52" s="1252" t="s">
        <v>4281</v>
      </c>
      <c r="G52" s="7"/>
      <c r="H52" s="7"/>
      <c r="I52" s="7"/>
      <c r="J52" s="1884"/>
      <c r="K52" s="3133" t="s">
        <v>1941</v>
      </c>
      <c r="L52" s="1252" t="s">
        <v>4281</v>
      </c>
      <c r="M52" s="7"/>
      <c r="N52" s="7"/>
      <c r="O52" s="7"/>
      <c r="P52" s="7"/>
      <c r="Q52" s="1337"/>
      <c r="S52" t="s">
        <v>1934</v>
      </c>
      <c r="T52" t="s">
        <v>1932</v>
      </c>
    </row>
    <row r="53" spans="2:20">
      <c r="B53" s="1253"/>
      <c r="C53" s="7"/>
      <c r="D53" s="7"/>
      <c r="E53" s="7"/>
      <c r="F53" s="1451" t="s">
        <v>2448</v>
      </c>
      <c r="G53" s="1451"/>
      <c r="H53" s="1451"/>
      <c r="I53" s="1451"/>
      <c r="J53" s="3131"/>
      <c r="K53" s="3131"/>
      <c r="L53" s="1451" t="s">
        <v>2452</v>
      </c>
      <c r="M53" s="1451"/>
      <c r="N53" s="1451"/>
      <c r="O53" s="7"/>
      <c r="P53" s="7"/>
      <c r="Q53" s="1337"/>
      <c r="S53" t="s">
        <v>1936</v>
      </c>
      <c r="T53" t="s">
        <v>1935</v>
      </c>
    </row>
    <row r="54" spans="2:20">
      <c r="B54" s="1253"/>
      <c r="C54" s="7"/>
      <c r="D54" s="7"/>
      <c r="E54" s="7"/>
      <c r="F54" s="1451" t="s">
        <v>2449</v>
      </c>
      <c r="G54" s="1451"/>
      <c r="H54" s="1451"/>
      <c r="I54" s="1451"/>
      <c r="J54" s="3131"/>
      <c r="K54" s="3131"/>
      <c r="L54" s="1451" t="s">
        <v>2453</v>
      </c>
      <c r="M54" s="1451"/>
      <c r="N54" s="1451"/>
      <c r="O54" s="7"/>
      <c r="P54" s="7"/>
      <c r="Q54" s="1337"/>
      <c r="S54" t="s">
        <v>1937</v>
      </c>
      <c r="T54" t="s">
        <v>145</v>
      </c>
    </row>
    <row r="55" spans="2:20">
      <c r="B55" s="1253"/>
      <c r="C55" s="7"/>
      <c r="D55" s="7"/>
      <c r="E55" s="7"/>
      <c r="F55" s="1451" t="s">
        <v>2450</v>
      </c>
      <c r="G55" s="1451"/>
      <c r="H55" s="1451"/>
      <c r="I55" s="1451"/>
      <c r="J55" s="3131"/>
      <c r="K55" s="3131"/>
      <c r="L55" s="1451" t="s">
        <v>2451</v>
      </c>
      <c r="M55" s="1451"/>
      <c r="N55" s="1451"/>
      <c r="O55" s="7"/>
      <c r="P55" s="7"/>
      <c r="Q55" s="1337"/>
      <c r="S55" t="s">
        <v>145</v>
      </c>
    </row>
    <row r="56" spans="2:20">
      <c r="B56" s="1253"/>
      <c r="C56" s="7"/>
      <c r="D56" s="7"/>
      <c r="E56" s="7"/>
      <c r="F56" s="1451" t="s">
        <v>2451</v>
      </c>
      <c r="G56" s="1451"/>
      <c r="H56" s="1451"/>
      <c r="I56" s="1451"/>
      <c r="J56" s="3131"/>
      <c r="K56" s="1451"/>
      <c r="L56" s="1451"/>
      <c r="M56" s="1451"/>
      <c r="N56" s="1451"/>
      <c r="O56" s="7"/>
      <c r="P56" s="7"/>
      <c r="Q56" s="1337"/>
    </row>
    <row r="57" spans="2:20" ht="8.4499999999999993" customHeight="1">
      <c r="B57" s="1253"/>
      <c r="C57" s="7"/>
      <c r="D57" s="7"/>
      <c r="E57" s="1257"/>
      <c r="F57" s="1884"/>
      <c r="G57" s="7"/>
      <c r="H57" s="7"/>
      <c r="I57" s="7"/>
      <c r="J57" s="7"/>
      <c r="K57" s="1451"/>
      <c r="L57" s="1884"/>
      <c r="M57" s="7"/>
      <c r="N57" s="7"/>
      <c r="O57" s="1884"/>
      <c r="P57" s="7"/>
      <c r="Q57" s="1337"/>
    </row>
    <row r="58" spans="2:20">
      <c r="B58" s="1253"/>
      <c r="C58" s="3091"/>
      <c r="D58" s="3132"/>
      <c r="E58" s="1884"/>
      <c r="F58" s="1884"/>
      <c r="G58" s="7"/>
      <c r="H58" s="462"/>
      <c r="I58" s="7"/>
      <c r="J58" s="3134" t="s">
        <v>91</v>
      </c>
      <c r="K58" s="1499" t="s">
        <v>2567</v>
      </c>
      <c r="L58" s="3135"/>
      <c r="M58" s="3135"/>
      <c r="N58" s="3134" t="s">
        <v>386</v>
      </c>
      <c r="O58" s="1884"/>
      <c r="P58" s="7"/>
      <c r="Q58" s="1337"/>
    </row>
    <row r="59" spans="2:20" ht="37.5" customHeight="1">
      <c r="B59" s="1253"/>
      <c r="C59" s="7"/>
      <c r="D59" s="1884"/>
      <c r="E59" s="7"/>
      <c r="F59" s="1884"/>
      <c r="G59" s="7"/>
      <c r="H59" s="1884"/>
      <c r="I59" s="1884"/>
      <c r="J59" s="3136"/>
      <c r="K59" s="3012" t="s">
        <v>4256</v>
      </c>
      <c r="L59" s="3137" t="s">
        <v>4115</v>
      </c>
      <c r="M59" s="3138" t="s">
        <v>2600</v>
      </c>
      <c r="N59" s="3136"/>
      <c r="O59" s="3131"/>
      <c r="P59" s="7"/>
      <c r="Q59" s="1337"/>
    </row>
    <row r="60" spans="2:20" ht="14.25" customHeight="1">
      <c r="B60" s="1253"/>
      <c r="C60" s="7"/>
      <c r="D60" s="7" t="s">
        <v>4257</v>
      </c>
      <c r="E60" s="7"/>
      <c r="F60" s="7"/>
      <c r="G60" s="7"/>
      <c r="H60" s="7"/>
      <c r="I60" s="7"/>
      <c r="J60" s="483"/>
      <c r="K60" s="3190">
        <v>100</v>
      </c>
      <c r="L60" s="3190">
        <v>50</v>
      </c>
      <c r="M60" s="1692"/>
      <c r="N60" s="3139">
        <f>SUM(J60:M60)</f>
        <v>150</v>
      </c>
      <c r="O60" s="3131" t="s">
        <v>539</v>
      </c>
      <c r="P60" s="7"/>
      <c r="Q60" s="1337"/>
    </row>
    <row r="61" spans="2:20" ht="14.25" customHeight="1">
      <c r="B61" s="1253"/>
      <c r="C61" s="7"/>
      <c r="D61" s="7" t="s">
        <v>2599</v>
      </c>
      <c r="E61" s="7"/>
      <c r="F61" s="7"/>
      <c r="G61" s="7"/>
      <c r="H61" s="7"/>
      <c r="I61" s="7"/>
      <c r="J61" s="483"/>
      <c r="K61" s="3190">
        <v>100</v>
      </c>
      <c r="L61" s="3190">
        <v>50</v>
      </c>
      <c r="M61" s="1692"/>
      <c r="N61" s="3139">
        <f>SUM(J61:M61)</f>
        <v>150</v>
      </c>
      <c r="O61" s="7"/>
      <c r="P61" s="7"/>
      <c r="Q61" s="1337"/>
    </row>
    <row r="62" spans="2:20">
      <c r="B62" s="1253"/>
      <c r="C62" s="7"/>
      <c r="D62" s="7" t="s">
        <v>4258</v>
      </c>
      <c r="E62" s="7"/>
      <c r="F62" s="7"/>
      <c r="G62" s="7"/>
      <c r="H62" s="7"/>
      <c r="I62" s="1256" t="s">
        <v>2597</v>
      </c>
      <c r="J62" s="1692">
        <v>0</v>
      </c>
      <c r="K62" s="1692"/>
      <c r="L62" s="1692"/>
      <c r="M62" s="3138"/>
      <c r="N62" s="3139">
        <f>SUM(J62:L62)</f>
        <v>0</v>
      </c>
      <c r="O62" s="1451"/>
      <c r="P62" s="7"/>
      <c r="Q62" s="1337"/>
    </row>
    <row r="63" spans="2:20">
      <c r="B63" s="1253"/>
      <c r="C63" s="7"/>
      <c r="D63" s="7"/>
      <c r="E63" s="7"/>
      <c r="F63" s="7"/>
      <c r="G63" s="7"/>
      <c r="H63" s="7"/>
      <c r="I63" s="1256" t="s">
        <v>2596</v>
      </c>
      <c r="J63" s="1692"/>
      <c r="K63" s="1692"/>
      <c r="L63" s="1692"/>
      <c r="M63" s="3138"/>
      <c r="N63" s="3139">
        <f>SUM(J63:L63)</f>
        <v>0</v>
      </c>
      <c r="O63" s="1451"/>
      <c r="P63" s="7"/>
      <c r="Q63" s="1337"/>
    </row>
    <row r="64" spans="2:20">
      <c r="B64" s="1253"/>
      <c r="C64" s="7"/>
      <c r="D64" s="7"/>
      <c r="E64" s="1451" t="s">
        <v>2598</v>
      </c>
      <c r="F64" s="7"/>
      <c r="G64" s="7"/>
      <c r="H64" s="7"/>
      <c r="I64" s="7"/>
      <c r="J64" s="7"/>
      <c r="K64" s="7"/>
      <c r="L64" s="7"/>
      <c r="M64" s="7"/>
      <c r="N64" s="7"/>
      <c r="O64" s="7"/>
      <c r="P64" s="7"/>
      <c r="Q64" s="1337"/>
    </row>
    <row r="65" spans="2:20" ht="39" customHeight="1">
      <c r="B65" s="1253"/>
      <c r="C65" s="7"/>
      <c r="D65" s="7"/>
      <c r="E65" s="3093" t="s">
        <v>2785</v>
      </c>
      <c r="F65" s="3603" t="s">
        <v>2786</v>
      </c>
      <c r="G65" s="3603"/>
      <c r="H65" s="3603"/>
      <c r="I65" s="3603"/>
      <c r="J65" s="3603"/>
      <c r="K65" s="3603"/>
      <c r="L65" s="3603"/>
      <c r="M65" s="3603"/>
      <c r="N65" s="3603"/>
      <c r="O65" s="3603"/>
      <c r="P65" s="3603"/>
      <c r="Q65" s="1337"/>
    </row>
    <row r="66" spans="2:20" ht="3.75" customHeight="1" thickBot="1">
      <c r="B66" s="1338"/>
      <c r="C66" s="1339"/>
      <c r="D66" s="1339"/>
      <c r="E66" s="3140"/>
      <c r="F66" s="3141"/>
      <c r="G66" s="3141"/>
      <c r="H66" s="3141"/>
      <c r="I66" s="3141"/>
      <c r="J66" s="3141"/>
      <c r="K66" s="3141"/>
      <c r="L66" s="3141"/>
      <c r="M66" s="1339"/>
      <c r="N66" s="3141"/>
      <c r="O66" s="3141"/>
      <c r="P66" s="3141"/>
      <c r="Q66" s="3142"/>
    </row>
    <row r="67" spans="2:20" ht="3.75" customHeight="1" thickBot="1">
      <c r="B67" s="444"/>
      <c r="C67" s="444"/>
      <c r="D67" s="444"/>
      <c r="E67" s="444"/>
      <c r="F67" s="444"/>
      <c r="G67" s="444"/>
      <c r="H67" s="444"/>
      <c r="I67" s="444"/>
      <c r="J67" s="444"/>
      <c r="K67" s="444"/>
      <c r="L67" s="444"/>
      <c r="M67" s="444"/>
      <c r="N67" s="444"/>
      <c r="O67" s="444"/>
      <c r="P67" s="444"/>
      <c r="Q67" s="444"/>
    </row>
    <row r="68" spans="2:20" ht="27" customHeight="1">
      <c r="B68" s="3143"/>
      <c r="C68" s="3144" t="s">
        <v>1797</v>
      </c>
      <c r="D68" s="3145"/>
      <c r="E68" s="3145"/>
      <c r="F68" s="3145"/>
      <c r="G68" s="3145"/>
      <c r="H68" s="3145"/>
      <c r="I68" s="3145"/>
      <c r="J68" s="3145"/>
      <c r="K68" s="3145"/>
      <c r="L68" s="3145"/>
      <c r="M68" s="3145"/>
      <c r="N68" s="3146"/>
      <c r="O68" s="3147"/>
      <c r="P68" s="3146"/>
      <c r="Q68" s="3148"/>
    </row>
    <row r="69" spans="2:20">
      <c r="B69" s="1255"/>
      <c r="C69" s="469" t="s">
        <v>2595</v>
      </c>
      <c r="D69" s="469"/>
      <c r="E69" s="7"/>
      <c r="F69" s="7"/>
      <c r="G69" s="1884"/>
      <c r="H69" s="7"/>
      <c r="I69" s="7"/>
      <c r="J69" s="7"/>
      <c r="K69" s="7"/>
      <c r="L69" s="7"/>
      <c r="M69" s="7"/>
      <c r="N69" s="7" t="s">
        <v>1975</v>
      </c>
      <c r="O69" s="7"/>
      <c r="P69" s="1417" t="s">
        <v>1976</v>
      </c>
      <c r="Q69" s="3149"/>
    </row>
    <row r="70" spans="2:20">
      <c r="B70" s="1255"/>
      <c r="C70" s="469"/>
      <c r="D70" s="1884" t="s">
        <v>91</v>
      </c>
      <c r="E70" s="1884"/>
      <c r="F70" s="1256" t="s">
        <v>2594</v>
      </c>
      <c r="G70" s="3209">
        <f>IF(G21="",S70,G21)</f>
        <v>0.8</v>
      </c>
      <c r="H70" s="7"/>
      <c r="I70" s="7"/>
      <c r="J70" s="1257" t="s">
        <v>2571</v>
      </c>
      <c r="K70" s="7"/>
      <c r="L70" s="1254" t="s">
        <v>92</v>
      </c>
      <c r="M70" s="7"/>
      <c r="N70" s="1391" t="s">
        <v>539</v>
      </c>
      <c r="O70" s="474"/>
      <c r="P70" s="1391" t="s">
        <v>539</v>
      </c>
      <c r="Q70" s="468"/>
      <c r="S70" s="1898" t="s">
        <v>2592</v>
      </c>
    </row>
    <row r="71" spans="2:20">
      <c r="B71" s="1255"/>
      <c r="C71" s="469"/>
      <c r="D71" s="469"/>
      <c r="E71" s="469"/>
      <c r="F71" s="1256" t="s">
        <v>2569</v>
      </c>
      <c r="G71" s="1258">
        <f>J63</f>
        <v>0</v>
      </c>
      <c r="H71" s="3150" t="s">
        <v>539</v>
      </c>
      <c r="I71" s="7"/>
      <c r="J71" s="3139">
        <f>(H98*N98+N99*H99)/1000</f>
        <v>0</v>
      </c>
      <c r="K71" s="3150" t="s">
        <v>539</v>
      </c>
      <c r="L71" s="1331">
        <f>N102</f>
        <v>1</v>
      </c>
      <c r="M71" s="3151"/>
      <c r="N71" s="3208">
        <f>(J94*G70+G71-J71)*L71</f>
        <v>500</v>
      </c>
      <c r="O71" s="474"/>
      <c r="P71" s="1332">
        <f>J94</f>
        <v>625</v>
      </c>
      <c r="Q71" s="1335"/>
    </row>
    <row r="72" spans="2:20" ht="6.75" customHeight="1">
      <c r="B72" s="1253"/>
      <c r="C72" s="7"/>
      <c r="D72" s="7"/>
      <c r="E72" s="7"/>
      <c r="F72" s="7"/>
      <c r="G72" s="7"/>
      <c r="H72" s="7"/>
      <c r="I72" s="7"/>
      <c r="J72" s="7"/>
      <c r="K72" s="7"/>
      <c r="L72" s="7"/>
      <c r="M72" s="7"/>
      <c r="N72" s="7"/>
      <c r="O72" s="7"/>
      <c r="P72" s="7"/>
      <c r="Q72" s="1337"/>
    </row>
    <row r="73" spans="2:20">
      <c r="B73" s="1253"/>
      <c r="C73" s="7"/>
      <c r="D73" s="7"/>
      <c r="E73" s="7"/>
      <c r="F73" s="7"/>
      <c r="G73" s="1254"/>
      <c r="H73" s="1254" t="s">
        <v>544</v>
      </c>
      <c r="I73" s="7"/>
      <c r="J73" s="1254" t="s">
        <v>2570</v>
      </c>
      <c r="K73" s="1254"/>
      <c r="L73" s="1254" t="s">
        <v>2087</v>
      </c>
      <c r="M73" s="7"/>
      <c r="N73" s="7"/>
      <c r="O73" s="7"/>
      <c r="P73" s="7"/>
      <c r="Q73" s="1337"/>
    </row>
    <row r="74" spans="2:20">
      <c r="B74" s="1253"/>
      <c r="C74" s="7"/>
      <c r="D74" s="7"/>
      <c r="E74" s="7"/>
      <c r="F74" s="7"/>
      <c r="G74" s="1256"/>
      <c r="H74" s="1256" t="s">
        <v>558</v>
      </c>
      <c r="I74" s="7"/>
      <c r="J74" s="1254" t="s">
        <v>541</v>
      </c>
      <c r="K74" s="1254"/>
      <c r="L74" s="3152" t="s">
        <v>1469</v>
      </c>
      <c r="M74" s="7"/>
      <c r="N74" s="7"/>
      <c r="O74" s="7"/>
      <c r="P74" s="7"/>
      <c r="Q74" s="1337"/>
      <c r="S74" t="s">
        <v>584</v>
      </c>
      <c r="T74" s="1347">
        <f>T94/P71</f>
        <v>0.78</v>
      </c>
    </row>
    <row r="75" spans="2:20">
      <c r="B75" s="1253"/>
      <c r="C75" s="7"/>
      <c r="D75" s="7"/>
      <c r="E75" s="3153" t="s">
        <v>1464</v>
      </c>
      <c r="F75" s="3154" t="s">
        <v>377</v>
      </c>
      <c r="G75" s="3155"/>
      <c r="H75" s="1259">
        <f>メイン!R47</f>
        <v>500</v>
      </c>
      <c r="I75" s="7"/>
      <c r="J75" s="1259">
        <f>CO2データ!H190</f>
        <v>1250</v>
      </c>
      <c r="K75" s="7"/>
      <c r="L75" s="3156">
        <f>CO2データ!R190</f>
        <v>5.0478540983606553E-2</v>
      </c>
      <c r="M75" s="7"/>
      <c r="N75" s="7"/>
      <c r="O75" s="7"/>
      <c r="P75" s="7"/>
      <c r="Q75" s="1337"/>
      <c r="S75" s="1345">
        <f>CO2データ!N190</f>
        <v>0.78</v>
      </c>
    </row>
    <row r="76" spans="2:20">
      <c r="B76" s="1253"/>
      <c r="C76" s="7"/>
      <c r="D76" s="7"/>
      <c r="E76" s="3157"/>
      <c r="F76" s="3154" t="s">
        <v>1904</v>
      </c>
      <c r="G76" s="3155"/>
      <c r="H76" s="1259">
        <f>メイン!R48</f>
        <v>0</v>
      </c>
      <c r="I76" s="7"/>
      <c r="J76" s="1259">
        <f>CO2データ!H191</f>
        <v>0</v>
      </c>
      <c r="K76" s="7"/>
      <c r="L76" s="3156">
        <f>CO2データ!R191</f>
        <v>5.0133303278688528E-2</v>
      </c>
      <c r="M76" s="7"/>
      <c r="N76" s="7"/>
      <c r="O76" s="7"/>
      <c r="P76" s="7"/>
      <c r="Q76" s="1337"/>
      <c r="S76" s="1345">
        <f>CO2データ!N191</f>
        <v>0.77</v>
      </c>
    </row>
    <row r="77" spans="2:20">
      <c r="B77" s="1253"/>
      <c r="C77" s="7"/>
      <c r="D77" s="7"/>
      <c r="E77" s="3158"/>
      <c r="F77" s="3154" t="s">
        <v>3832</v>
      </c>
      <c r="G77" s="3155"/>
      <c r="H77" s="1259">
        <f>メイン!R49</f>
        <v>0</v>
      </c>
      <c r="I77" s="7"/>
      <c r="J77" s="1259">
        <f>CO2データ!H192</f>
        <v>0</v>
      </c>
      <c r="K77" s="7"/>
      <c r="L77" s="3156">
        <f>CO2データ!R192</f>
        <v>5.336247540983606E-2</v>
      </c>
      <c r="M77" s="7"/>
      <c r="N77" s="7"/>
      <c r="O77" s="7"/>
      <c r="P77" s="7"/>
      <c r="Q77" s="1337"/>
      <c r="S77" s="1345">
        <f>CO2データ!N192</f>
        <v>0.63</v>
      </c>
    </row>
    <row r="78" spans="2:20">
      <c r="B78" s="1253"/>
      <c r="C78" s="7"/>
      <c r="D78" s="7"/>
      <c r="E78" s="3157" t="s">
        <v>1908</v>
      </c>
      <c r="F78" s="3154" t="s">
        <v>1909</v>
      </c>
      <c r="G78" s="3155"/>
      <c r="H78" s="1259">
        <f>メイン!R50</f>
        <v>0</v>
      </c>
      <c r="I78" s="7"/>
      <c r="J78" s="1259">
        <f>CO2データ!H193</f>
        <v>0</v>
      </c>
      <c r="K78" s="7"/>
      <c r="L78" s="3156">
        <f>CO2データ!R193</f>
        <v>5.10916393442623E-2</v>
      </c>
      <c r="M78" s="7"/>
      <c r="N78" s="7"/>
      <c r="O78" s="7"/>
      <c r="P78" s="7"/>
      <c r="Q78" s="1337"/>
      <c r="S78" s="1345">
        <f>CO2データ!N193</f>
        <v>0.7</v>
      </c>
    </row>
    <row r="79" spans="2:20">
      <c r="B79" s="1253"/>
      <c r="C79" s="7"/>
      <c r="D79" s="7"/>
      <c r="E79" s="3157"/>
      <c r="F79" s="3159" t="s">
        <v>1910</v>
      </c>
      <c r="G79" s="3160" t="s">
        <v>1911</v>
      </c>
      <c r="H79" s="1259">
        <f>メイン!R51</f>
        <v>0</v>
      </c>
      <c r="I79" s="7"/>
      <c r="J79" s="1259">
        <f>CO2データ!H194</f>
        <v>0</v>
      </c>
      <c r="K79" s="7"/>
      <c r="L79" s="3156">
        <f>CO2データ!R194</f>
        <v>5.0243426229508191E-2</v>
      </c>
      <c r="M79" s="7"/>
      <c r="N79" s="7"/>
      <c r="O79" s="7"/>
      <c r="P79" s="7"/>
      <c r="Q79" s="1337"/>
      <c r="S79" s="1345">
        <f>CO2データ!N194</f>
        <v>0.67</v>
      </c>
    </row>
    <row r="80" spans="2:20">
      <c r="B80" s="1253"/>
      <c r="C80" s="7"/>
      <c r="D80" s="7"/>
      <c r="E80" s="3157"/>
      <c r="F80" s="3161"/>
      <c r="G80" s="3160" t="s">
        <v>2244</v>
      </c>
      <c r="H80" s="1259">
        <f>メイン!R52</f>
        <v>0</v>
      </c>
      <c r="I80" s="7"/>
      <c r="J80" s="1259">
        <f>CO2データ!H195</f>
        <v>0</v>
      </c>
      <c r="K80" s="7"/>
      <c r="L80" s="3156">
        <f>CO2データ!R195</f>
        <v>5.0222590163934433E-2</v>
      </c>
      <c r="M80" s="7"/>
      <c r="N80" s="7"/>
      <c r="O80" s="7"/>
      <c r="P80" s="7"/>
      <c r="Q80" s="1337"/>
      <c r="S80" s="1345">
        <f>CO2データ!N195</f>
        <v>0.74</v>
      </c>
    </row>
    <row r="81" spans="2:20">
      <c r="B81" s="1253"/>
      <c r="C81" s="7"/>
      <c r="D81" s="7"/>
      <c r="E81" s="3157"/>
      <c r="F81" s="3154" t="s">
        <v>1912</v>
      </c>
      <c r="G81" s="3155"/>
      <c r="H81" s="1259">
        <f>メイン!R53</f>
        <v>0</v>
      </c>
      <c r="I81" s="7"/>
      <c r="J81" s="1259">
        <f>CO2データ!H196</f>
        <v>0</v>
      </c>
      <c r="K81" s="7"/>
      <c r="L81" s="3156">
        <f>CO2データ!R196</f>
        <v>5.1160090163934434E-2</v>
      </c>
      <c r="M81" s="7"/>
      <c r="N81" s="7"/>
      <c r="O81" s="7"/>
      <c r="P81" s="7"/>
      <c r="Q81" s="1337"/>
      <c r="S81" s="1345">
        <f>CO2データ!N196</f>
        <v>0.74</v>
      </c>
    </row>
    <row r="82" spans="2:20">
      <c r="B82" s="1253"/>
      <c r="C82" s="7"/>
      <c r="D82" s="7"/>
      <c r="E82" s="3158"/>
      <c r="F82" s="3154" t="s">
        <v>1913</v>
      </c>
      <c r="G82" s="3155"/>
      <c r="H82" s="1259">
        <f>メイン!R54</f>
        <v>0</v>
      </c>
      <c r="I82" s="7"/>
      <c r="J82" s="1259">
        <f>CO2データ!H197</f>
        <v>0</v>
      </c>
      <c r="K82" s="7"/>
      <c r="L82" s="3156">
        <f>CO2データ!R197</f>
        <v>5.2148188524590161E-2</v>
      </c>
      <c r="M82" s="7"/>
      <c r="N82" s="7"/>
      <c r="O82" s="7"/>
      <c r="P82" s="7"/>
      <c r="Q82" s="1337"/>
      <c r="S82" s="1345">
        <f>CO2データ!N197</f>
        <v>0.66</v>
      </c>
    </row>
    <row r="83" spans="2:20">
      <c r="B83" s="1253"/>
      <c r="C83" s="7"/>
      <c r="D83" s="7"/>
      <c r="E83" s="3153" t="s">
        <v>1905</v>
      </c>
      <c r="F83" s="3154" t="s">
        <v>1617</v>
      </c>
      <c r="G83" s="3155"/>
      <c r="H83" s="1259">
        <f>メイン!R55</f>
        <v>0</v>
      </c>
      <c r="I83" s="7"/>
      <c r="J83" s="1259">
        <f>CO2データ!H198</f>
        <v>0</v>
      </c>
      <c r="K83" s="7"/>
      <c r="L83" s="3156">
        <f>CO2データ!R198</f>
        <v>5.1939852459016389E-2</v>
      </c>
      <c r="M83" s="7"/>
      <c r="N83" s="7"/>
      <c r="O83" s="7"/>
      <c r="P83" s="7"/>
      <c r="Q83" s="1337"/>
      <c r="S83" s="1345">
        <f>CO2データ!N198</f>
        <v>0.73</v>
      </c>
    </row>
    <row r="84" spans="2:20">
      <c r="B84" s="1253"/>
      <c r="C84" s="7"/>
      <c r="D84" s="7"/>
      <c r="E84" s="3157"/>
      <c r="F84" s="3154" t="s">
        <v>3829</v>
      </c>
      <c r="G84" s="3155"/>
      <c r="H84" s="1259">
        <f>メイン!R56</f>
        <v>0</v>
      </c>
      <c r="I84" s="7"/>
      <c r="J84" s="1259">
        <f>CO2データ!H199</f>
        <v>0</v>
      </c>
      <c r="K84" s="7"/>
      <c r="L84" s="3156">
        <f>CO2データ!R199</f>
        <v>4.6823770491803279E-2</v>
      </c>
      <c r="M84" s="7"/>
      <c r="N84" s="7"/>
      <c r="O84" s="7"/>
      <c r="P84" s="7"/>
      <c r="Q84" s="1337"/>
      <c r="S84" s="1345">
        <f>CO2データ!N199</f>
        <v>1</v>
      </c>
    </row>
    <row r="85" spans="2:20">
      <c r="B85" s="1253"/>
      <c r="C85" s="7"/>
      <c r="D85" s="7"/>
      <c r="E85" s="3157"/>
      <c r="F85" s="3154" t="s">
        <v>3830</v>
      </c>
      <c r="G85" s="3155"/>
      <c r="H85" s="1259">
        <f>メイン!R57</f>
        <v>0</v>
      </c>
      <c r="I85" s="7"/>
      <c r="J85" s="1259">
        <f>CO2データ!H200</f>
        <v>0</v>
      </c>
      <c r="K85" s="7"/>
      <c r="L85" s="3156">
        <f>CO2データ!R200</f>
        <v>5.2936877049180327E-2</v>
      </c>
      <c r="M85" s="7"/>
      <c r="N85" s="7"/>
      <c r="O85" s="7"/>
      <c r="P85" s="7"/>
      <c r="Q85" s="1337"/>
      <c r="S85" s="1345">
        <f>CO2データ!N200</f>
        <v>0.71</v>
      </c>
    </row>
    <row r="86" spans="2:20">
      <c r="B86" s="1253"/>
      <c r="C86" s="7"/>
      <c r="D86" s="7"/>
      <c r="E86" s="3158"/>
      <c r="F86" s="3154" t="s">
        <v>1906</v>
      </c>
      <c r="G86" s="3155"/>
      <c r="H86" s="1259">
        <f>メイン!R58</f>
        <v>0</v>
      </c>
      <c r="I86" s="7"/>
      <c r="J86" s="1259">
        <f>CO2データ!H201</f>
        <v>0</v>
      </c>
      <c r="K86" s="7"/>
      <c r="L86" s="3156">
        <f>CO2データ!R201</f>
        <v>4.8651155737704926E-2</v>
      </c>
      <c r="M86" s="7"/>
      <c r="N86" s="7"/>
      <c r="O86" s="7"/>
      <c r="P86" s="7"/>
      <c r="Q86" s="1337"/>
      <c r="S86" s="1345">
        <f>CO2データ!N201</f>
        <v>0.89</v>
      </c>
    </row>
    <row r="87" spans="2:20">
      <c r="B87" s="1253"/>
      <c r="C87" s="7"/>
      <c r="D87" s="7"/>
      <c r="E87" s="3154" t="s">
        <v>380</v>
      </c>
      <c r="F87" s="3162"/>
      <c r="G87" s="3155"/>
      <c r="H87" s="1259">
        <f>メイン!R59</f>
        <v>0</v>
      </c>
      <c r="I87" s="7"/>
      <c r="J87" s="1259">
        <f>CO2データ!H202</f>
        <v>0</v>
      </c>
      <c r="K87" s="7"/>
      <c r="L87" s="3156">
        <f>CO2データ!R202</f>
        <v>5.1282122950819672E-2</v>
      </c>
      <c r="M87" s="7"/>
      <c r="N87" s="7"/>
      <c r="O87" s="7"/>
      <c r="P87" s="7"/>
      <c r="Q87" s="1337"/>
      <c r="S87" s="1345">
        <f>CO2データ!N202</f>
        <v>0.51</v>
      </c>
    </row>
    <row r="88" spans="2:20">
      <c r="B88" s="1253"/>
      <c r="C88" s="7"/>
      <c r="D88" s="7"/>
      <c r="E88" s="3153" t="s">
        <v>1914</v>
      </c>
      <c r="F88" s="3154" t="s">
        <v>1915</v>
      </c>
      <c r="G88" s="3155"/>
      <c r="H88" s="1259">
        <f>メイン!R60</f>
        <v>0</v>
      </c>
      <c r="I88" s="7"/>
      <c r="J88" s="1259">
        <f>CO2データ!H203</f>
        <v>0</v>
      </c>
      <c r="K88" s="7"/>
      <c r="L88" s="3156">
        <f>CO2データ!R203</f>
        <v>5.0252352459016394E-2</v>
      </c>
      <c r="M88" s="7"/>
      <c r="N88" s="7"/>
      <c r="O88" s="7"/>
      <c r="P88" s="7"/>
      <c r="Q88" s="1337"/>
      <c r="S88" s="1345">
        <f>CO2データ!N203</f>
        <v>0.73</v>
      </c>
    </row>
    <row r="89" spans="2:20">
      <c r="B89" s="1253"/>
      <c r="C89" s="7"/>
      <c r="D89" s="7"/>
      <c r="E89" s="3157"/>
      <c r="F89" s="3154" t="s">
        <v>1916</v>
      </c>
      <c r="G89" s="3155"/>
      <c r="H89" s="1259">
        <f>メイン!R61</f>
        <v>0</v>
      </c>
      <c r="I89" s="7"/>
      <c r="J89" s="1259">
        <f>CO2データ!H204</f>
        <v>0</v>
      </c>
      <c r="K89" s="7"/>
      <c r="L89" s="3156">
        <f>CO2データ!R204</f>
        <v>5.0508303278688528E-2</v>
      </c>
      <c r="M89" s="7"/>
      <c r="N89" s="7"/>
      <c r="O89" s="7"/>
      <c r="P89" s="7"/>
      <c r="Q89" s="1337"/>
      <c r="S89" s="1345">
        <f>CO2データ!N204</f>
        <v>0.77</v>
      </c>
    </row>
    <row r="90" spans="2:20">
      <c r="B90" s="1253"/>
      <c r="C90" s="7"/>
      <c r="D90" s="7"/>
      <c r="E90" s="3157"/>
      <c r="F90" s="3159" t="s">
        <v>1917</v>
      </c>
      <c r="G90" s="3163"/>
      <c r="H90" s="1259">
        <f>メイン!R62</f>
        <v>0</v>
      </c>
      <c r="I90" s="7"/>
      <c r="J90" s="1259">
        <f>CO2データ!H205</f>
        <v>0</v>
      </c>
      <c r="K90" s="7"/>
      <c r="L90" s="3156">
        <f>CO2データ!R205</f>
        <v>5.0558901639344261E-2</v>
      </c>
      <c r="M90" s="7"/>
      <c r="N90" s="7"/>
      <c r="O90" s="7"/>
      <c r="P90" s="7"/>
      <c r="Q90" s="1337"/>
      <c r="S90" s="1345">
        <f>CO2データ!N205</f>
        <v>0.69</v>
      </c>
    </row>
    <row r="91" spans="2:20">
      <c r="B91" s="1253"/>
      <c r="C91" s="7"/>
      <c r="D91" s="7"/>
      <c r="E91" s="3154" t="s">
        <v>385</v>
      </c>
      <c r="F91" s="3162"/>
      <c r="G91" s="3155"/>
      <c r="H91" s="1259">
        <f>メイン!E63</f>
        <v>0</v>
      </c>
      <c r="I91" s="7"/>
      <c r="J91" s="1259">
        <f>CO2データ!H206</f>
        <v>0</v>
      </c>
      <c r="K91" s="7"/>
      <c r="L91" s="3156">
        <f>CO2データ!R206</f>
        <v>4.6823770491803279E-2</v>
      </c>
      <c r="M91" s="7"/>
      <c r="N91" s="7"/>
      <c r="O91" s="7"/>
      <c r="P91" s="7"/>
      <c r="Q91" s="1337"/>
      <c r="S91" s="1345">
        <f>CO2データ!N206</f>
        <v>1</v>
      </c>
    </row>
    <row r="92" spans="2:20">
      <c r="B92" s="1253"/>
      <c r="C92" s="7"/>
      <c r="D92" s="7"/>
      <c r="E92" s="3154" t="s">
        <v>382</v>
      </c>
      <c r="F92" s="3162"/>
      <c r="G92" s="3155"/>
      <c r="H92" s="1259">
        <f>メイン!R64</f>
        <v>0</v>
      </c>
      <c r="I92" s="7"/>
      <c r="J92" s="1259">
        <f>CO2データ!H207</f>
        <v>0</v>
      </c>
      <c r="K92" s="7"/>
      <c r="L92" s="3156">
        <f>CO2データ!R207</f>
        <v>5.5683909836065575E-2</v>
      </c>
      <c r="M92" s="7"/>
      <c r="N92" s="7"/>
      <c r="O92" s="7"/>
      <c r="P92" s="7"/>
      <c r="Q92" s="1337"/>
      <c r="S92" s="1345">
        <f>CO2データ!N207</f>
        <v>0.48</v>
      </c>
    </row>
    <row r="93" spans="2:20" ht="14.25" thickBot="1">
      <c r="B93" s="1253"/>
      <c r="C93" s="7"/>
      <c r="D93" s="7"/>
      <c r="E93" s="3154" t="s">
        <v>1907</v>
      </c>
      <c r="F93" s="3162"/>
      <c r="G93" s="3155"/>
      <c r="H93" s="1259">
        <f>メイン!R65</f>
        <v>0</v>
      </c>
      <c r="I93" s="7"/>
      <c r="J93" s="1259">
        <f>CO2データ!H208</f>
        <v>0</v>
      </c>
      <c r="K93" s="7"/>
      <c r="L93" s="3156">
        <f>CO2データ!R208</f>
        <v>5.6799983606557379E-2</v>
      </c>
      <c r="M93" s="7"/>
      <c r="N93" s="7"/>
      <c r="O93" s="7"/>
      <c r="P93" s="7"/>
      <c r="Q93" s="1337"/>
      <c r="S93" s="1345">
        <f>CO2データ!N208</f>
        <v>0.42</v>
      </c>
    </row>
    <row r="94" spans="2:20" ht="14.25" thickBot="1">
      <c r="B94" s="1253"/>
      <c r="C94" s="7"/>
      <c r="D94" s="7"/>
      <c r="E94" s="3154" t="s">
        <v>91</v>
      </c>
      <c r="F94" s="3162" t="s">
        <v>386</v>
      </c>
      <c r="G94" s="3155"/>
      <c r="H94" s="1259">
        <f>SUM(H75:H93)</f>
        <v>500</v>
      </c>
      <c r="I94" s="7"/>
      <c r="J94" s="1259">
        <f>SUMPRODUCT(H75:H93,J75:J93)/1000</f>
        <v>625</v>
      </c>
      <c r="K94" s="1451" t="s">
        <v>539</v>
      </c>
      <c r="L94" s="3200">
        <f>SUMPRODUCT(H75:H93,L75:L93)/H94</f>
        <v>5.0478540983606553E-2</v>
      </c>
      <c r="M94" s="7"/>
      <c r="N94" s="7"/>
      <c r="O94" s="7"/>
      <c r="P94" s="7"/>
      <c r="Q94" s="1337"/>
      <c r="S94" t="s">
        <v>2572</v>
      </c>
      <c r="T94" s="1346">
        <f>SUMPRODUCT(H75:H93,J75:J93,S75:S93)/1000</f>
        <v>487.5</v>
      </c>
    </row>
    <row r="95" spans="2:20">
      <c r="B95" s="1253"/>
      <c r="C95" s="7"/>
      <c r="D95" s="7"/>
      <c r="E95" s="7"/>
      <c r="F95" s="7"/>
      <c r="G95" s="7"/>
      <c r="H95" s="7"/>
      <c r="I95" s="7"/>
      <c r="J95" s="7"/>
      <c r="K95" s="7"/>
      <c r="L95" s="7"/>
      <c r="M95" s="7"/>
      <c r="N95" s="7"/>
      <c r="O95" s="7"/>
      <c r="P95" s="7"/>
      <c r="Q95" s="1337"/>
    </row>
    <row r="96" spans="2:20">
      <c r="B96" s="1253"/>
      <c r="C96" s="7"/>
      <c r="D96" s="7"/>
      <c r="E96" s="476" t="s">
        <v>1796</v>
      </c>
      <c r="F96" s="1257"/>
      <c r="G96" s="7"/>
      <c r="H96" s="1254" t="s">
        <v>544</v>
      </c>
      <c r="I96" s="7"/>
      <c r="J96" s="7"/>
      <c r="K96" s="7"/>
      <c r="L96" s="7"/>
      <c r="M96" s="7"/>
      <c r="N96" s="7"/>
      <c r="O96" s="7"/>
      <c r="P96" s="7"/>
      <c r="Q96" s="1337"/>
    </row>
    <row r="97" spans="2:19">
      <c r="B97" s="3164"/>
      <c r="C97" s="469"/>
      <c r="D97" s="469"/>
      <c r="E97" s="476"/>
      <c r="F97" s="476" t="s">
        <v>2458</v>
      </c>
      <c r="G97" s="1257"/>
      <c r="H97" s="3106" t="s">
        <v>558</v>
      </c>
      <c r="I97" s="1256"/>
      <c r="J97" s="471" t="s">
        <v>1337</v>
      </c>
      <c r="K97" s="471" t="s">
        <v>1338</v>
      </c>
      <c r="L97" s="471" t="s">
        <v>1339</v>
      </c>
      <c r="M97" s="472" t="s">
        <v>273</v>
      </c>
      <c r="N97" s="472" t="s">
        <v>1727</v>
      </c>
      <c r="O97" s="3165"/>
      <c r="P97" s="3166"/>
      <c r="Q97" s="1260"/>
    </row>
    <row r="98" spans="2:19">
      <c r="B98" s="3164"/>
      <c r="C98" s="469"/>
      <c r="D98" s="469"/>
      <c r="E98" s="476"/>
      <c r="F98" s="476"/>
      <c r="G98" s="1256" t="s">
        <v>2801</v>
      </c>
      <c r="H98" s="3139">
        <f>H79+H80+H81+G13</f>
        <v>1000</v>
      </c>
      <c r="I98" s="1256"/>
      <c r="J98" s="3167">
        <v>0</v>
      </c>
      <c r="K98" s="3167">
        <v>1</v>
      </c>
      <c r="L98" s="3167">
        <v>15</v>
      </c>
      <c r="M98" s="1261">
        <f>'採点LR1 '!L33</f>
        <v>2</v>
      </c>
      <c r="N98" s="1342">
        <f>IF(M98&gt;=5,$L98,IF(M98&gt;=4,$K98,$J98))</f>
        <v>0</v>
      </c>
      <c r="O98" s="7"/>
      <c r="P98" s="3166"/>
      <c r="Q98" s="1260"/>
    </row>
    <row r="99" spans="2:19">
      <c r="B99" s="3164"/>
      <c r="C99" s="469"/>
      <c r="D99" s="469"/>
      <c r="E99" s="476"/>
      <c r="F99" s="476"/>
      <c r="G99" s="1257" t="s">
        <v>1689</v>
      </c>
      <c r="H99" s="1498">
        <f>H94-H79-H80-H81</f>
        <v>500</v>
      </c>
      <c r="I99" s="1256"/>
      <c r="J99" s="3167">
        <v>0</v>
      </c>
      <c r="K99" s="3167">
        <v>1</v>
      </c>
      <c r="L99" s="3167">
        <f>[1]採点LR1!H41</f>
        <v>0</v>
      </c>
      <c r="M99" s="1261">
        <f>'採点LR1 '!G44</f>
        <v>3</v>
      </c>
      <c r="N99" s="1342">
        <f>IF(M99&gt;=5,$L99,IF(M99&gt;=4,$K99,$J99))</f>
        <v>0</v>
      </c>
      <c r="O99" s="1451" t="s">
        <v>2393</v>
      </c>
      <c r="P99" s="3166"/>
      <c r="Q99" s="1260"/>
    </row>
    <row r="100" spans="2:19">
      <c r="B100" s="3164"/>
      <c r="C100" s="469"/>
      <c r="D100" s="469"/>
      <c r="E100" s="3168"/>
      <c r="F100" s="3168"/>
      <c r="G100" s="3169"/>
      <c r="H100" s="1257"/>
      <c r="I100" s="1257"/>
      <c r="J100" s="1257"/>
      <c r="K100" s="1257"/>
      <c r="L100" s="1257"/>
      <c r="M100" s="1257"/>
      <c r="N100" s="1257"/>
      <c r="O100" s="3165"/>
      <c r="P100" s="3166"/>
      <c r="Q100" s="1260"/>
    </row>
    <row r="101" spans="2:19">
      <c r="B101" s="1255"/>
      <c r="C101" s="469"/>
      <c r="D101" s="469"/>
      <c r="E101" s="476" t="s">
        <v>311</v>
      </c>
      <c r="F101" s="3168"/>
      <c r="G101" s="7"/>
      <c r="H101" s="3170"/>
      <c r="I101" s="7"/>
      <c r="J101" s="471" t="s">
        <v>1337</v>
      </c>
      <c r="K101" s="471" t="s">
        <v>1338</v>
      </c>
      <c r="L101" s="471" t="s">
        <v>1339</v>
      </c>
      <c r="M101" s="472" t="s">
        <v>273</v>
      </c>
      <c r="N101" s="472" t="s">
        <v>542</v>
      </c>
      <c r="O101" s="474"/>
      <c r="P101" s="3166"/>
      <c r="Q101" s="1260"/>
    </row>
    <row r="102" spans="2:19">
      <c r="B102" s="1255"/>
      <c r="C102" s="469"/>
      <c r="D102" s="469"/>
      <c r="E102" s="476"/>
      <c r="F102" s="476" t="s">
        <v>543</v>
      </c>
      <c r="G102" s="7"/>
      <c r="H102" s="7"/>
      <c r="I102" s="7"/>
      <c r="J102" s="1392">
        <v>1</v>
      </c>
      <c r="K102" s="3171">
        <v>0.97499999999999998</v>
      </c>
      <c r="L102" s="1392">
        <v>0.95</v>
      </c>
      <c r="M102" s="1261">
        <f>スコア!Q139</f>
        <v>0</v>
      </c>
      <c r="N102" s="1262">
        <f>IF(M102&gt;=5,$L102,IF(M102&gt;=4,$K102,$J102))</f>
        <v>1</v>
      </c>
      <c r="O102" s="474"/>
      <c r="P102" s="3166"/>
      <c r="Q102" s="1260"/>
    </row>
    <row r="103" spans="2:19">
      <c r="B103" s="1255"/>
      <c r="C103" s="469"/>
      <c r="D103" s="7"/>
      <c r="E103" s="7"/>
      <c r="F103" s="7"/>
      <c r="G103" s="7"/>
      <c r="H103" s="7"/>
      <c r="I103" s="7"/>
      <c r="J103" s="7"/>
      <c r="K103" s="7"/>
      <c r="L103" s="7"/>
      <c r="M103" s="7"/>
      <c r="N103" s="466"/>
      <c r="O103" s="474"/>
      <c r="P103" s="466"/>
      <c r="Q103" s="468"/>
    </row>
    <row r="104" spans="2:19">
      <c r="B104" s="1255"/>
      <c r="C104" s="469"/>
      <c r="D104" s="7"/>
      <c r="E104" s="1884"/>
      <c r="F104" s="7"/>
      <c r="G104" s="3172"/>
      <c r="H104" s="7"/>
      <c r="I104" s="7"/>
      <c r="J104" s="7"/>
      <c r="K104" s="7"/>
      <c r="L104" s="7"/>
      <c r="M104" s="7"/>
      <c r="N104" s="7" t="s">
        <v>1975</v>
      </c>
      <c r="O104" s="7"/>
      <c r="P104" s="1417" t="s">
        <v>1976</v>
      </c>
      <c r="Q104" s="3149"/>
    </row>
    <row r="105" spans="2:19">
      <c r="B105" s="1255"/>
      <c r="C105" s="469"/>
      <c r="D105" s="1884" t="s">
        <v>2567</v>
      </c>
      <c r="E105" s="1884"/>
      <c r="F105" s="1257"/>
      <c r="G105" s="3172"/>
      <c r="H105" s="7"/>
      <c r="I105" s="7"/>
      <c r="J105" s="7"/>
      <c r="K105" s="7"/>
      <c r="L105" s="7"/>
      <c r="M105" s="7"/>
      <c r="N105" s="1391" t="s">
        <v>539</v>
      </c>
      <c r="O105" s="474"/>
      <c r="P105" s="1391" t="s">
        <v>539</v>
      </c>
      <c r="Q105" s="468"/>
    </row>
    <row r="106" spans="2:19">
      <c r="B106" s="1255"/>
      <c r="C106" s="469"/>
      <c r="D106" s="7"/>
      <c r="E106" s="1257" t="s">
        <v>1938</v>
      </c>
      <c r="F106" s="1257"/>
      <c r="G106" s="1257"/>
      <c r="H106" s="1257"/>
      <c r="I106" s="1257"/>
      <c r="J106" s="1257"/>
      <c r="K106" s="1257" t="s">
        <v>1975</v>
      </c>
      <c r="L106" s="1257" t="s">
        <v>1976</v>
      </c>
      <c r="M106" s="7"/>
      <c r="N106" s="1332">
        <f>K107+H108*K108/1000</f>
        <v>623.20000000000005</v>
      </c>
      <c r="O106" s="7"/>
      <c r="P106" s="1332">
        <f>L107+H108*L108/1000</f>
        <v>532.4</v>
      </c>
      <c r="Q106" s="1335"/>
      <c r="S106" s="1345"/>
    </row>
    <row r="107" spans="2:19">
      <c r="B107" s="1255"/>
      <c r="C107" s="469"/>
      <c r="D107" s="7"/>
      <c r="E107" s="1257"/>
      <c r="F107" s="1256"/>
      <c r="G107" s="1256" t="s">
        <v>2799</v>
      </c>
      <c r="H107" s="1332">
        <f>メイン!E67-H108</f>
        <v>400</v>
      </c>
      <c r="I107" s="3173" t="s">
        <v>558</v>
      </c>
      <c r="J107" s="1257"/>
      <c r="K107" s="3210">
        <f>IF(AND(メイン!E68&gt;0,計画書!K60=0,H107&gt;0),S109,K61+K63)</f>
        <v>100</v>
      </c>
      <c r="L107" s="3174">
        <f>K60</f>
        <v>100</v>
      </c>
      <c r="M107" s="1396" t="s">
        <v>539</v>
      </c>
      <c r="N107" s="1334"/>
      <c r="O107" s="7"/>
      <c r="P107" s="1334"/>
      <c r="Q107" s="1335"/>
    </row>
    <row r="108" spans="2:19">
      <c r="B108" s="1255"/>
      <c r="C108" s="469"/>
      <c r="D108" s="7"/>
      <c r="E108" s="1257"/>
      <c r="F108" s="7"/>
      <c r="G108" s="1256" t="s">
        <v>2800</v>
      </c>
      <c r="H108" s="1332">
        <f>IF(H31=S31,0,H32)</f>
        <v>400</v>
      </c>
      <c r="I108" s="3173" t="s">
        <v>558</v>
      </c>
      <c r="J108" s="1257"/>
      <c r="K108" s="3174">
        <f>CO2データ!I238</f>
        <v>1308</v>
      </c>
      <c r="L108" s="3174">
        <f>CO2データ!I239</f>
        <v>1081</v>
      </c>
      <c r="M108" s="3175" t="s">
        <v>2393</v>
      </c>
      <c r="N108" s="7"/>
      <c r="O108" s="474"/>
      <c r="P108" s="466"/>
      <c r="Q108" s="468"/>
    </row>
    <row r="109" spans="2:19">
      <c r="B109" s="1255"/>
      <c r="C109" s="469"/>
      <c r="D109" s="7"/>
      <c r="E109" s="1257" t="s">
        <v>685</v>
      </c>
      <c r="F109" s="7"/>
      <c r="G109" s="1257"/>
      <c r="H109" s="7"/>
      <c r="I109" s="7"/>
      <c r="J109" s="1257"/>
      <c r="K109" s="3176"/>
      <c r="L109" s="1254"/>
      <c r="M109" s="7"/>
      <c r="N109" s="3208">
        <f>IF(AND(メイン!E68&gt;0,計画書!L60=0),計画書!S109,L61+M61+L63)</f>
        <v>50</v>
      </c>
      <c r="O109" s="474"/>
      <c r="P109" s="1332">
        <f>L60+M60</f>
        <v>50</v>
      </c>
      <c r="Q109" s="1335"/>
      <c r="S109" s="3204" t="s">
        <v>177</v>
      </c>
    </row>
    <row r="110" spans="2:19" ht="14.25" thickBot="1">
      <c r="B110" s="1338"/>
      <c r="C110" s="1339"/>
      <c r="D110" s="1339"/>
      <c r="E110" s="1339"/>
      <c r="F110" s="1339"/>
      <c r="G110" s="1339"/>
      <c r="H110" s="1339"/>
      <c r="I110" s="1339"/>
      <c r="J110" s="1339"/>
      <c r="K110" s="1339"/>
      <c r="L110" s="1339"/>
      <c r="M110" s="1339"/>
      <c r="N110" s="1339"/>
      <c r="O110" s="1339"/>
      <c r="P110" s="1339"/>
      <c r="Q110" s="3142"/>
    </row>
    <row r="111" spans="2:19" hidden="1">
      <c r="H111" s="781"/>
    </row>
  </sheetData>
  <sheetProtection algorithmName="SHA-512" hashValue="vnZlmaC5+NzTdxSH/QSFKHpd+DIHGzbpSyvKHv3uBffmKbLC45QaNsN8ZyUhMPDVIZob4s7E2TUYL29CfxUWwg==" saltValue="/cwPbTuoE5vnXJ6VSeHCyA==" spinCount="100000" sheet="1" objects="1" scenarios="1"/>
  <mergeCells count="5">
    <mergeCell ref="F10:P10"/>
    <mergeCell ref="G27:P27"/>
    <mergeCell ref="H31:K31"/>
    <mergeCell ref="G34:P34"/>
    <mergeCell ref="F65:P65"/>
  </mergeCells>
  <phoneticPr fontId="27"/>
  <conditionalFormatting sqref="G22">
    <cfRule type="expression" dxfId="256" priority="3">
      <formula>$H$25&lt;&gt;$S$24</formula>
    </cfRule>
  </conditionalFormatting>
  <conditionalFormatting sqref="H6">
    <cfRule type="expression" dxfId="255" priority="1">
      <formula>$G$12=0</formula>
    </cfRule>
  </conditionalFormatting>
  <conditionalFormatting sqref="H9">
    <cfRule type="expression" dxfId="254" priority="12">
      <formula>$G$13=0</formula>
    </cfRule>
  </conditionalFormatting>
  <conditionalFormatting sqref="H31 F52 L52 K62:L63">
    <cfRule type="expression" dxfId="253" priority="7">
      <formula>$G$48=0</formula>
    </cfRule>
  </conditionalFormatting>
  <conditionalFormatting sqref="H32:H33">
    <cfRule type="expression" dxfId="252" priority="13">
      <formula>$H$31=$S$31</formula>
    </cfRule>
  </conditionalFormatting>
  <conditionalFormatting sqref="H26:K26">
    <cfRule type="expression" dxfId="251" priority="4">
      <formula>$H$25=$S$25</formula>
    </cfRule>
  </conditionalFormatting>
  <conditionalFormatting sqref="H30:K30">
    <cfRule type="expression" dxfId="250" priority="14">
      <formula>$H$29=$S$20</formula>
    </cfRule>
  </conditionalFormatting>
  <conditionalFormatting sqref="J62:J63">
    <cfRule type="expression" dxfId="249" priority="6">
      <formula>$G$43+$G$44=0</formula>
    </cfRule>
  </conditionalFormatting>
  <conditionalFormatting sqref="J63">
    <cfRule type="expression" dxfId="248" priority="9">
      <formula>$J$62=0</formula>
    </cfRule>
  </conditionalFormatting>
  <conditionalFormatting sqref="K63">
    <cfRule type="expression" dxfId="247" priority="8">
      <formula>$K$62=0</formula>
    </cfRule>
  </conditionalFormatting>
  <conditionalFormatting sqref="K60:M61">
    <cfRule type="expression" dxfId="246" priority="5">
      <formula>$G$48=0</formula>
    </cfRule>
  </conditionalFormatting>
  <conditionalFormatting sqref="L63">
    <cfRule type="expression" dxfId="245" priority="10">
      <formula>$L$62=0</formula>
    </cfRule>
  </conditionalFormatting>
  <dataValidations count="5">
    <dataValidation type="list" allowBlank="1" showInputMessage="1" showErrorMessage="1" sqref="H25 H29" xr:uid="{00000000-0002-0000-0A00-000000000000}">
      <formula1>$S$24:$S$25</formula1>
    </dataValidation>
    <dataValidation type="list" allowBlank="1" showInputMessage="1" showErrorMessage="1" sqref="H31:K31" xr:uid="{00000000-0002-0000-0A00-000001000000}">
      <formula1>$S$30:$S$33</formula1>
    </dataValidation>
    <dataValidation type="list" allowBlank="1" showInputMessage="1" showErrorMessage="1" sqref="H9" xr:uid="{00000000-0002-0000-0A00-000002000000}">
      <formula1>$T$6:$T$11</formula1>
    </dataValidation>
    <dataValidation type="list" allowBlank="1" showInputMessage="1" showErrorMessage="1" sqref="L52" xr:uid="{00000000-0002-0000-0A00-000003000000}">
      <formula1>$T$52:$T$54</formula1>
    </dataValidation>
    <dataValidation type="list" allowBlank="1" showInputMessage="1" showErrorMessage="1" sqref="F52" xr:uid="{00000000-0002-0000-0A00-000004000000}">
      <formula1>$S$52:$S$55</formula1>
    </dataValidation>
  </dataValidations>
  <pageMargins left="0.78740157480314965" right="0.78740157480314965" top="0.98425196850393704" bottom="0.98425196850393704" header="0.51181102362204722" footer="0.51181102362204722"/>
  <pageSetup paperSize="9" scale="73" fitToHeight="0" orientation="portrait" r:id="rId1"/>
  <headerFooter alignWithMargins="0">
    <oddHeader>&amp;L&amp;F&amp;R&amp;A</oddHeader>
    <oddFooter>&amp;C&amp;P/&amp;N</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fitToPage="1"/>
  </sheetPr>
  <dimension ref="A1:V440"/>
  <sheetViews>
    <sheetView showGridLines="0" tabSelected="1" topLeftCell="A216" zoomScale="70" zoomScaleNormal="70" workbookViewId="0">
      <selection activeCell="G296" sqref="G296"/>
    </sheetView>
  </sheetViews>
  <sheetFormatPr defaultColWidth="0" defaultRowHeight="13.5" zeroHeight="1"/>
  <cols>
    <col min="1" max="1" width="2.5" customWidth="1"/>
    <col min="2" max="3" width="4.875" hidden="1" customWidth="1"/>
    <col min="4" max="4" width="4.875" style="1231" customWidth="1"/>
    <col min="5" max="5" width="1.5" style="1231" customWidth="1"/>
    <col min="6" max="15" width="10.625" style="1231" customWidth="1"/>
    <col min="16" max="16" width="2.25" customWidth="1"/>
    <col min="17" max="18" width="13.875" hidden="1" customWidth="1"/>
    <col min="19" max="19" width="6.75" hidden="1" customWidth="1"/>
    <col min="20" max="20" width="10.25" hidden="1" customWidth="1"/>
    <col min="21" max="21" width="13" hidden="1" customWidth="1"/>
    <col min="22" max="22" width="11" hidden="1" customWidth="1"/>
    <col min="23" max="16384" width="9" hidden="1"/>
  </cols>
  <sheetData>
    <row r="1" spans="2:15" ht="15.75">
      <c r="D1" s="499"/>
      <c r="E1" s="500"/>
      <c r="F1" s="500"/>
      <c r="G1" s="500"/>
      <c r="H1" s="500"/>
      <c r="I1" s="500"/>
      <c r="J1" s="500"/>
      <c r="K1" s="500"/>
      <c r="L1" s="782" t="s">
        <v>2243</v>
      </c>
      <c r="M1" s="502" t="str">
        <f>メイン!C11</f>
        <v>○○ビル</v>
      </c>
      <c r="N1" s="502"/>
      <c r="O1" s="783"/>
    </row>
    <row r="2" spans="2:15" ht="15.75" hidden="1">
      <c r="D2" s="499"/>
      <c r="E2" s="500"/>
      <c r="F2">
        <v>1</v>
      </c>
      <c r="G2" t="s">
        <v>939</v>
      </c>
      <c r="H2" t="s">
        <v>940</v>
      </c>
      <c r="I2" s="500"/>
      <c r="J2" s="500"/>
      <c r="K2" s="500"/>
      <c r="L2" s="2082"/>
      <c r="M2" s="444"/>
      <c r="N2" s="444"/>
      <c r="O2" s="500"/>
    </row>
    <row r="3" spans="2:15" ht="15.75" hidden="1">
      <c r="D3" s="499"/>
      <c r="E3" s="500"/>
      <c r="F3">
        <v>2</v>
      </c>
      <c r="G3" t="s">
        <v>1099</v>
      </c>
      <c r="H3" t="s">
        <v>1100</v>
      </c>
      <c r="I3" s="500"/>
      <c r="J3" s="500"/>
      <c r="K3" t="s">
        <v>1098</v>
      </c>
      <c r="L3" t="s">
        <v>1123</v>
      </c>
      <c r="M3" t="s">
        <v>2146</v>
      </c>
      <c r="N3" t="s">
        <v>2704</v>
      </c>
      <c r="O3" t="str">
        <f>メイン!I37</f>
        <v>基本設計段階</v>
      </c>
    </row>
    <row r="4" spans="2:15" ht="15.75" hidden="1">
      <c r="D4" s="499"/>
      <c r="E4" s="500"/>
      <c r="F4">
        <v>3</v>
      </c>
      <c r="G4" t="s">
        <v>1105</v>
      </c>
      <c r="H4" t="s">
        <v>1106</v>
      </c>
      <c r="I4" s="500"/>
      <c r="J4" s="500"/>
      <c r="K4" s="500"/>
      <c r="L4"/>
      <c r="M4"/>
      <c r="N4" t="s">
        <v>2710</v>
      </c>
      <c r="O4" t="str">
        <f>メイン!I38</f>
        <v>実施設計段階</v>
      </c>
    </row>
    <row r="5" spans="2:15" ht="15.75" hidden="1">
      <c r="D5" s="499"/>
      <c r="E5" s="500"/>
      <c r="F5">
        <v>4</v>
      </c>
      <c r="G5" t="s">
        <v>1001</v>
      </c>
      <c r="H5" t="s">
        <v>1002</v>
      </c>
      <c r="I5" s="500"/>
      <c r="J5" s="500"/>
      <c r="K5" s="500"/>
      <c r="L5"/>
      <c r="M5"/>
      <c r="N5"/>
      <c r="O5" t="str">
        <f>メイン!I39</f>
        <v>竣工段階</v>
      </c>
    </row>
    <row r="6" spans="2:15" ht="15.75" hidden="1">
      <c r="D6" s="499"/>
      <c r="E6" s="500"/>
      <c r="F6">
        <v>5</v>
      </c>
      <c r="G6" t="s">
        <v>1008</v>
      </c>
      <c r="H6" t="s">
        <v>1009</v>
      </c>
      <c r="I6" s="500"/>
      <c r="J6" s="500"/>
      <c r="K6" s="500"/>
      <c r="L6"/>
      <c r="M6" t="s">
        <v>937</v>
      </c>
      <c r="N6"/>
      <c r="O6"/>
    </row>
    <row r="7" spans="2:15" ht="15.75" hidden="1">
      <c r="D7" s="499"/>
      <c r="E7" s="500"/>
      <c r="F7">
        <v>0</v>
      </c>
      <c r="G7" t="s">
        <v>941</v>
      </c>
      <c r="H7" t="s">
        <v>941</v>
      </c>
      <c r="I7" s="500"/>
      <c r="J7" s="500"/>
      <c r="K7" s="500"/>
      <c r="L7"/>
      <c r="M7" t="s">
        <v>938</v>
      </c>
      <c r="N7"/>
      <c r="O7"/>
    </row>
    <row r="8" spans="2:15" ht="16.5" thickBot="1">
      <c r="D8" s="499"/>
      <c r="E8" s="500"/>
      <c r="F8" s="500"/>
      <c r="G8" s="500"/>
      <c r="H8" s="500"/>
      <c r="I8" s="500"/>
      <c r="J8" s="500"/>
      <c r="K8" s="500"/>
      <c r="L8" s="784"/>
      <c r="M8" s="500"/>
      <c r="N8" s="500"/>
      <c r="O8" s="500"/>
    </row>
    <row r="9" spans="2:15" ht="18.75" thickBot="1">
      <c r="D9" s="785" t="s">
        <v>462</v>
      </c>
      <c r="E9" s="404"/>
      <c r="F9" s="404"/>
      <c r="G9" s="404"/>
      <c r="H9" s="500"/>
      <c r="I9" s="505"/>
      <c r="J9" s="506" t="str">
        <f>採点Q1!J9</f>
        <v>色欄について、プルダウンメニューから選択、または数値・コメント※を記入。</v>
      </c>
      <c r="K9" s="63"/>
      <c r="L9" s="736"/>
      <c r="M9" s="404"/>
      <c r="N9" s="404"/>
      <c r="O9" s="507" t="str">
        <f>IF(メイン!E39=0,"",メイン!E39)</f>
        <v>実施設計段階</v>
      </c>
    </row>
    <row r="10" spans="2:15" ht="15.75">
      <c r="D10" s="503"/>
      <c r="E10" s="404"/>
      <c r="F10" s="404"/>
      <c r="G10" s="404"/>
      <c r="H10" s="404"/>
      <c r="I10" s="404"/>
      <c r="J10" s="2257" t="str">
        <f>採点Q1!J10</f>
        <v>※環境配慮の概要は最長30字程度。レベル３を超える場合は必ず記入する。</v>
      </c>
      <c r="K10" s="404"/>
      <c r="L10" s="786"/>
      <c r="M10" s="404"/>
      <c r="N10" s="404"/>
      <c r="O10" s="404"/>
    </row>
    <row r="11" spans="2:15" ht="13.5" customHeight="1">
      <c r="D11" s="499">
        <v>1</v>
      </c>
      <c r="E11" s="508" t="s">
        <v>463</v>
      </c>
      <c r="F11" s="508"/>
      <c r="G11" s="508"/>
      <c r="H11" s="509"/>
      <c r="I11" s="509"/>
      <c r="J11" s="509"/>
      <c r="K11" s="509"/>
      <c r="L11" s="787"/>
      <c r="M11" s="509"/>
      <c r="N11" s="509"/>
      <c r="O11" s="509"/>
    </row>
    <row r="12" spans="2:15" ht="13.5" customHeight="1">
      <c r="D12" s="499">
        <v>1.1000000000000001</v>
      </c>
      <c r="E12" s="508" t="s">
        <v>684</v>
      </c>
      <c r="F12" s="1233"/>
      <c r="G12" s="508"/>
      <c r="H12" s="509"/>
      <c r="I12" s="509"/>
      <c r="J12" t="str">
        <f>IF(OR(F14=0,J13=0),$L$3,"")</f>
        <v/>
      </c>
      <c r="K12" s="509"/>
      <c r="L12" s="787"/>
      <c r="M12" s="509"/>
      <c r="N12" s="509"/>
      <c r="O12" s="509"/>
    </row>
    <row r="13" spans="2:15" ht="13.5" customHeight="1" thickBot="1">
      <c r="D13" s="788"/>
      <c r="E13" s="788"/>
      <c r="F13" s="630"/>
      <c r="G13" s="516"/>
      <c r="H13" s="517"/>
      <c r="I13" s="518" t="s">
        <v>1126</v>
      </c>
      <c r="J13" s="519">
        <f>重み!M147</f>
        <v>0.4</v>
      </c>
      <c r="K13" s="631"/>
      <c r="L13" s="633"/>
      <c r="N13" s="509"/>
      <c r="O13" s="509"/>
    </row>
    <row r="14" spans="2:15" ht="27" customHeight="1" thickBot="1">
      <c r="D14" s="503"/>
      <c r="E14" s="510"/>
      <c r="F14" s="522">
        <v>3</v>
      </c>
      <c r="G14" s="618" t="s">
        <v>464</v>
      </c>
      <c r="H14" s="527"/>
      <c r="I14" s="527"/>
      <c r="J14" s="527"/>
      <c r="K14" s="527"/>
      <c r="L14" s="721"/>
      <c r="M14" s="509"/>
      <c r="N14" s="509"/>
      <c r="O14" s="509"/>
    </row>
    <row r="15" spans="2:15" ht="21" customHeight="1">
      <c r="B15" s="1">
        <v>1</v>
      </c>
      <c r="D15" s="503"/>
      <c r="E15" s="510"/>
      <c r="F15" s="529" t="str">
        <f>IF(F14=$F$7,$G$2,IF(ROUNDDOWN(F14,0)=$F$2,$H$2,$G$2))</f>
        <v>　レベル　1</v>
      </c>
      <c r="G15" s="531" t="s">
        <v>674</v>
      </c>
      <c r="H15" s="532"/>
      <c r="I15" s="532"/>
      <c r="J15" s="532"/>
      <c r="K15" s="532"/>
      <c r="L15" s="789"/>
      <c r="M15" s="509"/>
      <c r="N15" s="509"/>
      <c r="O15" s="509"/>
    </row>
    <row r="16" spans="2:15" ht="21" customHeight="1">
      <c r="B16" s="1" t="s">
        <v>177</v>
      </c>
      <c r="D16" s="503"/>
      <c r="E16" s="510"/>
      <c r="F16" s="534" t="str">
        <f>IF(F14=$F$7,$G$3,IF(ROUNDDOWN(F14,0)=$F$3,$H$3,$G$3))</f>
        <v>　レベル　2</v>
      </c>
      <c r="G16" s="537" t="s">
        <v>1794</v>
      </c>
      <c r="H16" s="538"/>
      <c r="I16" s="538"/>
      <c r="J16" s="538"/>
      <c r="K16" s="538"/>
      <c r="L16" s="790"/>
      <c r="M16" s="509"/>
      <c r="N16" s="509"/>
      <c r="O16" s="509"/>
    </row>
    <row r="17" spans="2:17" ht="21" customHeight="1">
      <c r="B17" s="1">
        <v>3</v>
      </c>
      <c r="D17" s="503"/>
      <c r="E17" s="510"/>
      <c r="F17" s="534" t="str">
        <f>IF(F14=$F$7,$G$4,IF(ROUNDDOWN(F14,0)=$F$4,$H$4,$G$4))</f>
        <v>■レベル　3</v>
      </c>
      <c r="G17" s="537" t="s">
        <v>465</v>
      </c>
      <c r="H17" s="538"/>
      <c r="I17" s="538"/>
      <c r="J17" s="538"/>
      <c r="K17" s="538"/>
      <c r="L17" s="791"/>
      <c r="M17" s="509"/>
      <c r="N17" s="509"/>
      <c r="O17" s="509"/>
    </row>
    <row r="18" spans="2:17" ht="21" customHeight="1">
      <c r="B18" s="1">
        <v>4</v>
      </c>
      <c r="D18" s="503"/>
      <c r="E18" s="510"/>
      <c r="F18" s="534" t="str">
        <f>IF(F14=$F$7,$G$5,IF(ROUNDDOWN(F14,0)=$F$5,$H$5,$G$5))</f>
        <v>　レベル　4</v>
      </c>
      <c r="G18" s="537" t="s">
        <v>675</v>
      </c>
      <c r="H18" s="538"/>
      <c r="I18" s="538"/>
      <c r="J18" s="538"/>
      <c r="K18" s="538"/>
      <c r="L18" s="791"/>
      <c r="M18" s="509"/>
      <c r="N18" s="509"/>
      <c r="O18" s="509"/>
    </row>
    <row r="19" spans="2:17" ht="21" customHeight="1">
      <c r="B19" s="1" t="s">
        <v>177</v>
      </c>
      <c r="D19" s="503"/>
      <c r="E19" s="510"/>
      <c r="F19" s="544" t="str">
        <f>IF(F14=$F$7,$G$6,IF(ROUNDDOWN(F14,0)=$F$6,$H$6,$G$6))</f>
        <v>　レベル　5</v>
      </c>
      <c r="G19" s="548" t="s">
        <v>1794</v>
      </c>
      <c r="H19" s="549"/>
      <c r="I19" s="549"/>
      <c r="J19" s="549"/>
      <c r="K19" s="549"/>
      <c r="L19" s="792"/>
      <c r="M19" s="509"/>
      <c r="N19" s="509"/>
      <c r="O19" s="509"/>
    </row>
    <row r="20" spans="2:17" ht="14.25" customHeight="1">
      <c r="B20" s="551">
        <v>0</v>
      </c>
      <c r="D20" s="503"/>
      <c r="E20" s="510"/>
      <c r="F20" s="839" t="s">
        <v>2938</v>
      </c>
      <c r="G20" s="1941"/>
      <c r="H20" s="1917"/>
      <c r="I20" s="1915"/>
      <c r="J20" s="1916"/>
      <c r="K20" s="2094" t="s">
        <v>3287</v>
      </c>
      <c r="N20" s="500"/>
      <c r="O20" s="500"/>
    </row>
    <row r="21" spans="2:17" ht="14.25" customHeight="1">
      <c r="D21"/>
      <c r="E21"/>
      <c r="F21"/>
      <c r="G21"/>
      <c r="H21"/>
      <c r="I21"/>
      <c r="J21"/>
      <c r="K21"/>
      <c r="L21"/>
      <c r="M21"/>
      <c r="N21"/>
      <c r="O21"/>
    </row>
    <row r="22" spans="2:17" ht="14.25" customHeight="1">
      <c r="D22" s="499">
        <v>1.2</v>
      </c>
      <c r="E22" s="508" t="s">
        <v>466</v>
      </c>
      <c r="F22" s="508"/>
      <c r="G22" s="509"/>
      <c r="H22" s="512"/>
      <c r="I22" s="509"/>
      <c r="J22" s="509"/>
      <c r="K22" s="509"/>
      <c r="L22" s="509"/>
      <c r="M22" s="509"/>
      <c r="N22" s="509"/>
      <c r="O22" s="509"/>
    </row>
    <row r="23" spans="2:17" ht="14.25" customHeight="1">
      <c r="D23" s="499"/>
      <c r="E23" s="508"/>
      <c r="F23" s="629" t="s">
        <v>676</v>
      </c>
      <c r="G23" s="509"/>
      <c r="H23" s="512"/>
      <c r="I23"/>
      <c r="J23" t="str">
        <f>IF(OR(F25=0,J24=0),$L$3,"")</f>
        <v/>
      </c>
      <c r="K23" s="629" t="s">
        <v>467</v>
      </c>
      <c r="L23" s="795"/>
      <c r="M23" s="509"/>
      <c r="N23"/>
      <c r="O23" t="str">
        <f>IF(OR(K25=0,O24=0),$L$3,"")</f>
        <v/>
      </c>
    </row>
    <row r="24" spans="2:17" ht="14.25" customHeight="1" thickBot="1">
      <c r="B24" t="s">
        <v>942</v>
      </c>
      <c r="C24" t="s">
        <v>943</v>
      </c>
      <c r="D24" s="503"/>
      <c r="E24" s="510"/>
      <c r="F24" s="515"/>
      <c r="G24" s="516"/>
      <c r="H24" s="517"/>
      <c r="I24" s="518" t="s">
        <v>1126</v>
      </c>
      <c r="J24" s="521">
        <f>重み!M149</f>
        <v>0.89999999999999991</v>
      </c>
      <c r="K24" s="515"/>
      <c r="L24" s="516"/>
      <c r="M24" s="517"/>
      <c r="N24" s="518" t="s">
        <v>1126</v>
      </c>
      <c r="O24" s="521">
        <f>重み!M150</f>
        <v>9.9999999999999992E-2</v>
      </c>
    </row>
    <row r="25" spans="2:17" ht="27" customHeight="1" thickBot="1">
      <c r="B25" s="714" t="s">
        <v>468</v>
      </c>
      <c r="C25" s="714"/>
      <c r="D25" s="503"/>
      <c r="E25" s="510"/>
      <c r="F25" s="522">
        <v>3</v>
      </c>
      <c r="G25" s="526" t="s">
        <v>407</v>
      </c>
      <c r="H25" s="527"/>
      <c r="I25" s="527"/>
      <c r="J25" s="796"/>
      <c r="K25" s="522">
        <v>3</v>
      </c>
      <c r="L25" s="618" t="s">
        <v>2070</v>
      </c>
      <c r="M25" s="527"/>
      <c r="N25" s="527"/>
      <c r="O25" s="528"/>
    </row>
    <row r="26" spans="2:17" ht="21" customHeight="1">
      <c r="B26" s="1" t="s">
        <v>177</v>
      </c>
      <c r="C26" s="1" t="s">
        <v>177</v>
      </c>
      <c r="D26" s="503"/>
      <c r="E26" s="510"/>
      <c r="F26" s="529" t="str">
        <f>IF(F25=$F$7,$G$2,IF(ROUNDDOWN(F25,0)=$F$2,$H$2,$G$2))</f>
        <v>　レベル　1</v>
      </c>
      <c r="G26" s="532" t="s">
        <v>1794</v>
      </c>
      <c r="H26" s="532"/>
      <c r="I26" s="532"/>
      <c r="J26" s="533"/>
      <c r="K26" s="529" t="str">
        <f>IF(K25=$F$7,$G$2,IF(ROUNDDOWN(K25,0)=$F$2,$H$2,$G$2))</f>
        <v>　レベル　1</v>
      </c>
      <c r="L26" s="531" t="s">
        <v>1794</v>
      </c>
      <c r="M26" s="532"/>
      <c r="N26" s="532"/>
      <c r="O26" s="533"/>
    </row>
    <row r="27" spans="2:17" ht="21" customHeight="1">
      <c r="B27" s="1" t="s">
        <v>177</v>
      </c>
      <c r="C27" s="1" t="s">
        <v>177</v>
      </c>
      <c r="D27" s="503"/>
      <c r="E27" s="510"/>
      <c r="F27" s="534" t="str">
        <f>IF(F25=$F$7,$G$3,IF(ROUNDDOWN(F25,0)=$F$3,$H$3,$G$3))</f>
        <v>　レベル　2</v>
      </c>
      <c r="G27" s="537" t="s">
        <v>1794</v>
      </c>
      <c r="H27" s="538"/>
      <c r="I27" s="538"/>
      <c r="J27" s="539"/>
      <c r="K27" s="534" t="str">
        <f>IF(K25=$F$7,$G$3,IF(ROUNDDOWN(K25,0)=$F$3,$H$3,$G$3))</f>
        <v>　レベル　2</v>
      </c>
      <c r="L27" s="537" t="s">
        <v>1794</v>
      </c>
      <c r="M27" s="538"/>
      <c r="N27" s="538"/>
      <c r="O27" s="539"/>
    </row>
    <row r="28" spans="2:17" ht="21" customHeight="1">
      <c r="B28" s="1">
        <v>3</v>
      </c>
      <c r="C28" s="1">
        <v>3</v>
      </c>
      <c r="D28" s="503"/>
      <c r="E28" s="510"/>
      <c r="F28" s="534" t="str">
        <f>IF(F25=$F$7,$G$4,IF(ROUNDDOWN(F25,0)=$F$4,$H$4,$G$4))</f>
        <v>■レベル　3</v>
      </c>
      <c r="G28" s="537" t="s">
        <v>677</v>
      </c>
      <c r="H28" s="538"/>
      <c r="I28" s="538"/>
      <c r="J28" s="539"/>
      <c r="K28" s="534" t="str">
        <f>IF(K25=$F$7,$G$4,IF(ROUNDDOWN(K25,0)=$F$4,$H$4,$G$4))</f>
        <v>■レベル　3</v>
      </c>
      <c r="L28" s="537" t="s">
        <v>1448</v>
      </c>
      <c r="M28" s="538"/>
      <c r="N28" s="538"/>
      <c r="O28" s="539"/>
    </row>
    <row r="29" spans="2:17" ht="21" customHeight="1">
      <c r="B29" s="1">
        <v>4</v>
      </c>
      <c r="C29" s="1">
        <v>4</v>
      </c>
      <c r="D29" s="503"/>
      <c r="E29" s="510"/>
      <c r="F29" s="534" t="str">
        <f>IF(F25=$F$7,$G$5,IF(ROUNDDOWN(F25,0)=$F$5,$H$5,$G$5))</f>
        <v>　レベル　4</v>
      </c>
      <c r="G29" s="537" t="s">
        <v>678</v>
      </c>
      <c r="H29" s="538"/>
      <c r="I29" s="538"/>
      <c r="J29" s="539"/>
      <c r="K29" s="534" t="str">
        <f>IF(K25=$F$7,$G$5,IF(ROUNDDOWN(K25,0)=$F$5,$H$5,$G$5))</f>
        <v>　レベル　4</v>
      </c>
      <c r="L29" s="537" t="s">
        <v>1449</v>
      </c>
      <c r="M29" s="538"/>
      <c r="N29" s="538"/>
      <c r="O29" s="539"/>
      <c r="Q29" s="1949"/>
    </row>
    <row r="30" spans="2:17" ht="21" customHeight="1">
      <c r="B30" s="1">
        <v>5</v>
      </c>
      <c r="C30" s="1">
        <v>5</v>
      </c>
      <c r="D30" s="503"/>
      <c r="E30" s="510"/>
      <c r="F30" s="544" t="str">
        <f>IF(F25=$F$7,$G$6,IF(ROUNDDOWN(F25,0)=$F$6,$H$6,$G$6))</f>
        <v>　レベル　5</v>
      </c>
      <c r="G30" s="548" t="s">
        <v>679</v>
      </c>
      <c r="H30" s="549"/>
      <c r="I30" s="549"/>
      <c r="J30" s="550"/>
      <c r="K30" s="544" t="str">
        <f>IF(K25=$F$7,$G$6,IF(ROUNDDOWN(K25,0)=$F$6,$H$6,$G$6))</f>
        <v>　レベル　5</v>
      </c>
      <c r="L30" s="548" t="s">
        <v>1450</v>
      </c>
      <c r="M30" s="549"/>
      <c r="N30" s="549"/>
      <c r="O30" s="550"/>
      <c r="Q30" s="1949"/>
    </row>
    <row r="31" spans="2:17" ht="15.75">
      <c r="B31" s="551">
        <v>0</v>
      </c>
      <c r="C31" s="551">
        <v>0</v>
      </c>
      <c r="D31" s="503"/>
      <c r="E31" s="510"/>
      <c r="F31" s="839" t="s">
        <v>2938</v>
      </c>
      <c r="G31" s="1941"/>
      <c r="H31" s="1917"/>
      <c r="I31" s="1915"/>
      <c r="J31" s="1916"/>
      <c r="K31" s="839" t="s">
        <v>2938</v>
      </c>
      <c r="L31" s="1941"/>
      <c r="M31" s="1930"/>
      <c r="N31" s="820"/>
      <c r="O31" s="1916"/>
      <c r="Q31" s="794"/>
    </row>
    <row r="32" spans="2:17" ht="15.75">
      <c r="D32" s="503"/>
      <c r="E32" s="510"/>
      <c r="F32" s="1977" t="s">
        <v>2932</v>
      </c>
      <c r="G32" s="2074"/>
      <c r="K32" s="1977" t="s">
        <v>2940</v>
      </c>
      <c r="L32" s="2237" t="s">
        <v>2804</v>
      </c>
      <c r="M32" s="2238" t="s">
        <v>2943</v>
      </c>
      <c r="N32" s="2259"/>
      <c r="O32" s="2261" t="s">
        <v>3315</v>
      </c>
    </row>
    <row r="33" spans="2:15" ht="15.75">
      <c r="D33" s="503"/>
      <c r="E33" s="510"/>
      <c r="F33" s="1977"/>
      <c r="G33" s="2077" t="s">
        <v>3098</v>
      </c>
      <c r="H33" s="797" t="s">
        <v>3104</v>
      </c>
      <c r="I33" s="797"/>
      <c r="J33"/>
      <c r="K33" s="1927" t="s">
        <v>2856</v>
      </c>
      <c r="L33" s="2273" t="str">
        <f>IF(COUNTIF(L34:L36,M3)&gt;0,M3,"-")</f>
        <v>-</v>
      </c>
      <c r="M33" s="605" t="s">
        <v>3311</v>
      </c>
      <c r="N33" s="2259"/>
      <c r="O33" s="2267"/>
    </row>
    <row r="34" spans="2:15" ht="15.75">
      <c r="D34" s="503"/>
      <c r="E34" s="510"/>
      <c r="F34" s="793"/>
      <c r="G34" s="2077"/>
      <c r="H34" s="2265"/>
      <c r="I34" s="2265"/>
      <c r="J34" s="2078" t="s">
        <v>3105</v>
      </c>
      <c r="K34" s="1927" t="s">
        <v>2857</v>
      </c>
      <c r="L34" s="2069"/>
      <c r="M34" s="560" t="s">
        <v>3316</v>
      </c>
      <c r="N34" s="2266"/>
      <c r="O34" s="2268"/>
    </row>
    <row r="35" spans="2:15" ht="15.75">
      <c r="D35" s="503"/>
      <c r="E35" s="510"/>
      <c r="F35" s="793"/>
      <c r="G35"/>
      <c r="H35"/>
      <c r="I35"/>
      <c r="J35"/>
      <c r="K35" s="1927" t="s">
        <v>2858</v>
      </c>
      <c r="L35" s="1922"/>
      <c r="M35" s="2239" t="s">
        <v>3317</v>
      </c>
      <c r="N35" s="712"/>
      <c r="O35" s="2272" t="s">
        <v>3312</v>
      </c>
    </row>
    <row r="36" spans="2:15" ht="15.75">
      <c r="D36" s="503"/>
      <c r="E36" s="510"/>
      <c r="F36" s="793"/>
      <c r="G36" s="2077"/>
      <c r="H36" s="2265"/>
      <c r="I36" s="2265"/>
      <c r="J36"/>
      <c r="K36" s="1927" t="s">
        <v>2859</v>
      </c>
      <c r="L36" s="2271"/>
      <c r="M36" s="569" t="s">
        <v>3317</v>
      </c>
      <c r="N36" s="1451"/>
      <c r="O36" s="2278" t="s">
        <v>3300</v>
      </c>
    </row>
    <row r="37" spans="2:15" ht="15.75">
      <c r="D37" s="503"/>
      <c r="E37" s="510"/>
      <c r="F37" s="794"/>
      <c r="G37"/>
      <c r="H37"/>
      <c r="I37"/>
      <c r="J37"/>
      <c r="K37" s="1927" t="s">
        <v>2860</v>
      </c>
      <c r="L37" s="2276"/>
      <c r="M37" s="605" t="s">
        <v>3313</v>
      </c>
      <c r="N37" s="2259"/>
      <c r="O37" s="2269"/>
    </row>
    <row r="38" spans="2:15" ht="15.75">
      <c r="D38" s="503"/>
      <c r="E38" s="510"/>
      <c r="F38" s="500"/>
      <c r="G38" s="794"/>
      <c r="H38" s="798"/>
      <c r="I38" s="794"/>
      <c r="J38" s="794"/>
      <c r="K38" s="1927" t="s">
        <v>2861</v>
      </c>
      <c r="L38" s="2273" t="str">
        <f>IF(COUNTIF(L39:L40,M3)&gt;0,M3,"-")</f>
        <v>-</v>
      </c>
      <c r="M38" s="605" t="s">
        <v>3314</v>
      </c>
      <c r="N38" s="2259"/>
      <c r="O38" s="2269"/>
    </row>
    <row r="39" spans="2:15" ht="15.75">
      <c r="D39" s="503"/>
      <c r="E39" s="510"/>
      <c r="F39" s="500"/>
      <c r="G39" s="794"/>
      <c r="H39" s="798"/>
      <c r="I39" s="794"/>
      <c r="J39" s="794"/>
      <c r="K39" s="1927" t="s">
        <v>2862</v>
      </c>
      <c r="L39" s="2274"/>
      <c r="M39" s="2258" t="s">
        <v>3318</v>
      </c>
      <c r="N39" s="732"/>
      <c r="O39" s="2277" t="s">
        <v>3300</v>
      </c>
    </row>
    <row r="40" spans="2:15">
      <c r="D40"/>
      <c r="E40"/>
      <c r="F40"/>
      <c r="G40"/>
      <c r="H40"/>
      <c r="I40"/>
      <c r="J40"/>
      <c r="K40" s="1927" t="s">
        <v>2863</v>
      </c>
      <c r="L40" s="2275"/>
      <c r="M40" s="564" t="s">
        <v>3319</v>
      </c>
      <c r="N40" s="2260"/>
      <c r="O40" s="2270"/>
    </row>
    <row r="41" spans="2:15" ht="14.25" customHeight="1">
      <c r="D41" s="499">
        <v>2</v>
      </c>
      <c r="E41" s="508" t="s">
        <v>1056</v>
      </c>
      <c r="F41" s="509"/>
      <c r="G41" s="509"/>
      <c r="H41" s="509"/>
      <c r="I41" s="509"/>
      <c r="J41" s="509"/>
      <c r="K41" s="509"/>
      <c r="L41" s="787"/>
      <c r="M41" s="509"/>
      <c r="N41" s="509"/>
      <c r="O41" s="509"/>
    </row>
    <row r="42" spans="2:15" ht="14.25" customHeight="1">
      <c r="D42" s="503">
        <v>2.1</v>
      </c>
      <c r="E42" s="508" t="s">
        <v>1057</v>
      </c>
      <c r="F42" s="509"/>
      <c r="G42" s="509"/>
      <c r="H42"/>
      <c r="I42"/>
      <c r="J42" t="str">
        <f>IF(OR(F44=0,J43=0),$L$3,"")</f>
        <v/>
      </c>
      <c r="K42"/>
      <c r="L42"/>
      <c r="M42"/>
      <c r="N42"/>
      <c r="O42"/>
    </row>
    <row r="43" spans="2:15" ht="14.25" customHeight="1" thickBot="1">
      <c r="C43" t="s">
        <v>1092</v>
      </c>
      <c r="D43" s="788"/>
      <c r="E43" s="788"/>
      <c r="F43" s="630"/>
      <c r="G43" s="516"/>
      <c r="H43" s="517"/>
      <c r="I43" s="518" t="s">
        <v>1126</v>
      </c>
      <c r="J43" s="519">
        <f>重み!M152</f>
        <v>0.1</v>
      </c>
      <c r="K43" s="517"/>
      <c r="L43" s="631"/>
      <c r="M43" s="631"/>
      <c r="N43" s="631"/>
      <c r="O43" s="633"/>
    </row>
    <row r="44" spans="2:15" ht="27" customHeight="1" thickBot="1">
      <c r="B44" t="s">
        <v>2967</v>
      </c>
      <c r="C44" s="714">
        <v>0</v>
      </c>
      <c r="D44" s="503"/>
      <c r="E44" s="50"/>
      <c r="F44" s="1899">
        <f>G52</f>
        <v>2</v>
      </c>
      <c r="G44" s="618" t="s">
        <v>680</v>
      </c>
      <c r="H44" s="528"/>
      <c r="I44" s="618"/>
      <c r="J44" s="623"/>
      <c r="K44" s="618" t="s">
        <v>1089</v>
      </c>
      <c r="L44" s="528"/>
      <c r="M44" s="1248">
        <v>0</v>
      </c>
      <c r="N44" s="686" t="s">
        <v>1773</v>
      </c>
      <c r="O44" s="799"/>
    </row>
    <row r="45" spans="2:15" ht="21" customHeight="1">
      <c r="B45">
        <v>0</v>
      </c>
      <c r="C45" s="1" t="s">
        <v>2377</v>
      </c>
      <c r="D45" s="503"/>
      <c r="E45" s="50"/>
      <c r="F45" s="529" t="str">
        <f>IF(F44=$F$7,$G$2,IF(ROUNDDOWN(F44,0)=$F$2,$H$2,$G$2))</f>
        <v>　レベル　1</v>
      </c>
      <c r="G45" s="3322" t="s">
        <v>1794</v>
      </c>
      <c r="H45" s="3636"/>
      <c r="I45" s="3636"/>
      <c r="J45" s="3637"/>
      <c r="K45" s="3400" t="s">
        <v>581</v>
      </c>
      <c r="L45" s="3624"/>
      <c r="M45" s="683" t="str">
        <f>IF(M44=$F$7,$G$2,IF(ROUNDDOWN(M44,0)=$F$2,$H$2,$G$2))</f>
        <v>　レベル　1</v>
      </c>
      <c r="N45" s="800" t="s">
        <v>681</v>
      </c>
      <c r="O45" s="801"/>
    </row>
    <row r="46" spans="2:15" ht="39.75" customHeight="1">
      <c r="B46">
        <v>0</v>
      </c>
      <c r="C46" s="1" t="s">
        <v>944</v>
      </c>
      <c r="D46" s="503"/>
      <c r="E46" s="50"/>
      <c r="F46" s="534" t="str">
        <f>IF(F44=$F$7,$G$3,IF(ROUNDDOWN(F44,0)=$F$3,$H$3,$G$3))</f>
        <v>■レベル　2</v>
      </c>
      <c r="G46" s="3346" t="s">
        <v>582</v>
      </c>
      <c r="H46" s="3638"/>
      <c r="I46" s="3638"/>
      <c r="J46" s="3639"/>
      <c r="K46" s="3625"/>
      <c r="L46" s="3626"/>
      <c r="M46" s="684" t="str">
        <f>IF(M44=$F$7,$G$3,IF(ROUNDDOWN(M44,0)=$F$3,$H$3,$G$3))</f>
        <v>　レベル　2</v>
      </c>
      <c r="N46" s="802" t="s">
        <v>681</v>
      </c>
      <c r="O46" s="803"/>
    </row>
    <row r="47" spans="2:15" ht="39.75" customHeight="1">
      <c r="B47">
        <v>1</v>
      </c>
      <c r="C47" s="1">
        <v>3</v>
      </c>
      <c r="D47" s="503"/>
      <c r="E47" s="50"/>
      <c r="F47" s="534" t="str">
        <f>IF(F44=$F$7,$G$4,IF(ROUNDDOWN(F44,0)=$F$4,$H$4,$G$4))</f>
        <v>　レベル　3</v>
      </c>
      <c r="G47" s="3346" t="s">
        <v>583</v>
      </c>
      <c r="H47" s="3638"/>
      <c r="I47" s="3638"/>
      <c r="J47" s="3639"/>
      <c r="K47" s="3625"/>
      <c r="L47" s="3626"/>
      <c r="M47" s="684" t="str">
        <f>IF(M44=$F$7,$G$4,IF(ROUNDDOWN(M44,0)=$F$4,$H$4,$G$4))</f>
        <v>　レベル　3</v>
      </c>
      <c r="N47" s="3397" t="s">
        <v>469</v>
      </c>
      <c r="O47" s="3629"/>
    </row>
    <row r="48" spans="2:15" ht="44.25" customHeight="1">
      <c r="B48">
        <v>3</v>
      </c>
      <c r="C48" s="1" t="s">
        <v>945</v>
      </c>
      <c r="D48" s="503"/>
      <c r="E48" s="50"/>
      <c r="F48" s="534" t="str">
        <f>IF(F44=$F$7,$G$5,IF(ROUNDDOWN(F44,0)=$F$5,$H$5,$G$5))</f>
        <v>　レベル　4</v>
      </c>
      <c r="G48" s="3346" t="s">
        <v>470</v>
      </c>
      <c r="H48" s="3638"/>
      <c r="I48" s="3638"/>
      <c r="J48" s="3639"/>
      <c r="K48" s="3625"/>
      <c r="L48" s="3626"/>
      <c r="M48" s="684" t="str">
        <f>IF(M44=$F$7,$G$5,IF(ROUNDDOWN(M44,0)=$F$5,$H$5,$G$5))</f>
        <v>　レベル　4</v>
      </c>
      <c r="N48" s="802" t="s">
        <v>682</v>
      </c>
      <c r="O48" s="803"/>
    </row>
    <row r="49" spans="2:15" ht="43.5" customHeight="1">
      <c r="B49">
        <v>5</v>
      </c>
      <c r="C49" s="1">
        <v>5</v>
      </c>
      <c r="D49" s="503"/>
      <c r="E49" s="50"/>
      <c r="F49" s="544" t="str">
        <f>IF(F44=$F$7,$G$6,IF(ROUNDDOWN(F44,0)=$F$6,$H$6,$G$6))</f>
        <v>　レベル　5</v>
      </c>
      <c r="G49" s="3347" t="s">
        <v>471</v>
      </c>
      <c r="H49" s="3634"/>
      <c r="I49" s="3634"/>
      <c r="J49" s="3635"/>
      <c r="K49" s="3627"/>
      <c r="L49" s="3628"/>
      <c r="M49" s="685" t="str">
        <f>IF(M44=$F$7,$G$6,IF(ROUNDDOWN(M44,0)=$F$6,$H$6,$G$6))</f>
        <v>　レベル　5</v>
      </c>
      <c r="N49" s="3404" t="s">
        <v>472</v>
      </c>
      <c r="O49" s="3630"/>
    </row>
    <row r="50" spans="2:15">
      <c r="C50" s="551">
        <v>0</v>
      </c>
      <c r="D50" s="65"/>
      <c r="E50" s="404"/>
      <c r="F50" s="839" t="s">
        <v>2938</v>
      </c>
      <c r="G50" s="1941"/>
      <c r="H50" s="1917"/>
      <c r="I50" s="1915"/>
      <c r="J50" s="1916"/>
      <c r="K50" s="1918"/>
      <c r="L50" s="786"/>
      <c r="M50" s="404"/>
      <c r="N50" s="404"/>
      <c r="O50" s="404"/>
    </row>
    <row r="51" spans="2:15">
      <c r="C51" s="870"/>
      <c r="D51" s="65"/>
      <c r="E51" s="404"/>
      <c r="F51" s="507" t="s">
        <v>2041</v>
      </c>
      <c r="G51"/>
      <c r="H51" s="404"/>
      <c r="I51" s="404"/>
      <c r="J51" s="404"/>
      <c r="K51" s="404"/>
      <c r="L51" s="786"/>
      <c r="M51" s="404"/>
      <c r="N51" s="404"/>
      <c r="O51" s="404"/>
    </row>
    <row r="52" spans="2:15" ht="16.5" thickBot="1">
      <c r="D52" s="503"/>
      <c r="E52" s="404"/>
      <c r="F52"/>
      <c r="G52" s="1960">
        <f>IF(G53=M3,0,IF(G57&gt;=B49,5,IF(G57&gt;=B48,4,IF(G57&gt;=B47,3,IF(G57&gt;=B46,2,1)))))</f>
        <v>2</v>
      </c>
      <c r="H52" s="3487" t="s">
        <v>1431</v>
      </c>
      <c r="I52" s="3488"/>
      <c r="J52" s="3489"/>
      <c r="K52" s="2228" t="s">
        <v>1430</v>
      </c>
      <c r="L52" s="2279"/>
      <c r="M52" s="2279"/>
      <c r="N52" s="2279"/>
      <c r="O52" s="708" t="s">
        <v>1432</v>
      </c>
    </row>
    <row r="53" spans="2:15" ht="25.5" customHeight="1" thickBot="1">
      <c r="B53" t="s">
        <v>2968</v>
      </c>
      <c r="D53" s="503"/>
      <c r="E53" s="404"/>
      <c r="F53"/>
      <c r="G53" s="522"/>
      <c r="H53" s="697" t="s">
        <v>1885</v>
      </c>
      <c r="I53" s="698"/>
      <c r="J53" s="698"/>
      <c r="K53" s="698"/>
      <c r="L53" s="698"/>
      <c r="M53" s="698"/>
      <c r="N53" s="698"/>
      <c r="O53" s="699"/>
    </row>
    <row r="54" spans="2:15" ht="37.5" customHeight="1">
      <c r="B54">
        <v>4</v>
      </c>
      <c r="D54" s="503"/>
      <c r="E54" s="404"/>
      <c r="F54" s="1927" t="s">
        <v>2856</v>
      </c>
      <c r="G54" s="1924"/>
      <c r="H54" s="3631" t="s">
        <v>2735</v>
      </c>
      <c r="I54" s="3494"/>
      <c r="J54" s="3401"/>
      <c r="K54" s="3322" t="s">
        <v>2830</v>
      </c>
      <c r="L54" s="3344"/>
      <c r="M54" s="3344"/>
      <c r="N54" s="3329"/>
      <c r="O54" s="1730" t="s">
        <v>2829</v>
      </c>
    </row>
    <row r="55" spans="2:15" ht="37.5" customHeight="1">
      <c r="B55">
        <v>4</v>
      </c>
      <c r="D55" s="503"/>
      <c r="E55" s="404"/>
      <c r="F55" s="1927" t="s">
        <v>2936</v>
      </c>
      <c r="G55" s="1925"/>
      <c r="H55" s="3523" t="s">
        <v>2736</v>
      </c>
      <c r="I55" s="3632"/>
      <c r="J55" s="3633"/>
      <c r="K55" s="3328" t="s">
        <v>2831</v>
      </c>
      <c r="L55" s="3345"/>
      <c r="M55" s="3345"/>
      <c r="N55" s="3372"/>
      <c r="O55" s="1731" t="s">
        <v>2832</v>
      </c>
    </row>
    <row r="56" spans="2:15" ht="37.5" customHeight="1" thickBot="1">
      <c r="B56" s="1898">
        <v>4</v>
      </c>
      <c r="D56" s="503"/>
      <c r="E56" s="404"/>
      <c r="F56" s="1927" t="s">
        <v>2858</v>
      </c>
      <c r="G56" s="1926"/>
      <c r="H56" s="3523" t="s">
        <v>683</v>
      </c>
      <c r="I56" s="3458"/>
      <c r="J56" s="3459"/>
      <c r="K56" s="3328" t="s">
        <v>2833</v>
      </c>
      <c r="L56" s="3345"/>
      <c r="M56" s="3345"/>
      <c r="N56" s="3372"/>
      <c r="O56" s="1731" t="s">
        <v>2834</v>
      </c>
    </row>
    <row r="57" spans="2:15" ht="15.75">
      <c r="D57" s="503"/>
      <c r="E57" s="404"/>
      <c r="F57" s="1927" t="s">
        <v>2952</v>
      </c>
      <c r="G57" s="1951">
        <f>IF(G53=$M3,0,SUM(G54:G56))</f>
        <v>0</v>
      </c>
      <c r="H57" s="1440" t="s">
        <v>2964</v>
      </c>
      <c r="I57" s="713"/>
      <c r="J57" s="713"/>
      <c r="K57" s="705"/>
      <c r="L57" s="806"/>
      <c r="M57" s="1959"/>
      <c r="N57" s="1953"/>
      <c r="O57" s="2203">
        <f>SUM(B54:B56)</f>
        <v>12</v>
      </c>
    </row>
    <row r="58" spans="2:15" ht="6.75" customHeight="1">
      <c r="D58" s="499"/>
      <c r="E58" s="508"/>
      <c r="F58" s="509"/>
      <c r="G58" s="509"/>
      <c r="H58" s="509"/>
      <c r="I58" s="509"/>
      <c r="J58" s="509"/>
      <c r="K58" s="509"/>
      <c r="L58" s="787"/>
      <c r="M58" s="509"/>
      <c r="N58" s="509"/>
      <c r="O58" s="509"/>
    </row>
    <row r="59" spans="2:15" ht="14.25" customHeight="1">
      <c r="D59" s="499">
        <v>2.2000000000000002</v>
      </c>
      <c r="E59" s="508" t="s">
        <v>473</v>
      </c>
      <c r="F59" s="508"/>
      <c r="G59" s="807"/>
      <c r="H59"/>
      <c r="I59"/>
      <c r="J59" t="str">
        <f>IF(OR(F61=0,J60=0),$L$3,"")</f>
        <v/>
      </c>
      <c r="K59"/>
      <c r="L59"/>
      <c r="M59"/>
      <c r="N59"/>
      <c r="O59"/>
    </row>
    <row r="60" spans="2:15" ht="14.25" customHeight="1" thickBot="1">
      <c r="D60" s="788"/>
      <c r="E60" s="788"/>
      <c r="F60" s="630"/>
      <c r="G60" s="516"/>
      <c r="H60" s="517"/>
      <c r="I60" s="518" t="s">
        <v>1126</v>
      </c>
      <c r="J60" s="521">
        <f>重み!M153</f>
        <v>0.2</v>
      </c>
      <c r="K60"/>
      <c r="L60"/>
      <c r="M60"/>
      <c r="N60"/>
      <c r="O60"/>
    </row>
    <row r="61" spans="2:15" ht="27" customHeight="1" thickBot="1">
      <c r="D61" s="503"/>
      <c r="E61" s="500"/>
      <c r="F61" s="522">
        <v>3</v>
      </c>
      <c r="G61" s="526" t="s">
        <v>407</v>
      </c>
      <c r="H61" s="527"/>
      <c r="I61" s="527"/>
      <c r="J61" s="528"/>
      <c r="K61"/>
      <c r="L61"/>
      <c r="M61"/>
      <c r="N61"/>
      <c r="O61"/>
    </row>
    <row r="62" spans="2:15" ht="21" customHeight="1">
      <c r="B62" s="1" t="s">
        <v>177</v>
      </c>
      <c r="D62" s="503"/>
      <c r="E62" s="500"/>
      <c r="F62" s="529" t="str">
        <f>IF(F61=$F$7,$G$2,IF(ROUNDDOWN(F61,0)=$F$2,$H$2,$G$2))</f>
        <v>　レベル　1</v>
      </c>
      <c r="G62" s="531" t="s">
        <v>1794</v>
      </c>
      <c r="H62" s="532"/>
      <c r="I62" s="532"/>
      <c r="J62" s="533"/>
      <c r="K62"/>
      <c r="L62"/>
      <c r="M62"/>
      <c r="N62"/>
      <c r="O62"/>
    </row>
    <row r="63" spans="2:15" ht="21" customHeight="1">
      <c r="B63" s="1" t="s">
        <v>177</v>
      </c>
      <c r="D63" s="503"/>
      <c r="E63" s="500"/>
      <c r="F63" s="534" t="str">
        <f>IF(F61=$F$7,$G$3,IF(ROUNDDOWN(F61,0)=$F$3,$H$3,$G$3))</f>
        <v>　レベル　2</v>
      </c>
      <c r="G63" s="537" t="s">
        <v>1794</v>
      </c>
      <c r="H63" s="538"/>
      <c r="I63" s="538"/>
      <c r="J63" s="539"/>
      <c r="K63"/>
      <c r="L63"/>
      <c r="M63"/>
      <c r="N63"/>
      <c r="O63"/>
    </row>
    <row r="64" spans="2:15" ht="21" customHeight="1">
      <c r="B64" s="1">
        <v>3</v>
      </c>
      <c r="D64" s="503"/>
      <c r="E64" s="500"/>
      <c r="F64" s="534" t="str">
        <f>IF(F61=$F$7,$G$4,IF(ROUNDDOWN(F61,0)=$F$4,$H$4,$G$4))</f>
        <v>■レベル　3</v>
      </c>
      <c r="G64" s="537" t="s">
        <v>48</v>
      </c>
      <c r="H64" s="538"/>
      <c r="I64" s="538"/>
      <c r="J64" s="539"/>
      <c r="K64"/>
      <c r="L64"/>
      <c r="M64"/>
      <c r="N64"/>
      <c r="O64"/>
    </row>
    <row r="65" spans="2:15" ht="21" customHeight="1">
      <c r="B65" s="1" t="s">
        <v>177</v>
      </c>
      <c r="D65" s="503"/>
      <c r="E65" s="500"/>
      <c r="F65" s="534" t="str">
        <f>IF(F61=$F$7,$G$5,IF(ROUNDDOWN(F61,0)=$F$5,$H$5,$G$5))</f>
        <v>　レベル　4</v>
      </c>
      <c r="G65" s="537" t="s">
        <v>1794</v>
      </c>
      <c r="H65" s="538"/>
      <c r="I65" s="538"/>
      <c r="J65" s="539"/>
      <c r="K65"/>
      <c r="L65"/>
      <c r="M65"/>
      <c r="N65"/>
      <c r="O65"/>
    </row>
    <row r="66" spans="2:15" ht="21" customHeight="1">
      <c r="B66" s="1">
        <v>5</v>
      </c>
      <c r="D66" s="503"/>
      <c r="E66" s="500"/>
      <c r="F66" s="544" t="str">
        <f>IF(F61=$F$7,$G$6,IF(ROUNDDOWN(F61,0)=$F$6,$H$6,$G$6))</f>
        <v>　レベル　5</v>
      </c>
      <c r="G66" s="548" t="s">
        <v>474</v>
      </c>
      <c r="H66" s="549"/>
      <c r="I66" s="549"/>
      <c r="J66" s="550"/>
      <c r="K66"/>
      <c r="L66"/>
      <c r="M66"/>
      <c r="N66"/>
      <c r="O66"/>
    </row>
    <row r="67" spans="2:15" ht="13.5" customHeight="1">
      <c r="B67" s="551">
        <v>0</v>
      </c>
      <c r="D67" s="499"/>
      <c r="E67" s="508"/>
      <c r="F67" s="839" t="s">
        <v>2938</v>
      </c>
      <c r="G67" s="1941"/>
      <c r="H67" s="1917"/>
      <c r="I67" s="1915"/>
      <c r="J67" s="1916"/>
      <c r="K67" s="1918"/>
      <c r="L67" s="787"/>
      <c r="M67" s="509"/>
      <c r="N67" s="509"/>
      <c r="O67" s="509"/>
    </row>
    <row r="68" spans="2:15" ht="13.5" customHeight="1">
      <c r="B68" s="870"/>
      <c r="D68" s="499"/>
      <c r="E68" s="508"/>
      <c r="F68" s="509"/>
      <c r="G68" s="509"/>
      <c r="H68" s="509"/>
      <c r="I68" s="509"/>
      <c r="J68" s="509"/>
      <c r="K68" s="509"/>
      <c r="L68" s="787"/>
      <c r="M68" s="509"/>
      <c r="N68" s="509"/>
      <c r="O68" s="509"/>
    </row>
    <row r="69" spans="2:15" ht="14.25" customHeight="1">
      <c r="D69" s="499">
        <v>2.2999999999999998</v>
      </c>
      <c r="E69" s="508" t="s">
        <v>1059</v>
      </c>
      <c r="F69" s="509"/>
      <c r="G69" s="512"/>
      <c r="H69" s="509"/>
      <c r="I69" s="509"/>
      <c r="J69" t="str">
        <f>IF(OR(F71=0,J70=0),$L$3,"")</f>
        <v/>
      </c>
      <c r="K69"/>
      <c r="L69"/>
      <c r="M69"/>
      <c r="N69"/>
      <c r="O69"/>
    </row>
    <row r="70" spans="2:15" ht="14.25" customHeight="1" thickBot="1">
      <c r="D70" s="503"/>
      <c r="E70" s="510"/>
      <c r="F70" s="630"/>
      <c r="G70" s="516"/>
      <c r="H70" s="517"/>
      <c r="I70" s="518" t="s">
        <v>1126</v>
      </c>
      <c r="J70" s="521">
        <f>重み!M154</f>
        <v>0.2</v>
      </c>
      <c r="K70"/>
      <c r="L70"/>
      <c r="M70"/>
      <c r="N70"/>
      <c r="O70"/>
    </row>
    <row r="71" spans="2:15" ht="27" customHeight="1" thickBot="1">
      <c r="D71" s="503"/>
      <c r="E71" s="510"/>
      <c r="F71" s="522">
        <v>3</v>
      </c>
      <c r="G71" s="526" t="s">
        <v>407</v>
      </c>
      <c r="H71" s="527"/>
      <c r="I71" s="527"/>
      <c r="J71" s="528"/>
      <c r="K71"/>
      <c r="L71"/>
      <c r="M71"/>
      <c r="N71"/>
      <c r="O71"/>
    </row>
    <row r="72" spans="2:15" ht="21" customHeight="1">
      <c r="B72" s="1" t="s">
        <v>2375</v>
      </c>
      <c r="C72" s="1">
        <v>1</v>
      </c>
      <c r="D72" s="503"/>
      <c r="E72" s="510"/>
      <c r="F72" s="529" t="str">
        <f>IF(F71=$F$7,$G$2,IF(ROUNDDOWN(F71,0)=$F$2,$H$2,$G$2))</f>
        <v>　レベル　1</v>
      </c>
      <c r="G72" s="531" t="s">
        <v>1794</v>
      </c>
      <c r="H72" s="532"/>
      <c r="I72" s="532"/>
      <c r="J72" s="533"/>
      <c r="K72"/>
      <c r="L72"/>
      <c r="M72"/>
      <c r="N72"/>
      <c r="O72"/>
    </row>
    <row r="73" spans="2:15" ht="21" customHeight="1">
      <c r="B73" s="1" t="s">
        <v>177</v>
      </c>
      <c r="C73" s="1">
        <v>2</v>
      </c>
      <c r="D73" s="503"/>
      <c r="E73" s="510"/>
      <c r="F73" s="534" t="str">
        <f>IF(F71=$F$7,$G$3,IF(ROUNDDOWN(F71,0)=$F$3,$H$3,$G$3))</f>
        <v>　レベル　2</v>
      </c>
      <c r="G73" s="537" t="s">
        <v>1794</v>
      </c>
      <c r="H73" s="538"/>
      <c r="I73" s="538"/>
      <c r="J73" s="539"/>
      <c r="K73"/>
      <c r="L73"/>
      <c r="M73"/>
      <c r="N73"/>
      <c r="O73"/>
    </row>
    <row r="74" spans="2:15" ht="21" customHeight="1">
      <c r="B74" s="1">
        <v>3</v>
      </c>
      <c r="C74" s="1">
        <v>3</v>
      </c>
      <c r="D74" s="503"/>
      <c r="E74" s="510"/>
      <c r="F74" s="534" t="str">
        <f>IF(F71=$F$7,$G$4,IF(ROUNDDOWN(F71,0)=$F$4,$H$4,$G$4))</f>
        <v>■レベル　3</v>
      </c>
      <c r="G74" s="537" t="s">
        <v>49</v>
      </c>
      <c r="H74" s="538"/>
      <c r="I74" s="538"/>
      <c r="J74" s="539"/>
      <c r="K74"/>
      <c r="L74"/>
      <c r="M74"/>
      <c r="N74"/>
      <c r="O74"/>
    </row>
    <row r="75" spans="2:15" ht="21" customHeight="1">
      <c r="B75" s="1" t="s">
        <v>944</v>
      </c>
      <c r="C75" s="1">
        <v>4</v>
      </c>
      <c r="D75" s="503"/>
      <c r="E75" s="510"/>
      <c r="F75" s="534" t="str">
        <f>IF(F71=$F$7,$G$5,IF(ROUNDDOWN(F71,0)=$F$5,$H$5,$G$5))</f>
        <v>　レベル　4</v>
      </c>
      <c r="G75" s="537" t="s">
        <v>1794</v>
      </c>
      <c r="H75" s="538"/>
      <c r="I75" s="538"/>
      <c r="J75" s="539"/>
      <c r="K75"/>
      <c r="L75"/>
      <c r="M75"/>
      <c r="N75"/>
      <c r="O75"/>
    </row>
    <row r="76" spans="2:15" ht="21" customHeight="1">
      <c r="B76" s="1">
        <v>5</v>
      </c>
      <c r="C76" s="1">
        <v>5</v>
      </c>
      <c r="D76" s="503"/>
      <c r="E76" s="510"/>
      <c r="F76" s="544" t="str">
        <f>IF(F71=$F$7,$G$6,IF(ROUNDDOWN(F71,0)=$F$6,$H$6,$G$6))</f>
        <v>　レベル　5</v>
      </c>
      <c r="G76" s="548" t="s">
        <v>50</v>
      </c>
      <c r="H76" s="549"/>
      <c r="I76" s="549"/>
      <c r="J76" s="550"/>
      <c r="K76"/>
      <c r="L76"/>
      <c r="M76"/>
      <c r="N76"/>
      <c r="O76"/>
    </row>
    <row r="77" spans="2:15" ht="15" customHeight="1">
      <c r="B77" s="551">
        <v>0</v>
      </c>
      <c r="C77" s="551">
        <v>0</v>
      </c>
      <c r="F77" s="839" t="s">
        <v>2938</v>
      </c>
      <c r="G77" s="1941"/>
      <c r="H77" s="1917"/>
      <c r="I77" s="1915"/>
      <c r="J77" s="1916"/>
      <c r="K77" s="2094" t="s">
        <v>3283</v>
      </c>
      <c r="L77" s="1333"/>
      <c r="M77" s="44"/>
      <c r="N77" s="44"/>
      <c r="O77" s="44"/>
    </row>
    <row r="78" spans="2:15">
      <c r="B78" s="870"/>
      <c r="C78" s="870"/>
      <c r="F78" s="1977" t="s">
        <v>2942</v>
      </c>
      <c r="G78" s="605" t="s">
        <v>2943</v>
      </c>
      <c r="H78" s="824"/>
      <c r="I78" s="2244" t="s">
        <v>2941</v>
      </c>
      <c r="J78" s="1929"/>
      <c r="K78"/>
      <c r="L78"/>
      <c r="M78"/>
      <c r="N78"/>
      <c r="O78"/>
    </row>
    <row r="79" spans="2:15">
      <c r="F79" s="1927" t="s">
        <v>2856</v>
      </c>
      <c r="G79" s="2241" t="s">
        <v>3279</v>
      </c>
      <c r="H79" s="1919"/>
      <c r="I79" s="1931">
        <v>0</v>
      </c>
      <c r="J79" s="2245" t="str">
        <f>VLOOKUP(I79,K80:L83,2)</f>
        <v>採用なし</v>
      </c>
      <c r="K79" s="500"/>
      <c r="L79" s="784" t="s">
        <v>2948</v>
      </c>
      <c r="N79"/>
      <c r="O79"/>
    </row>
    <row r="80" spans="2:15">
      <c r="F80" s="1927" t="s">
        <v>2936</v>
      </c>
      <c r="G80" s="2242" t="s">
        <v>3280</v>
      </c>
      <c r="H80" s="1920"/>
      <c r="I80" s="1932">
        <v>0</v>
      </c>
      <c r="J80" s="2246" t="str">
        <f>VLOOKUP(I80,K80:L83,2)</f>
        <v>採用なし</v>
      </c>
      <c r="K80" s="500">
        <v>0</v>
      </c>
      <c r="L80" s="500" t="s">
        <v>2947</v>
      </c>
      <c r="M80"/>
      <c r="N80"/>
      <c r="O80"/>
    </row>
    <row r="81" spans="2:15">
      <c r="F81" s="1927" t="s">
        <v>2858</v>
      </c>
      <c r="G81" s="2242" t="s">
        <v>2835</v>
      </c>
      <c r="H81" s="1920"/>
      <c r="I81" s="1932">
        <v>0</v>
      </c>
      <c r="J81" s="2246" t="str">
        <f>VLOOKUP(I81,K80:L83,2)</f>
        <v>採用なし</v>
      </c>
      <c r="K81" s="500">
        <v>1</v>
      </c>
      <c r="L81" s="500" t="s">
        <v>2944</v>
      </c>
      <c r="M81"/>
      <c r="N81"/>
      <c r="O81"/>
    </row>
    <row r="82" spans="2:15">
      <c r="F82" s="1927" t="s">
        <v>2859</v>
      </c>
      <c r="G82" s="2242" t="s">
        <v>3278</v>
      </c>
      <c r="H82" s="1920"/>
      <c r="I82" s="1932">
        <v>0</v>
      </c>
      <c r="J82" s="2246" t="str">
        <f>VLOOKUP(I82,K80:L83,2)</f>
        <v>採用なし</v>
      </c>
      <c r="K82" s="500">
        <v>2</v>
      </c>
      <c r="L82" s="500" t="s">
        <v>2945</v>
      </c>
      <c r="M82"/>
      <c r="N82"/>
      <c r="O82"/>
    </row>
    <row r="83" spans="2:15">
      <c r="F83" s="1927" t="s">
        <v>2860</v>
      </c>
      <c r="G83" s="2243" t="s">
        <v>2244</v>
      </c>
      <c r="H83" s="1921"/>
      <c r="I83" s="1933">
        <v>0</v>
      </c>
      <c r="J83" s="2247" t="str">
        <f>VLOOKUP(I83,K80:L83,2)</f>
        <v>採用なし</v>
      </c>
      <c r="K83" s="500">
        <v>3</v>
      </c>
      <c r="L83" s="500" t="s">
        <v>2946</v>
      </c>
      <c r="M83" s="500"/>
      <c r="N83"/>
      <c r="O83"/>
    </row>
    <row r="84" spans="2:15" ht="10.5" customHeight="1">
      <c r="G84" s="273"/>
      <c r="L84" s="1234"/>
    </row>
    <row r="85" spans="2:15" ht="14.25" customHeight="1">
      <c r="D85" s="499">
        <v>2.4</v>
      </c>
      <c r="E85" s="508" t="s">
        <v>51</v>
      </c>
      <c r="F85" s="503"/>
      <c r="G85" s="503"/>
      <c r="H85" s="503"/>
      <c r="I85" s="503"/>
      <c r="J85" t="str">
        <f>IF(OR(F87=0,J86=0),$L$3,"")</f>
        <v/>
      </c>
      <c r="K85"/>
      <c r="L85"/>
      <c r="M85"/>
      <c r="N85"/>
      <c r="O85"/>
    </row>
    <row r="86" spans="2:15" ht="14.25" customHeight="1" thickBot="1">
      <c r="D86" s="503"/>
      <c r="E86" s="503"/>
      <c r="F86" s="630"/>
      <c r="G86" s="516"/>
      <c r="H86" s="517"/>
      <c r="I86" s="518" t="s">
        <v>1126</v>
      </c>
      <c r="J86" s="521">
        <f>重み!M155</f>
        <v>0.2</v>
      </c>
      <c r="K86"/>
      <c r="L86"/>
      <c r="M86"/>
      <c r="N86"/>
      <c r="O86"/>
    </row>
    <row r="87" spans="2:15" ht="27" customHeight="1" thickBot="1">
      <c r="D87" s="503"/>
      <c r="E87" s="503"/>
      <c r="F87" s="522">
        <v>4</v>
      </c>
      <c r="G87" s="526" t="s">
        <v>407</v>
      </c>
      <c r="H87" s="527"/>
      <c r="I87" s="527"/>
      <c r="J87" s="528"/>
      <c r="K87"/>
      <c r="L87"/>
      <c r="M87"/>
      <c r="N87"/>
      <c r="O87"/>
    </row>
    <row r="88" spans="2:15" ht="21" customHeight="1">
      <c r="B88" s="1">
        <v>1</v>
      </c>
      <c r="C88" s="1">
        <v>1</v>
      </c>
      <c r="D88" s="503"/>
      <c r="E88" s="503"/>
      <c r="F88" s="529" t="str">
        <f>IF(F87=$F$7,$G$2,IF(ROUNDDOWN(F87,0)=$F$2,$H$2,$G$2))</f>
        <v>　レベル　1</v>
      </c>
      <c r="G88" s="531" t="s">
        <v>6</v>
      </c>
      <c r="H88" s="532"/>
      <c r="I88" s="532"/>
      <c r="J88" s="533"/>
      <c r="K88"/>
      <c r="L88"/>
      <c r="M88"/>
      <c r="N88"/>
      <c r="O88"/>
    </row>
    <row r="89" spans="2:15" ht="21" customHeight="1">
      <c r="B89" s="1" t="s">
        <v>946</v>
      </c>
      <c r="C89" s="1">
        <v>2</v>
      </c>
      <c r="D89" s="503"/>
      <c r="E89" s="503"/>
      <c r="F89" s="534" t="str">
        <f>IF(F87=$F$7,$G$3,IF(ROUNDDOWN(F87,0)=$F$3,$H$3,$G$3))</f>
        <v>　レベル　2</v>
      </c>
      <c r="G89" s="537" t="s">
        <v>1794</v>
      </c>
      <c r="H89" s="538"/>
      <c r="I89" s="538"/>
      <c r="J89" s="539"/>
      <c r="K89"/>
      <c r="L89"/>
      <c r="M89"/>
      <c r="N89"/>
      <c r="O89"/>
    </row>
    <row r="90" spans="2:15" ht="21" customHeight="1">
      <c r="B90" s="1">
        <v>3</v>
      </c>
      <c r="C90" s="1">
        <v>3</v>
      </c>
      <c r="D90" s="503"/>
      <c r="E90" s="503"/>
      <c r="F90" s="534" t="str">
        <f>IF(F87=$F$7,$G$4,IF(ROUNDDOWN(F87,0)=$F$4,$H$4,$G$4))</f>
        <v>　レベル　3</v>
      </c>
      <c r="G90" s="537" t="s">
        <v>7</v>
      </c>
      <c r="H90" s="538"/>
      <c r="I90" s="538"/>
      <c r="J90" s="539"/>
      <c r="K90"/>
      <c r="L90"/>
      <c r="M90"/>
      <c r="N90"/>
      <c r="O90"/>
    </row>
    <row r="91" spans="2:15" ht="21" customHeight="1">
      <c r="B91" s="1">
        <v>4</v>
      </c>
      <c r="C91" s="1">
        <v>4</v>
      </c>
      <c r="D91" s="503"/>
      <c r="E91" s="503"/>
      <c r="F91" s="534" t="str">
        <f>IF(F87=$F$7,$G$5,IF(ROUNDDOWN(F87,0)=$F$5,$H$5,$G$5))</f>
        <v>■レベル　4</v>
      </c>
      <c r="G91" s="537" t="s">
        <v>8</v>
      </c>
      <c r="H91" s="538"/>
      <c r="I91" s="538"/>
      <c r="J91" s="539"/>
      <c r="K91"/>
      <c r="L91"/>
      <c r="M91"/>
      <c r="N91"/>
      <c r="O91"/>
    </row>
    <row r="92" spans="2:15" ht="21" customHeight="1">
      <c r="B92" s="1">
        <v>5</v>
      </c>
      <c r="C92" s="1">
        <v>5</v>
      </c>
      <c r="D92" s="503"/>
      <c r="E92" s="503"/>
      <c r="F92" s="544" t="str">
        <f>IF(F87=$F$7,$G$6,IF(ROUNDDOWN(F87,0)=$F$6,$H$6,$G$6))</f>
        <v>　レベル　5</v>
      </c>
      <c r="G92" s="548" t="s">
        <v>9</v>
      </c>
      <c r="H92" s="549"/>
      <c r="I92" s="549"/>
      <c r="J92" s="550"/>
      <c r="K92"/>
      <c r="L92"/>
      <c r="M92"/>
      <c r="N92"/>
      <c r="O92"/>
    </row>
    <row r="93" spans="2:15" ht="14.25" customHeight="1">
      <c r="B93" s="551">
        <v>0</v>
      </c>
      <c r="C93" s="551">
        <v>0</v>
      </c>
      <c r="D93" s="503"/>
      <c r="E93" s="628"/>
      <c r="F93" s="839" t="s">
        <v>2938</v>
      </c>
      <c r="G93" s="1941"/>
      <c r="H93" s="1917"/>
      <c r="I93" s="1915"/>
      <c r="J93" s="1916"/>
      <c r="K93" s="2094" t="s">
        <v>3283</v>
      </c>
      <c r="L93" s="1234"/>
    </row>
    <row r="94" spans="2:15" ht="14.25" customHeight="1">
      <c r="B94" s="870"/>
      <c r="C94" s="870"/>
      <c r="D94" s="503"/>
      <c r="E94" s="628"/>
      <c r="F94" s="1977" t="s">
        <v>2942</v>
      </c>
      <c r="G94" s="2256" t="s">
        <v>2941</v>
      </c>
      <c r="H94" s="777"/>
      <c r="I94" s="605" t="s">
        <v>3281</v>
      </c>
      <c r="J94" s="824"/>
      <c r="K94"/>
      <c r="L94"/>
    </row>
    <row r="95" spans="2:15" ht="14.25" customHeight="1">
      <c r="B95" s="870"/>
      <c r="C95" s="870"/>
      <c r="D95" s="503"/>
      <c r="E95" s="628"/>
      <c r="F95" s="1927"/>
      <c r="G95" s="2241" t="s">
        <v>2944</v>
      </c>
      <c r="H95" s="1919"/>
      <c r="I95" s="2253" t="s">
        <v>4266</v>
      </c>
      <c r="J95" s="2250"/>
      <c r="K95"/>
      <c r="L95"/>
    </row>
    <row r="96" spans="2:15" ht="14.25" customHeight="1">
      <c r="B96" s="870"/>
      <c r="C96" s="870"/>
      <c r="D96" s="503"/>
      <c r="E96" s="628"/>
      <c r="F96" s="1927"/>
      <c r="G96" s="2242" t="s">
        <v>2945</v>
      </c>
      <c r="H96" s="1920"/>
      <c r="I96" s="2254" t="s">
        <v>4267</v>
      </c>
      <c r="J96" s="2251"/>
      <c r="K96"/>
      <c r="L96"/>
    </row>
    <row r="97" spans="2:15" ht="14.25" customHeight="1">
      <c r="D97"/>
      <c r="E97"/>
      <c r="F97" s="1927"/>
      <c r="G97" s="2243" t="s">
        <v>2946</v>
      </c>
      <c r="H97" s="1921"/>
      <c r="I97" s="2255"/>
      <c r="J97" s="2252"/>
      <c r="K97"/>
      <c r="L97"/>
    </row>
    <row r="98" spans="2:15" ht="14.25" customHeight="1">
      <c r="D98"/>
      <c r="E98"/>
      <c r="F98"/>
      <c r="G98"/>
      <c r="H98"/>
      <c r="I98"/>
      <c r="J98"/>
      <c r="K98"/>
      <c r="L98"/>
    </row>
    <row r="99" spans="2:15" ht="15.75">
      <c r="D99" s="499">
        <v>2.5</v>
      </c>
      <c r="E99" s="508" t="s">
        <v>1195</v>
      </c>
      <c r="F99" s="508"/>
      <c r="G99" s="812"/>
      <c r="H99" s="404"/>
      <c r="I99"/>
      <c r="J99" t="str">
        <f>IF(OR(F101=0,J100=0),$L$3,"")</f>
        <v/>
      </c>
      <c r="K99"/>
      <c r="L99"/>
      <c r="M99"/>
      <c r="N99"/>
      <c r="O99"/>
    </row>
    <row r="100" spans="2:15" ht="14.25" customHeight="1" thickBot="1">
      <c r="D100" s="788"/>
      <c r="E100" s="788"/>
      <c r="F100" s="630"/>
      <c r="G100" s="516"/>
      <c r="H100" s="517"/>
      <c r="I100" s="518" t="s">
        <v>1126</v>
      </c>
      <c r="J100" s="519">
        <f>重み!M156</f>
        <v>0.1</v>
      </c>
      <c r="K100" s="631"/>
      <c r="L100" s="631"/>
      <c r="M100" s="631"/>
      <c r="N100" s="631"/>
      <c r="O100" s="528"/>
    </row>
    <row r="101" spans="2:15" ht="27" customHeight="1" thickBot="1">
      <c r="B101" s="714" t="s">
        <v>468</v>
      </c>
      <c r="D101" s="503"/>
      <c r="E101" s="500"/>
      <c r="F101" s="522">
        <v>3</v>
      </c>
      <c r="G101" s="618" t="s">
        <v>407</v>
      </c>
      <c r="H101" s="527"/>
      <c r="I101" s="527"/>
      <c r="J101" s="527"/>
      <c r="K101" s="527"/>
      <c r="L101" s="728"/>
      <c r="M101" s="527"/>
      <c r="N101" s="618" t="s">
        <v>1089</v>
      </c>
      <c r="O101" s="528"/>
    </row>
    <row r="102" spans="2:15" ht="21" customHeight="1">
      <c r="B102" s="1" t="s">
        <v>2375</v>
      </c>
      <c r="C102" s="1">
        <v>1</v>
      </c>
      <c r="D102" s="503"/>
      <c r="E102" s="500"/>
      <c r="F102" s="529" t="str">
        <f>IF(F101=$F$7,$G$2,IF(ROUNDDOWN(F101,0)=$F$2,$H$2,$G$2))</f>
        <v>　レベル　1</v>
      </c>
      <c r="G102" s="531" t="s">
        <v>1794</v>
      </c>
      <c r="H102" s="532"/>
      <c r="I102" s="532"/>
      <c r="J102" s="532"/>
      <c r="K102" s="532"/>
      <c r="L102" s="729"/>
      <c r="M102" s="532"/>
      <c r="N102" s="3400" t="s">
        <v>2961</v>
      </c>
      <c r="O102" s="3624"/>
    </row>
    <row r="103" spans="2:15" ht="21" customHeight="1">
      <c r="B103" s="1">
        <v>2</v>
      </c>
      <c r="C103" s="1">
        <v>2</v>
      </c>
      <c r="D103" s="503"/>
      <c r="E103" s="500"/>
      <c r="F103" s="534" t="str">
        <f>IF(F101=$F$7,$G$3,IF(ROUNDDOWN(F101,0)=$F$3,$H$3,$G$3))</f>
        <v>　レベル　2</v>
      </c>
      <c r="G103" s="537" t="s">
        <v>1645</v>
      </c>
      <c r="H103" s="538"/>
      <c r="I103" s="538"/>
      <c r="J103" s="538"/>
      <c r="K103" s="538"/>
      <c r="L103" s="730"/>
      <c r="M103" s="538"/>
      <c r="N103" s="3625"/>
      <c r="O103" s="3626"/>
    </row>
    <row r="104" spans="2:15" ht="21" customHeight="1">
      <c r="B104" s="1">
        <v>3</v>
      </c>
      <c r="C104" s="1">
        <v>3</v>
      </c>
      <c r="D104" s="503"/>
      <c r="E104" s="500"/>
      <c r="F104" s="534" t="str">
        <f>IF(F101=$F$7,$G$4,IF(ROUNDDOWN(F101,0)=$F$4,$H$4,$G$4))</f>
        <v>■レベル　3</v>
      </c>
      <c r="G104" s="537" t="s">
        <v>1646</v>
      </c>
      <c r="H104" s="538"/>
      <c r="I104" s="538"/>
      <c r="J104" s="538"/>
      <c r="K104" s="538"/>
      <c r="L104" s="730"/>
      <c r="M104" s="538"/>
      <c r="N104" s="3625"/>
      <c r="O104" s="3626"/>
    </row>
    <row r="105" spans="2:15" ht="21" customHeight="1">
      <c r="B105" s="1">
        <v>4</v>
      </c>
      <c r="C105" s="1">
        <v>4</v>
      </c>
      <c r="D105" s="503"/>
      <c r="E105" s="500"/>
      <c r="F105" s="534" t="str">
        <f>IF(F101=$F$7,$G$5,IF(ROUNDDOWN(F101,0)=$F$5,$H$5,$G$5))</f>
        <v>　レベル　4</v>
      </c>
      <c r="G105" s="537" t="s">
        <v>3106</v>
      </c>
      <c r="H105" s="538"/>
      <c r="I105" s="538"/>
      <c r="J105" s="538"/>
      <c r="K105" s="538"/>
      <c r="L105" s="730"/>
      <c r="M105" s="538"/>
      <c r="N105" s="3625"/>
      <c r="O105" s="3626"/>
    </row>
    <row r="106" spans="2:15" ht="21" customHeight="1">
      <c r="B106" s="1">
        <v>5</v>
      </c>
      <c r="C106" s="1">
        <v>5</v>
      </c>
      <c r="D106" s="503"/>
      <c r="E106" s="500"/>
      <c r="F106" s="544" t="str">
        <f>IF(F101=$F$7,$G$6,IF(ROUNDDOWN(F101,0)=$F$6,$H$6,$G$6))</f>
        <v>　レベル　5</v>
      </c>
      <c r="G106" s="548" t="s">
        <v>1196</v>
      </c>
      <c r="H106" s="549"/>
      <c r="I106" s="549"/>
      <c r="J106" s="549"/>
      <c r="K106" s="549"/>
      <c r="L106" s="731"/>
      <c r="M106" s="549"/>
      <c r="N106" s="3627"/>
      <c r="O106" s="3628"/>
    </row>
    <row r="107" spans="2:15" ht="14.25" customHeight="1">
      <c r="B107" s="551">
        <v>0</v>
      </c>
      <c r="C107" s="551">
        <v>0</v>
      </c>
      <c r="D107" s="503"/>
      <c r="E107" s="628"/>
      <c r="F107" s="839" t="s">
        <v>2938</v>
      </c>
      <c r="G107" s="1941"/>
      <c r="H107" s="1917"/>
      <c r="I107" s="1915"/>
      <c r="J107" s="1916"/>
      <c r="K107" s="1918"/>
      <c r="L107" s="798"/>
      <c r="M107" s="798"/>
      <c r="N107" s="798"/>
      <c r="O107" s="798"/>
    </row>
    <row r="108" spans="2:15" ht="14.25" customHeight="1">
      <c r="B108" s="870"/>
      <c r="C108" s="870"/>
      <c r="D108" s="503"/>
      <c r="E108" s="628"/>
      <c r="F108" s="1977" t="s">
        <v>2933</v>
      </c>
      <c r="G108" s="2074">
        <v>0.05</v>
      </c>
      <c r="H108" s="2077" t="s">
        <v>3103</v>
      </c>
      <c r="I108" s="943"/>
      <c r="J108" s="797" t="s">
        <v>2962</v>
      </c>
      <c r="K108" s="1950"/>
      <c r="L108" s="798"/>
      <c r="M108" s="798"/>
      <c r="N108" s="798"/>
      <c r="O108" s="798"/>
    </row>
    <row r="109" spans="2:15" ht="14.25" customHeight="1">
      <c r="B109" s="870"/>
      <c r="C109" s="870"/>
      <c r="D109" s="503"/>
      <c r="E109" s="628"/>
      <c r="F109" s="1949"/>
      <c r="G109" s="793"/>
      <c r="H109"/>
      <c r="I109"/>
      <c r="J109" s="1949" t="s">
        <v>2963</v>
      </c>
      <c r="K109" s="404"/>
      <c r="L109" s="798"/>
      <c r="M109" s="798"/>
      <c r="N109" s="798"/>
      <c r="O109" s="798"/>
    </row>
    <row r="110" spans="2:15" ht="14.25" customHeight="1">
      <c r="B110" s="870"/>
      <c r="C110" s="870"/>
      <c r="D110" s="503"/>
      <c r="E110" s="628"/>
      <c r="F110" s="404"/>
      <c r="G110" s="404"/>
      <c r="H110" s="404"/>
      <c r="I110" s="404"/>
      <c r="J110" s="404"/>
      <c r="K110" s="404"/>
      <c r="L110" s="798"/>
      <c r="M110" s="798"/>
      <c r="N110" s="798"/>
      <c r="O110" s="798"/>
    </row>
    <row r="111" spans="2:15" ht="15.75">
      <c r="D111" s="499">
        <v>2.6</v>
      </c>
      <c r="E111" s="508" t="s">
        <v>1197</v>
      </c>
      <c r="F111" s="508"/>
      <c r="G111" s="404"/>
      <c r="H111" s="404"/>
      <c r="I111"/>
      <c r="J111"/>
      <c r="K111"/>
      <c r="L111"/>
      <c r="M111"/>
      <c r="N111"/>
      <c r="O111"/>
    </row>
    <row r="112" spans="2:15" ht="15" thickBot="1">
      <c r="D112" s="788"/>
      <c r="E112" s="788"/>
      <c r="F112" s="515"/>
      <c r="G112" s="516"/>
      <c r="H112" s="517"/>
      <c r="I112" s="518" t="s">
        <v>1126</v>
      </c>
      <c r="J112" s="519">
        <f>重み!M157</f>
        <v>0.2</v>
      </c>
      <c r="K112" s="631"/>
      <c r="L112" s="631"/>
      <c r="M112" s="631"/>
      <c r="N112" s="631"/>
      <c r="O112" s="528"/>
    </row>
    <row r="113" spans="2:15" ht="27" customHeight="1" thickBot="1">
      <c r="B113" t="s">
        <v>2967</v>
      </c>
      <c r="D113" s="503"/>
      <c r="E113" s="500"/>
      <c r="F113" s="1777">
        <f>G121</f>
        <v>3</v>
      </c>
      <c r="G113" s="527" t="s">
        <v>407</v>
      </c>
      <c r="H113" s="527"/>
      <c r="I113" s="527"/>
      <c r="J113" s="527"/>
      <c r="K113" s="527"/>
      <c r="L113" s="728"/>
      <c r="M113" s="527"/>
      <c r="N113" s="527"/>
      <c r="O113" s="528"/>
    </row>
    <row r="114" spans="2:15" ht="21" customHeight="1">
      <c r="B114">
        <v>0</v>
      </c>
      <c r="D114" s="503"/>
      <c r="E114" s="500"/>
      <c r="F114" s="534" t="str">
        <f>IF(F113=$F$7,$G$2,IF(ROUNDDOWN(F113,0)=$F$2,$H$2,$G$2))</f>
        <v>　レベル　1</v>
      </c>
      <c r="G114" s="531" t="s">
        <v>1794</v>
      </c>
      <c r="H114" s="532"/>
      <c r="I114" s="532"/>
      <c r="J114" s="532"/>
      <c r="K114" s="532"/>
      <c r="L114" s="729"/>
      <c r="M114" s="532"/>
      <c r="N114" s="532"/>
      <c r="O114" s="533"/>
    </row>
    <row r="115" spans="2:15" ht="21" customHeight="1">
      <c r="B115">
        <v>0</v>
      </c>
      <c r="D115" s="503"/>
      <c r="E115" s="500"/>
      <c r="F115" s="534" t="str">
        <f>IF(F113=$F$7,$G$3,IF(ROUNDDOWN(F113,0)=$F$3,$H$3,$G$3))</f>
        <v>　レベル　2</v>
      </c>
      <c r="G115" s="537" t="s">
        <v>1794</v>
      </c>
      <c r="H115" s="538"/>
      <c r="I115" s="538"/>
      <c r="J115" s="538"/>
      <c r="K115" s="538"/>
      <c r="L115" s="730"/>
      <c r="M115" s="538"/>
      <c r="N115" s="538"/>
      <c r="O115" s="539"/>
    </row>
    <row r="116" spans="2:15" ht="21" customHeight="1">
      <c r="B116">
        <v>0</v>
      </c>
      <c r="D116" s="503"/>
      <c r="E116" s="500"/>
      <c r="F116" s="534" t="str">
        <f>IF(F113=$F$7,$G$4,IF(ROUNDDOWN(F113,0)=$F$4,$H$4,$G$4))</f>
        <v>■レベル　3</v>
      </c>
      <c r="G116" s="537" t="s">
        <v>1198</v>
      </c>
      <c r="H116" s="538"/>
      <c r="I116" s="538"/>
      <c r="J116" s="538"/>
      <c r="K116" s="538"/>
      <c r="L116" s="730"/>
      <c r="M116" s="538"/>
      <c r="N116" s="538"/>
      <c r="O116" s="539"/>
    </row>
    <row r="117" spans="2:15" ht="21" customHeight="1">
      <c r="B117">
        <v>1</v>
      </c>
      <c r="D117" s="503"/>
      <c r="E117" s="500"/>
      <c r="F117" s="534" t="str">
        <f>IF(F113=$F$7,$G$5,IF(ROUNDDOWN(F113,0)=$F$5,$H$5,$G$5))</f>
        <v>　レベル　4</v>
      </c>
      <c r="G117" s="537" t="s">
        <v>1199</v>
      </c>
      <c r="H117" s="538"/>
      <c r="I117" s="538"/>
      <c r="J117" s="538"/>
      <c r="K117" s="538"/>
      <c r="L117" s="730"/>
      <c r="M117" s="538"/>
      <c r="N117" s="538"/>
      <c r="O117" s="539"/>
    </row>
    <row r="118" spans="2:15" ht="21" customHeight="1">
      <c r="B118">
        <v>2</v>
      </c>
      <c r="D118" s="503"/>
      <c r="E118" s="500"/>
      <c r="F118" s="544" t="str">
        <f>IF(F113=$F$7,$G$6,IF(ROUNDDOWN(F113,0)=$F$6,$H$6,$G$6))</f>
        <v>　レベル　5</v>
      </c>
      <c r="G118" s="548" t="s">
        <v>1200</v>
      </c>
      <c r="H118" s="549"/>
      <c r="I118" s="549"/>
      <c r="J118" s="549"/>
      <c r="K118" s="549"/>
      <c r="L118" s="731"/>
      <c r="M118" s="549"/>
      <c r="N118" s="549"/>
      <c r="O118" s="550"/>
    </row>
    <row r="119" spans="2:15" ht="15.75">
      <c r="D119" s="503"/>
      <c r="E119" s="628"/>
      <c r="F119" s="839" t="s">
        <v>2938</v>
      </c>
      <c r="G119" s="1941"/>
      <c r="H119" s="1917"/>
      <c r="I119" s="1915"/>
      <c r="J119" s="1916"/>
      <c r="K119" s="2094" t="s">
        <v>3284</v>
      </c>
      <c r="N119" s="509"/>
      <c r="O119" s="509"/>
    </row>
    <row r="120" spans="2:15" ht="15.75">
      <c r="D120" s="503"/>
      <c r="E120" s="628"/>
      <c r="F120" s="56" t="s">
        <v>2229</v>
      </c>
      <c r="G120"/>
      <c r="H120"/>
      <c r="I120"/>
      <c r="J120" s="813"/>
      <c r="K120" s="616"/>
      <c r="L120" s="583"/>
      <c r="M120" s="63"/>
      <c r="N120"/>
      <c r="O120"/>
    </row>
    <row r="121" spans="2:15" ht="16.5" thickBot="1">
      <c r="D121" s="503"/>
      <c r="E121" s="628"/>
      <c r="G121" s="1960">
        <f>IF(G126&gt;=B118,5,IF(G126&gt;=B117,4,IF(G126&gt;=B116,3,IF(G126&gt;=B115,2,1))))</f>
        <v>3</v>
      </c>
      <c r="H121" s="2226" t="s">
        <v>1430</v>
      </c>
      <c r="I121" s="2248"/>
      <c r="J121" s="2248"/>
      <c r="K121" s="2248"/>
      <c r="L121" s="2248"/>
      <c r="M121" s="2248"/>
      <c r="N121" s="2249"/>
      <c r="O121"/>
    </row>
    <row r="122" spans="2:15" ht="15.75">
      <c r="D122" s="503"/>
      <c r="E122" s="628"/>
      <c r="F122" s="1927" t="s">
        <v>2856</v>
      </c>
      <c r="G122" s="1943"/>
      <c r="H122" s="727" t="s">
        <v>1201</v>
      </c>
      <c r="I122" s="1235"/>
      <c r="J122" s="1235"/>
      <c r="K122" s="1235"/>
      <c r="L122" s="1236"/>
      <c r="M122" s="1236"/>
      <c r="N122" s="1934"/>
      <c r="O122"/>
    </row>
    <row r="123" spans="2:15" ht="15.75">
      <c r="D123" s="503"/>
      <c r="E123" s="628"/>
      <c r="F123" s="1927" t="s">
        <v>2936</v>
      </c>
      <c r="G123" s="1944"/>
      <c r="H123" s="711" t="s">
        <v>163</v>
      </c>
      <c r="I123" s="1237"/>
      <c r="J123" s="1237"/>
      <c r="K123" s="1237"/>
      <c r="L123" s="1238"/>
      <c r="M123" s="1238"/>
      <c r="N123" s="1935"/>
      <c r="O123"/>
    </row>
    <row r="124" spans="2:15" ht="15.75">
      <c r="D124" s="503"/>
      <c r="E124" s="628"/>
      <c r="F124" s="1927" t="s">
        <v>2858</v>
      </c>
      <c r="G124" s="1945"/>
      <c r="H124" s="658" t="s">
        <v>52</v>
      </c>
      <c r="I124" s="1269"/>
      <c r="J124" s="1269"/>
      <c r="K124" s="1269"/>
      <c r="L124" s="1270"/>
      <c r="M124" s="1270"/>
      <c r="N124" s="1936"/>
      <c r="O124"/>
    </row>
    <row r="125" spans="2:15" ht="16.5" thickBot="1">
      <c r="D125" s="503"/>
      <c r="E125" s="628"/>
      <c r="F125" s="1927" t="s">
        <v>2859</v>
      </c>
      <c r="G125" s="1946"/>
      <c r="H125" s="549" t="s">
        <v>53</v>
      </c>
      <c r="I125" s="1239"/>
      <c r="J125" s="1239"/>
      <c r="K125" s="1239"/>
      <c r="L125" s="1240"/>
      <c r="M125" s="1240"/>
      <c r="N125" s="1937"/>
      <c r="O125"/>
    </row>
    <row r="126" spans="2:15" ht="15.75">
      <c r="D126" s="503"/>
      <c r="E126" s="503"/>
      <c r="F126" s="1927" t="s">
        <v>2952</v>
      </c>
      <c r="G126" s="1782">
        <f>COUNTIF(G122:G125,"○")</f>
        <v>0</v>
      </c>
      <c r="H126" s="1444" t="s">
        <v>2953</v>
      </c>
      <c r="I126" s="1780"/>
      <c r="J126" s="1780"/>
      <c r="K126" s="1780"/>
      <c r="L126" s="1780"/>
      <c r="M126" s="1780"/>
      <c r="N126" s="1914"/>
      <c r="O126"/>
    </row>
    <row r="127" spans="2:15" ht="15.75" hidden="1">
      <c r="D127" s="719"/>
      <c r="E127" s="510"/>
      <c r="F127" s="645" t="s">
        <v>2610</v>
      </c>
      <c r="G127" s="575"/>
      <c r="H127" s="617"/>
      <c r="I127" s="601"/>
      <c r="J127" s="578" t="str">
        <f>IF(OR(F129=0,J128=0),$L$3,"")</f>
        <v>&lt;評価しない&gt;</v>
      </c>
      <c r="K127" s="645" t="s">
        <v>2611</v>
      </c>
      <c r="L127" s="575"/>
      <c r="M127" s="617"/>
      <c r="N127" s="601"/>
      <c r="O127" s="578" t="str">
        <f>IF(OR(K129=0,O128=0),$L$3,"")</f>
        <v>&lt;評価しない&gt;</v>
      </c>
    </row>
    <row r="128" spans="2:15" ht="15.75" hidden="1">
      <c r="D128" s="503"/>
      <c r="E128" s="63"/>
      <c r="F128" s="515"/>
      <c r="G128" s="516"/>
      <c r="H128" s="517"/>
      <c r="I128" s="518" t="s">
        <v>1126</v>
      </c>
      <c r="J128" s="521">
        <f>重み!M159</f>
        <v>0</v>
      </c>
      <c r="K128" s="515"/>
      <c r="L128" s="516"/>
      <c r="M128" s="517"/>
      <c r="N128" s="518" t="s">
        <v>1126</v>
      </c>
      <c r="O128" s="521">
        <f>重み!M160</f>
        <v>0</v>
      </c>
    </row>
    <row r="129" spans="2:15" ht="16.5" hidden="1" customHeight="1" thickBot="1">
      <c r="B129" s="1514" t="s">
        <v>2636</v>
      </c>
      <c r="C129" s="1514" t="s">
        <v>2636</v>
      </c>
      <c r="D129" s="503"/>
      <c r="E129" s="63"/>
      <c r="F129" s="522">
        <v>5</v>
      </c>
      <c r="G129" s="618" t="s">
        <v>33</v>
      </c>
      <c r="H129" s="527"/>
      <c r="I129" s="527"/>
      <c r="J129" s="528"/>
      <c r="K129" s="522">
        <v>4</v>
      </c>
      <c r="L129" s="618" t="s">
        <v>33</v>
      </c>
      <c r="M129" s="528"/>
      <c r="N129" s="618"/>
      <c r="O129" s="623"/>
    </row>
    <row r="130" spans="2:15" ht="15.75" hidden="1" customHeight="1">
      <c r="B130" s="1">
        <v>1</v>
      </c>
      <c r="C130" s="1">
        <v>1</v>
      </c>
      <c r="D130" s="503"/>
      <c r="E130" s="63"/>
      <c r="F130" s="529" t="str">
        <f>IF(F129=$S$22,$G$2,IF(ROUNDDOWN(F129,0)=$F$2,$H$2,$G$2))</f>
        <v>　レベル　1</v>
      </c>
      <c r="G130" s="3616" t="s">
        <v>2605</v>
      </c>
      <c r="H130" s="3617"/>
      <c r="I130" s="3617"/>
      <c r="J130" s="3618"/>
      <c r="K130" s="529" t="str">
        <f>IF(K129=$S$22,$G$2,IF(ROUNDDOWN(K129,0)=$F$2,$H$2,$G$2))</f>
        <v>　レベル　1</v>
      </c>
      <c r="L130" s="3616" t="s">
        <v>2612</v>
      </c>
      <c r="M130" s="3617"/>
      <c r="N130" s="3617"/>
      <c r="O130" s="3618"/>
    </row>
    <row r="131" spans="2:15" ht="15.75" hidden="1" customHeight="1">
      <c r="B131" s="1">
        <v>2</v>
      </c>
      <c r="C131" s="1">
        <v>2</v>
      </c>
      <c r="D131" s="503"/>
      <c r="E131" s="63"/>
      <c r="F131" s="534" t="str">
        <f>IF(F129=$S$22,$G$3,IF(ROUNDDOWN(F129,0)=$F$3,$H$3,$G$3))</f>
        <v>　レベル　2</v>
      </c>
      <c r="G131" s="3362" t="s">
        <v>2606</v>
      </c>
      <c r="H131" s="3619"/>
      <c r="I131" s="3619"/>
      <c r="J131" s="3620"/>
      <c r="K131" s="534" t="str">
        <f>IF(K129=$S$22,$G$3,IF(ROUNDDOWN(K129,0)=$F$3,$H$3,$G$3))</f>
        <v>　レベル　2</v>
      </c>
      <c r="L131" s="3362" t="s">
        <v>2613</v>
      </c>
      <c r="M131" s="3619"/>
      <c r="N131" s="3619"/>
      <c r="O131" s="3620"/>
    </row>
    <row r="132" spans="2:15" ht="15.75" hidden="1" customHeight="1">
      <c r="B132" s="1">
        <v>3</v>
      </c>
      <c r="C132" s="1">
        <v>3</v>
      </c>
      <c r="D132" s="503"/>
      <c r="E132" s="63"/>
      <c r="F132" s="534" t="str">
        <f>IF(F129=$S$22,$G$4,IF(ROUNDDOWN(F129,0)=$F$4,$H$4,$G$4))</f>
        <v>　レベル　3</v>
      </c>
      <c r="G132" s="3362" t="s">
        <v>2607</v>
      </c>
      <c r="H132" s="3619"/>
      <c r="I132" s="3619"/>
      <c r="J132" s="3620"/>
      <c r="K132" s="534" t="str">
        <f>IF(K129=$S$22,$G$4,IF(ROUNDDOWN(K129,0)=$F$4,$H$4,$G$4))</f>
        <v>　レベル　3</v>
      </c>
      <c r="L132" s="3362" t="s">
        <v>2614</v>
      </c>
      <c r="M132" s="3619"/>
      <c r="N132" s="3619"/>
      <c r="O132" s="3620"/>
    </row>
    <row r="133" spans="2:15" ht="15.75" hidden="1" customHeight="1">
      <c r="B133" s="1">
        <v>4</v>
      </c>
      <c r="C133" s="1">
        <v>4</v>
      </c>
      <c r="D133" s="503"/>
      <c r="E133" s="63"/>
      <c r="F133" s="534" t="str">
        <f>IF(F129=$S$22,$G$5,IF(ROUNDDOWN(F129,0)=$F$5,$H$5,$G$5))</f>
        <v>　レベル　4</v>
      </c>
      <c r="G133" s="3362" t="s">
        <v>2608</v>
      </c>
      <c r="H133" s="3619"/>
      <c r="I133" s="3619"/>
      <c r="J133" s="3620"/>
      <c r="K133" s="534" t="str">
        <f>IF(K129=$S$22,$G$5,IF(ROUNDDOWN(K129,0)=$F$5,$H$5,$G$5))</f>
        <v>■レベル　4</v>
      </c>
      <c r="L133" s="3362" t="s">
        <v>2615</v>
      </c>
      <c r="M133" s="3619"/>
      <c r="N133" s="3619"/>
      <c r="O133" s="3620"/>
    </row>
    <row r="134" spans="2:15" ht="15.75" hidden="1" customHeight="1">
      <c r="B134" s="1">
        <v>5</v>
      </c>
      <c r="C134" s="1">
        <v>5</v>
      </c>
      <c r="D134" s="503"/>
      <c r="E134" s="63"/>
      <c r="F134" s="544" t="str">
        <f>IF(F129=$S$22,$G$6,IF(ROUNDDOWN(F129,0)=$F$6,$H$6,$G$6))</f>
        <v>■レベル　5</v>
      </c>
      <c r="G134" s="3353" t="s">
        <v>2609</v>
      </c>
      <c r="H134" s="3621"/>
      <c r="I134" s="3621"/>
      <c r="J134" s="3622"/>
      <c r="K134" s="544" t="str">
        <f>IF(K129=$S$22,$G$6,IF(ROUNDDOWN(K129,0)=$F$6,$H$6,$G$6))</f>
        <v>　レベル　5</v>
      </c>
      <c r="L134" s="3353" t="s">
        <v>2616</v>
      </c>
      <c r="M134" s="3621"/>
      <c r="N134" s="3621"/>
      <c r="O134" s="3622"/>
    </row>
    <row r="135" spans="2:15" ht="15.75" hidden="1">
      <c r="B135" s="551">
        <v>0</v>
      </c>
      <c r="C135" s="551">
        <v>0</v>
      </c>
      <c r="D135" s="503"/>
      <c r="E135" s="503"/>
      <c r="F135" s="503"/>
      <c r="G135" s="503"/>
      <c r="H135" s="503"/>
      <c r="I135" s="503"/>
      <c r="J135" s="503"/>
      <c r="K135" s="503"/>
      <c r="L135" s="811"/>
      <c r="M135" s="503"/>
      <c r="N135" s="503"/>
      <c r="O135" s="503"/>
    </row>
    <row r="136" spans="2:15" ht="15.75" hidden="1">
      <c r="B136" s="870"/>
      <c r="C136" s="870"/>
      <c r="D136" s="503"/>
      <c r="E136" s="503"/>
      <c r="F136" s="645" t="s">
        <v>2617</v>
      </c>
      <c r="G136" s="575"/>
      <c r="H136" s="617"/>
      <c r="I136" s="601"/>
      <c r="J136" s="578" t="str">
        <f>IF(OR(F138=0,J137=0),$L$3,"")</f>
        <v>&lt;評価しない&gt;</v>
      </c>
      <c r="K136" s="645" t="s">
        <v>2628</v>
      </c>
      <c r="L136" s="575"/>
      <c r="M136" s="617"/>
      <c r="N136" s="601"/>
      <c r="O136" s="578" t="str">
        <f>IF(OR(K138=0,O137=0),$L$3,"")</f>
        <v>&lt;評価しない&gt;</v>
      </c>
    </row>
    <row r="137" spans="2:15" ht="15.75" hidden="1">
      <c r="B137" s="870"/>
      <c r="C137" s="870"/>
      <c r="D137" s="503"/>
      <c r="E137" s="503"/>
      <c r="F137" s="515"/>
      <c r="G137" s="516"/>
      <c r="H137" s="517"/>
      <c r="I137" s="518" t="s">
        <v>1126</v>
      </c>
      <c r="J137" s="521">
        <f>重み!M161</f>
        <v>0</v>
      </c>
      <c r="K137" s="515"/>
      <c r="L137" s="516"/>
      <c r="M137" s="517"/>
      <c r="N137" s="518" t="s">
        <v>1126</v>
      </c>
      <c r="O137" s="521">
        <f>重み!M162</f>
        <v>0</v>
      </c>
    </row>
    <row r="138" spans="2:15" ht="16.5" hidden="1" thickBot="1">
      <c r="B138" s="1514" t="s">
        <v>2636</v>
      </c>
      <c r="C138" s="1514" t="s">
        <v>2636</v>
      </c>
      <c r="D138" s="503"/>
      <c r="E138" s="503"/>
      <c r="F138" s="522">
        <v>4</v>
      </c>
      <c r="G138" s="618" t="s">
        <v>33</v>
      </c>
      <c r="H138" s="527"/>
      <c r="I138" s="527"/>
      <c r="J138" s="528"/>
      <c r="K138" s="522">
        <v>4</v>
      </c>
      <c r="L138" s="618" t="s">
        <v>33</v>
      </c>
      <c r="M138" s="528"/>
      <c r="N138" s="618"/>
      <c r="O138" s="623"/>
    </row>
    <row r="139" spans="2:15" ht="15.75" hidden="1" customHeight="1">
      <c r="B139" s="1">
        <v>1</v>
      </c>
      <c r="C139" s="1">
        <v>1</v>
      </c>
      <c r="D139" s="503"/>
      <c r="E139" s="503"/>
      <c r="F139" s="529" t="str">
        <f>IF(F138=$S$22,$G$2,IF(ROUNDDOWN(F138,0)=$F$2,$H$2,$G$2))</f>
        <v>　レベル　1</v>
      </c>
      <c r="G139" s="3616" t="s">
        <v>2618</v>
      </c>
      <c r="H139" s="3617"/>
      <c r="I139" s="3617"/>
      <c r="J139" s="3618"/>
      <c r="K139" s="529" t="str">
        <f>IF(K138=$S$22,$G$2,IF(ROUNDDOWN(K138,0)=$F$2,$H$2,$G$2))</f>
        <v>　レベル　1</v>
      </c>
      <c r="L139" s="3616" t="s">
        <v>2623</v>
      </c>
      <c r="M139" s="3617"/>
      <c r="N139" s="3617"/>
      <c r="O139" s="3618"/>
    </row>
    <row r="140" spans="2:15" ht="15.75" hidden="1" customHeight="1">
      <c r="B140" s="1">
        <v>2</v>
      </c>
      <c r="C140" s="1">
        <v>2</v>
      </c>
      <c r="D140" s="503"/>
      <c r="E140" s="503"/>
      <c r="F140" s="534" t="str">
        <f>IF(F138=$S$22,$G$3,IF(ROUNDDOWN(F138,0)=$F$3,$H$3,$G$3))</f>
        <v>　レベル　2</v>
      </c>
      <c r="G140" s="3362" t="s">
        <v>2619</v>
      </c>
      <c r="H140" s="3619"/>
      <c r="I140" s="3619"/>
      <c r="J140" s="3620"/>
      <c r="K140" s="534" t="str">
        <f>IF(K138=$S$22,$G$3,IF(ROUNDDOWN(K138,0)=$F$3,$H$3,$G$3))</f>
        <v>　レベル　2</v>
      </c>
      <c r="L140" s="3362" t="s">
        <v>2624</v>
      </c>
      <c r="M140" s="3619"/>
      <c r="N140" s="3619"/>
      <c r="O140" s="3620"/>
    </row>
    <row r="141" spans="2:15" ht="15.75" hidden="1" customHeight="1">
      <c r="B141" s="1">
        <v>3</v>
      </c>
      <c r="C141" s="1">
        <v>3</v>
      </c>
      <c r="D141" s="503"/>
      <c r="E141" s="503"/>
      <c r="F141" s="534" t="str">
        <f>IF(F138=$S$22,$G$4,IF(ROUNDDOWN(F138,0)=$F$4,$H$4,$G$4))</f>
        <v>　レベル　3</v>
      </c>
      <c r="G141" s="3362" t="s">
        <v>2620</v>
      </c>
      <c r="H141" s="3619"/>
      <c r="I141" s="3619"/>
      <c r="J141" s="3620"/>
      <c r="K141" s="534" t="str">
        <f>IF(K138=$S$22,$G$4,IF(ROUNDDOWN(K138,0)=$F$4,$H$4,$G$4))</f>
        <v>　レベル　3</v>
      </c>
      <c r="L141" s="3362" t="s">
        <v>2625</v>
      </c>
      <c r="M141" s="3619"/>
      <c r="N141" s="3619"/>
      <c r="O141" s="3620"/>
    </row>
    <row r="142" spans="2:15" ht="15.75" hidden="1" customHeight="1">
      <c r="B142" s="1">
        <v>4</v>
      </c>
      <c r="C142" s="1">
        <v>4</v>
      </c>
      <c r="D142" s="503"/>
      <c r="E142" s="503"/>
      <c r="F142" s="534" t="str">
        <f>IF(F138=$S$22,$G$5,IF(ROUNDDOWN(F138,0)=$F$5,$H$5,$G$5))</f>
        <v>■レベル　4</v>
      </c>
      <c r="G142" s="3362" t="s">
        <v>2621</v>
      </c>
      <c r="H142" s="3619"/>
      <c r="I142" s="3619"/>
      <c r="J142" s="3620"/>
      <c r="K142" s="534" t="str">
        <f>IF(K138=$S$22,$G$5,IF(ROUNDDOWN(K138,0)=$F$5,$H$5,$G$5))</f>
        <v>■レベル　4</v>
      </c>
      <c r="L142" s="3362" t="s">
        <v>2626</v>
      </c>
      <c r="M142" s="3619"/>
      <c r="N142" s="3619"/>
      <c r="O142" s="3620"/>
    </row>
    <row r="143" spans="2:15" ht="15.75" hidden="1" customHeight="1">
      <c r="B143" s="1">
        <v>5</v>
      </c>
      <c r="C143" s="1">
        <v>5</v>
      </c>
      <c r="D143" s="503"/>
      <c r="E143" s="503"/>
      <c r="F143" s="544" t="str">
        <f>IF(F138=$S$22,$G$6,IF(ROUNDDOWN(F138,0)=$F$6,$H$6,$G$6))</f>
        <v>　レベル　5</v>
      </c>
      <c r="G143" s="3353" t="s">
        <v>2622</v>
      </c>
      <c r="H143" s="3621"/>
      <c r="I143" s="3621"/>
      <c r="J143" s="3622"/>
      <c r="K143" s="544" t="str">
        <f>IF(K138=$S$22,$G$6,IF(ROUNDDOWN(K138,0)=$F$6,$H$6,$G$6))</f>
        <v>　レベル　5</v>
      </c>
      <c r="L143" s="3353" t="s">
        <v>2627</v>
      </c>
      <c r="M143" s="3621"/>
      <c r="N143" s="3621"/>
      <c r="O143" s="3622"/>
    </row>
    <row r="144" spans="2:15" ht="15.75" hidden="1">
      <c r="B144" s="551">
        <v>0</v>
      </c>
      <c r="C144" s="551">
        <v>0</v>
      </c>
      <c r="D144" s="503"/>
      <c r="E144" s="503"/>
      <c r="F144" s="503"/>
      <c r="G144" s="503"/>
      <c r="H144" s="503"/>
      <c r="I144" s="503"/>
      <c r="J144" s="503"/>
      <c r="K144" s="503"/>
      <c r="L144" s="811"/>
      <c r="M144" s="503"/>
      <c r="N144" s="503"/>
      <c r="O144" s="503"/>
    </row>
    <row r="145" spans="2:15" ht="15.75" hidden="1">
      <c r="B145" s="870"/>
      <c r="C145" s="870"/>
      <c r="D145" s="503"/>
      <c r="E145" s="503"/>
      <c r="F145" s="645" t="s">
        <v>2629</v>
      </c>
      <c r="G145" s="575"/>
      <c r="H145" s="617"/>
      <c r="I145" s="601"/>
      <c r="J145" s="578" t="str">
        <f>IF(OR(F147=0,J146=0),$L$3,"")</f>
        <v>&lt;評価しない&gt;</v>
      </c>
      <c r="K145" s="645" t="s">
        <v>2630</v>
      </c>
      <c r="L145" s="575"/>
      <c r="M145" s="617"/>
      <c r="N145" s="601"/>
      <c r="O145" s="578" t="str">
        <f>IF(OR(K147=0,O146=0),$L$3,"")</f>
        <v>&lt;評価しない&gt;</v>
      </c>
    </row>
    <row r="146" spans="2:15" ht="15.75" hidden="1">
      <c r="B146" s="870"/>
      <c r="C146" s="870"/>
      <c r="D146" s="503"/>
      <c r="E146" s="503"/>
      <c r="F146" s="515"/>
      <c r="G146" s="516"/>
      <c r="H146" s="517"/>
      <c r="I146" s="518" t="s">
        <v>1126</v>
      </c>
      <c r="J146" s="521">
        <f>重み!M163</f>
        <v>0</v>
      </c>
      <c r="K146" s="515"/>
      <c r="L146" s="516"/>
      <c r="M146" s="517"/>
      <c r="N146" s="518" t="s">
        <v>1126</v>
      </c>
      <c r="O146" s="521">
        <f>重み!M164</f>
        <v>0</v>
      </c>
    </row>
    <row r="147" spans="2:15" ht="16.5" hidden="1" thickBot="1">
      <c r="B147" s="1514" t="s">
        <v>2636</v>
      </c>
      <c r="C147" s="1514" t="s">
        <v>2636</v>
      </c>
      <c r="D147" s="503"/>
      <c r="E147" s="503"/>
      <c r="F147" s="522">
        <f>IF(H153=$N$4,F153,IF(G165&lt;1,1,IF(G165=1,2,IF(G165=2,3,IF(G165=3,4,5)))))</f>
        <v>5</v>
      </c>
      <c r="G147" s="618" t="s">
        <v>33</v>
      </c>
      <c r="H147" s="527"/>
      <c r="I147" s="527"/>
      <c r="J147" s="528"/>
      <c r="K147" s="522">
        <f>IF(M153=$N$4,K153,IF(L162&lt;1,1,IF(L162=1,3,IF(L162=2,4,5))))</f>
        <v>5</v>
      </c>
      <c r="L147" s="618" t="s">
        <v>33</v>
      </c>
      <c r="M147" s="528"/>
      <c r="N147" s="618"/>
      <c r="O147" s="623"/>
    </row>
    <row r="148" spans="2:15" ht="15.75" hidden="1">
      <c r="B148" s="1">
        <v>1</v>
      </c>
      <c r="C148" s="1">
        <v>1</v>
      </c>
      <c r="D148" s="503"/>
      <c r="E148" s="503"/>
      <c r="F148" s="529" t="str">
        <f>IF(F147=$S$22,$G$2,IF(ROUNDDOWN(F147,0)=$F$2,$H$2,$G$2))</f>
        <v>　レベル　1</v>
      </c>
      <c r="G148" s="531" t="s">
        <v>670</v>
      </c>
      <c r="H148" s="720"/>
      <c r="I148" s="720"/>
      <c r="J148" s="533"/>
      <c r="K148" s="529" t="str">
        <f>IF(K147=$S$22,$G$2,IF(ROUNDDOWN(K147,0)=$F$2,$H$2,$G$2))</f>
        <v>　レベル　1</v>
      </c>
      <c r="L148" s="531" t="s">
        <v>670</v>
      </c>
      <c r="M148" s="720"/>
      <c r="N148" s="720"/>
      <c r="O148" s="533"/>
    </row>
    <row r="149" spans="2:15" ht="15.75" hidden="1">
      <c r="B149" s="1">
        <v>2</v>
      </c>
      <c r="C149" s="1" t="s">
        <v>177</v>
      </c>
      <c r="D149" s="503"/>
      <c r="E149" s="503"/>
      <c r="F149" s="534" t="str">
        <f>IF(F147=$S$22,$G$3,IF(ROUNDDOWN(F147,0)=$F$3,$H$3,$G$3))</f>
        <v>　レベル　2</v>
      </c>
      <c r="G149" s="537" t="s">
        <v>2632</v>
      </c>
      <c r="H149" s="647"/>
      <c r="I149" s="647"/>
      <c r="J149" s="539"/>
      <c r="K149" s="534" t="str">
        <f>IF(K147=$S$22,$G$3,IF(ROUNDDOWN(K147,0)=$F$3,$H$3,$G$3))</f>
        <v>　レベル　2</v>
      </c>
      <c r="L149" s="537" t="s">
        <v>1794</v>
      </c>
      <c r="M149" s="647"/>
      <c r="N149" s="647"/>
      <c r="O149" s="539"/>
    </row>
    <row r="150" spans="2:15" ht="15.75" hidden="1">
      <c r="B150" s="1">
        <v>3</v>
      </c>
      <c r="C150" s="1">
        <v>3</v>
      </c>
      <c r="D150" s="503"/>
      <c r="E150" s="503"/>
      <c r="F150" s="534" t="str">
        <f>IF(F147=$S$22,$G$4,IF(ROUNDDOWN(F147,0)=$F$4,$H$4,$G$4))</f>
        <v>　レベル　3</v>
      </c>
      <c r="G150" s="537" t="s">
        <v>1480</v>
      </c>
      <c r="H150" s="647"/>
      <c r="I150" s="647"/>
      <c r="J150" s="539"/>
      <c r="K150" s="534" t="str">
        <f>IF(K147=$S$22,$G$4,IF(ROUNDDOWN(K147,0)=$F$4,$H$4,$G$4))</f>
        <v>　レベル　3</v>
      </c>
      <c r="L150" s="537" t="s">
        <v>2632</v>
      </c>
      <c r="M150" s="647"/>
      <c r="N150" s="647"/>
      <c r="O150" s="539"/>
    </row>
    <row r="151" spans="2:15" ht="15.75" hidden="1">
      <c r="B151" s="1">
        <v>4</v>
      </c>
      <c r="C151" s="1">
        <v>4</v>
      </c>
      <c r="D151" s="503"/>
      <c r="E151" s="503"/>
      <c r="F151" s="534" t="str">
        <f>IF(F147=$S$22,$G$5,IF(ROUNDDOWN(F147,0)=$F$5,$H$5,$G$5))</f>
        <v>　レベル　4</v>
      </c>
      <c r="G151" s="537" t="s">
        <v>2633</v>
      </c>
      <c r="H151" s="647"/>
      <c r="I151" s="647"/>
      <c r="J151" s="539"/>
      <c r="K151" s="534" t="str">
        <f>IF(K147=$S$22,$G$5,IF(ROUNDDOWN(K147,0)=$F$5,$H$5,$G$5))</f>
        <v>　レベル　4</v>
      </c>
      <c r="L151" s="537" t="s">
        <v>1480</v>
      </c>
      <c r="M151" s="647"/>
      <c r="N151" s="647"/>
      <c r="O151" s="539"/>
    </row>
    <row r="152" spans="2:15" ht="15.75" hidden="1">
      <c r="B152" s="1">
        <v>5</v>
      </c>
      <c r="C152" s="1">
        <v>5</v>
      </c>
      <c r="D152" s="503"/>
      <c r="E152" s="503"/>
      <c r="F152" s="544" t="str">
        <f>IF(F147=$S$22,$G$6,IF(ROUNDDOWN(F147,0)=$F$6,$H$6,$G$6))</f>
        <v>■レベル　5</v>
      </c>
      <c r="G152" s="548" t="s">
        <v>2634</v>
      </c>
      <c r="H152" s="642"/>
      <c r="I152" s="642"/>
      <c r="J152" s="550"/>
      <c r="K152" s="544" t="str">
        <f>IF(K147=$S$22,$G$6,IF(ROUNDDOWN(K147,0)=$F$6,$H$6,$G$6))</f>
        <v>■レベル　5</v>
      </c>
      <c r="L152" s="548" t="s">
        <v>2635</v>
      </c>
      <c r="M152" s="642"/>
      <c r="N152" s="642"/>
      <c r="O152" s="550"/>
    </row>
    <row r="153" spans="2:15" ht="16.5" hidden="1" thickBot="1">
      <c r="B153" s="551">
        <v>0</v>
      </c>
      <c r="C153" s="551">
        <v>0</v>
      </c>
      <c r="D153" s="503"/>
      <c r="E153" s="503"/>
      <c r="F153" s="522">
        <v>0</v>
      </c>
      <c r="G153" s="692" t="s">
        <v>2217</v>
      </c>
      <c r="H153" s="1575" t="s">
        <v>2690</v>
      </c>
      <c r="I153" s="584"/>
      <c r="J153" s="584"/>
      <c r="K153" s="522">
        <v>0</v>
      </c>
      <c r="L153" s="692" t="s">
        <v>2217</v>
      </c>
      <c r="M153" s="1575" t="s">
        <v>2690</v>
      </c>
      <c r="N153" s="584"/>
      <c r="O153" s="584"/>
    </row>
    <row r="154" spans="2:15" ht="15.75" hidden="1">
      <c r="D154" s="503"/>
      <c r="E154" s="503"/>
      <c r="F154" s="612" t="s">
        <v>2229</v>
      </c>
      <c r="G154"/>
      <c r="H154"/>
      <c r="I154"/>
      <c r="J154"/>
      <c r="K154" s="612" t="s">
        <v>2229</v>
      </c>
      <c r="L154"/>
      <c r="M154"/>
      <c r="N154"/>
      <c r="O154"/>
    </row>
    <row r="155" spans="2:15" ht="15.75" hidden="1">
      <c r="D155" s="503"/>
      <c r="E155" s="503"/>
      <c r="F155" s="667" t="s">
        <v>954</v>
      </c>
      <c r="G155" s="765" t="s">
        <v>2671</v>
      </c>
      <c r="H155" s="1560"/>
      <c r="I155" s="1560"/>
      <c r="J155" s="1561"/>
      <c r="K155" s="667" t="s">
        <v>954</v>
      </c>
      <c r="L155" s="765" t="s">
        <v>2671</v>
      </c>
      <c r="M155" s="1560"/>
      <c r="N155" s="1560"/>
      <c r="O155" s="1561"/>
    </row>
    <row r="156" spans="2:15" ht="15.75" hidden="1" customHeight="1">
      <c r="D156" s="503"/>
      <c r="E156" s="503"/>
      <c r="F156" s="723" t="s">
        <v>2222</v>
      </c>
      <c r="G156" s="698" t="s">
        <v>2678</v>
      </c>
      <c r="H156" s="720"/>
      <c r="I156" s="720"/>
      <c r="J156" s="720"/>
      <c r="K156" s="723" t="s">
        <v>2222</v>
      </c>
      <c r="L156" s="697" t="s">
        <v>2670</v>
      </c>
      <c r="M156" s="720"/>
      <c r="N156" s="720"/>
      <c r="O156" s="1559"/>
    </row>
    <row r="157" spans="2:15" ht="15.75" hidden="1" customHeight="1">
      <c r="D157" s="503"/>
      <c r="E157" s="503"/>
      <c r="F157" s="726" t="s">
        <v>2222</v>
      </c>
      <c r="G157" s="663" t="s">
        <v>2679</v>
      </c>
      <c r="H157" s="647"/>
      <c r="I157" s="647"/>
      <c r="J157" s="647"/>
      <c r="K157" s="726"/>
      <c r="L157" s="3623" t="s">
        <v>2667</v>
      </c>
      <c r="M157" s="3619"/>
      <c r="N157" s="3619"/>
      <c r="O157" s="3620"/>
    </row>
    <row r="158" spans="2:15" ht="15.75" hidden="1" customHeight="1">
      <c r="D158" s="503"/>
      <c r="E158" s="503"/>
      <c r="F158" s="726" t="s">
        <v>2222</v>
      </c>
      <c r="G158" s="663" t="s">
        <v>2680</v>
      </c>
      <c r="H158" s="647"/>
      <c r="I158" s="647"/>
      <c r="J158" s="647"/>
      <c r="K158" s="726" t="s">
        <v>2222</v>
      </c>
      <c r="L158" s="3623" t="s">
        <v>2668</v>
      </c>
      <c r="M158" s="3619"/>
      <c r="N158" s="3619"/>
      <c r="O158" s="3620"/>
    </row>
    <row r="159" spans="2:15" ht="15.75" hidden="1" customHeight="1">
      <c r="D159" s="503"/>
      <c r="E159" s="503"/>
      <c r="F159" s="726" t="s">
        <v>2222</v>
      </c>
      <c r="G159" s="663" t="s">
        <v>2681</v>
      </c>
      <c r="H159" s="647"/>
      <c r="I159" s="647"/>
      <c r="J159" s="647"/>
      <c r="K159" s="726" t="s">
        <v>2222</v>
      </c>
      <c r="L159" s="3623" t="s">
        <v>2669</v>
      </c>
      <c r="M159" s="3619"/>
      <c r="N159" s="3619"/>
      <c r="O159" s="3620"/>
    </row>
    <row r="160" spans="2:15" ht="15.75" hidden="1">
      <c r="D160" s="503"/>
      <c r="E160" s="503"/>
      <c r="F160" s="726"/>
      <c r="G160" s="663" t="s">
        <v>2682</v>
      </c>
      <c r="H160" s="647"/>
      <c r="I160" s="647"/>
      <c r="J160" s="647"/>
      <c r="K160" s="3607"/>
      <c r="L160" s="1562" t="s">
        <v>2677</v>
      </c>
      <c r="M160" s="1563"/>
      <c r="N160" s="1563"/>
      <c r="O160" s="1565"/>
    </row>
    <row r="161" spans="2:15" ht="16.5" hidden="1" customHeight="1" thickBot="1">
      <c r="D161" s="503"/>
      <c r="E161" s="503"/>
      <c r="F161" s="726"/>
      <c r="G161" s="663" t="s">
        <v>2683</v>
      </c>
      <c r="H161" s="647"/>
      <c r="I161" s="647"/>
      <c r="J161" s="647"/>
      <c r="K161" s="3608"/>
      <c r="L161" s="3609"/>
      <c r="M161" s="3610"/>
      <c r="N161" s="3610"/>
      <c r="O161" s="3611"/>
    </row>
    <row r="162" spans="2:15" ht="15.75" hidden="1">
      <c r="B162" s="870"/>
      <c r="C162" s="870"/>
      <c r="D162" s="503"/>
      <c r="E162" s="503"/>
      <c r="F162" s="1265"/>
      <c r="G162" s="663" t="s">
        <v>2684</v>
      </c>
      <c r="H162" s="647"/>
      <c r="I162" s="647"/>
      <c r="J162" s="543"/>
      <c r="K162" s="1267" t="s">
        <v>31</v>
      </c>
      <c r="L162" s="1266">
        <f>COUNTIF(K156:K161,$M$3)</f>
        <v>3</v>
      </c>
      <c r="M162" s="722"/>
      <c r="N162" s="722"/>
      <c r="O162" s="722"/>
    </row>
    <row r="163" spans="2:15" ht="15.75" hidden="1" customHeight="1">
      <c r="B163" s="870"/>
      <c r="C163" s="870"/>
      <c r="D163" s="503"/>
      <c r="E163" s="503"/>
      <c r="F163" s="3607"/>
      <c r="G163" s="1562" t="s">
        <v>2709</v>
      </c>
      <c r="H163" s="1563"/>
      <c r="I163" s="1563"/>
      <c r="J163" s="1565"/>
      <c r="K163"/>
      <c r="L163"/>
      <c r="M163"/>
      <c r="N163"/>
      <c r="O163"/>
    </row>
    <row r="164" spans="2:15" ht="16.5" hidden="1" customHeight="1" thickBot="1">
      <c r="B164" s="870"/>
      <c r="C164" s="870"/>
      <c r="D164" s="503"/>
      <c r="E164" s="503"/>
      <c r="F164" s="3608"/>
      <c r="G164" s="3609"/>
      <c r="H164" s="3610"/>
      <c r="I164" s="3610"/>
      <c r="J164" s="3611"/>
      <c r="K164"/>
      <c r="L164"/>
      <c r="M164"/>
      <c r="N164"/>
      <c r="O164"/>
    </row>
    <row r="165" spans="2:15" ht="15.75" hidden="1">
      <c r="B165" s="870"/>
      <c r="C165" s="870"/>
      <c r="D165" s="503"/>
      <c r="E165" s="503"/>
      <c r="F165" s="1267" t="s">
        <v>31</v>
      </c>
      <c r="G165" s="1266">
        <f>COUNTIF(F156:F164,$M$3)</f>
        <v>4</v>
      </c>
      <c r="H165" s="722"/>
      <c r="I165" s="722"/>
      <c r="J165" s="722"/>
      <c r="K165"/>
      <c r="L165"/>
      <c r="M165"/>
      <c r="N165"/>
      <c r="O165"/>
    </row>
    <row r="166" spans="2:15" ht="15.75" hidden="1">
      <c r="B166" s="870"/>
      <c r="C166" s="870"/>
      <c r="D166" s="503"/>
      <c r="E166" s="503"/>
      <c r="F166" s="503"/>
      <c r="G166" s="503"/>
      <c r="H166" s="503"/>
      <c r="I166" s="503"/>
      <c r="J166" s="503"/>
      <c r="K166" s="503"/>
      <c r="L166" s="811"/>
      <c r="M166" s="503"/>
      <c r="N166" s="503"/>
      <c r="O166" s="503"/>
    </row>
    <row r="167" spans="2:15" ht="15.75" hidden="1">
      <c r="B167" s="870"/>
      <c r="C167" s="870"/>
      <c r="D167" s="499">
        <v>2.7</v>
      </c>
      <c r="E167" s="508" t="s">
        <v>2631</v>
      </c>
      <c r="F167" s="508"/>
      <c r="G167" s="807"/>
      <c r="H167" s="808"/>
      <c r="I167" s="808"/>
      <c r="J167" s="578" t="str">
        <f>IF(OR(F169=0,J168=0),$L$3,"")</f>
        <v>&lt;評価しない&gt;</v>
      </c>
      <c r="K167" s="809"/>
      <c r="L167" s="798"/>
      <c r="M167" s="506"/>
      <c r="N167" s="506"/>
      <c r="O167" s="506"/>
    </row>
    <row r="168" spans="2:15" ht="14.25" hidden="1">
      <c r="B168" s="870"/>
      <c r="C168" s="870"/>
      <c r="D168" s="788"/>
      <c r="E168" s="788"/>
      <c r="F168" s="630"/>
      <c r="G168" s="516"/>
      <c r="H168" s="517"/>
      <c r="I168" s="518" t="s">
        <v>1126</v>
      </c>
      <c r="J168" s="519">
        <f>重み!M165</f>
        <v>0</v>
      </c>
      <c r="K168" s="631"/>
      <c r="L168" s="631"/>
      <c r="M168" s="631"/>
      <c r="N168" s="631"/>
      <c r="O168" s="528"/>
    </row>
    <row r="169" spans="2:15" ht="16.5" hidden="1" thickBot="1">
      <c r="B169" s="1514" t="s">
        <v>2636</v>
      </c>
      <c r="D169" s="503"/>
      <c r="E169" s="500"/>
      <c r="F169" s="522">
        <f>IF(H175=$N$4,F175,IF(H184&lt;1,2,IF(H184=1,3,IF(H184=2,4,5))))</f>
        <v>5</v>
      </c>
      <c r="G169" s="526" t="s">
        <v>407</v>
      </c>
      <c r="H169" s="527"/>
      <c r="I169" s="527"/>
      <c r="J169" s="527"/>
      <c r="K169" s="527"/>
      <c r="L169" s="728"/>
      <c r="M169" s="527"/>
      <c r="N169" s="527"/>
      <c r="O169" s="528"/>
    </row>
    <row r="170" spans="2:15" ht="15.75" hidden="1">
      <c r="B170" s="1">
        <v>1</v>
      </c>
      <c r="C170" s="1">
        <v>1</v>
      </c>
      <c r="D170" s="503"/>
      <c r="E170" s="500"/>
      <c r="F170" s="529" t="str">
        <f>IF(F169=$F$7,$G$2,IF(ROUNDDOWN(F169,0)=$F$2,$H$2,$G$2))</f>
        <v>　レベル　1</v>
      </c>
      <c r="G170" s="531" t="s">
        <v>1794</v>
      </c>
      <c r="H170" s="532"/>
      <c r="I170" s="532"/>
      <c r="J170" s="532"/>
      <c r="K170" s="532"/>
      <c r="L170" s="729"/>
      <c r="M170" s="532"/>
      <c r="N170" s="532"/>
      <c r="O170" s="533"/>
    </row>
    <row r="171" spans="2:15" ht="15.75" hidden="1">
      <c r="B171" s="1">
        <v>2</v>
      </c>
      <c r="C171" s="1">
        <v>2</v>
      </c>
      <c r="D171" s="503"/>
      <c r="E171" s="500"/>
      <c r="F171" s="534" t="str">
        <f>IF(F169=$F$7,$G$3,IF(ROUNDDOWN(F169,0)=$F$3,$H$3,$G$3))</f>
        <v>　レベル　2</v>
      </c>
      <c r="G171" s="537" t="s">
        <v>670</v>
      </c>
      <c r="H171" s="538"/>
      <c r="I171" s="538"/>
      <c r="J171" s="538"/>
      <c r="K171" s="538"/>
      <c r="L171" s="730"/>
      <c r="M171" s="538"/>
      <c r="N171" s="538"/>
      <c r="O171" s="539"/>
    </row>
    <row r="172" spans="2:15" ht="15.75" hidden="1">
      <c r="B172" s="1">
        <v>3</v>
      </c>
      <c r="C172" s="1">
        <v>3</v>
      </c>
      <c r="D172" s="503"/>
      <c r="E172" s="500"/>
      <c r="F172" s="534" t="str">
        <f>IF(F169=$F$7,$G$4,IF(ROUNDDOWN(F169,0)=$F$4,$H$4,$G$4))</f>
        <v>　レベル　3</v>
      </c>
      <c r="G172" s="537" t="s">
        <v>2632</v>
      </c>
      <c r="H172" s="538"/>
      <c r="I172" s="538"/>
      <c r="J172" s="538"/>
      <c r="K172" s="538"/>
      <c r="L172" s="730"/>
      <c r="M172" s="538"/>
      <c r="N172" s="538"/>
      <c r="O172" s="539"/>
    </row>
    <row r="173" spans="2:15" ht="15.75" hidden="1">
      <c r="B173" s="1">
        <v>4</v>
      </c>
      <c r="C173" s="1">
        <v>4</v>
      </c>
      <c r="D173" s="503"/>
      <c r="E173" s="500"/>
      <c r="F173" s="534" t="str">
        <f>IF(F169=$F$7,$G$5,IF(ROUNDDOWN(F169,0)=$F$5,$H$5,$G$5))</f>
        <v>　レベル　4</v>
      </c>
      <c r="G173" s="537" t="s">
        <v>1480</v>
      </c>
      <c r="H173" s="538"/>
      <c r="I173" s="538"/>
      <c r="J173" s="538"/>
      <c r="K173" s="538"/>
      <c r="L173" s="730"/>
      <c r="M173" s="538"/>
      <c r="N173" s="538"/>
      <c r="O173" s="539"/>
    </row>
    <row r="174" spans="2:15" ht="15.75" hidden="1">
      <c r="B174" s="1">
        <v>5</v>
      </c>
      <c r="C174" s="1">
        <v>5</v>
      </c>
      <c r="D174" s="503"/>
      <c r="E174" s="500"/>
      <c r="F174" s="544" t="str">
        <f>IF(F169=$F$7,$G$6,IF(ROUNDDOWN(F169,0)=$F$6,$H$6,$G$6))</f>
        <v>■レベル　5</v>
      </c>
      <c r="G174" s="548" t="s">
        <v>2635</v>
      </c>
      <c r="H174" s="549"/>
      <c r="I174" s="549"/>
      <c r="J174" s="549"/>
      <c r="K174" s="549"/>
      <c r="L174" s="731"/>
      <c r="M174" s="549"/>
      <c r="N174" s="549"/>
      <c r="O174" s="550"/>
    </row>
    <row r="175" spans="2:15" ht="16.5" hidden="1" thickBot="1">
      <c r="B175" s="551">
        <v>0</v>
      </c>
      <c r="C175" s="551">
        <v>0</v>
      </c>
      <c r="D175" s="499"/>
      <c r="E175" s="508"/>
      <c r="F175" s="522">
        <v>0</v>
      </c>
      <c r="G175" s="692" t="s">
        <v>2217</v>
      </c>
      <c r="H175" s="1575" t="s">
        <v>2690</v>
      </c>
      <c r="I175"/>
      <c r="J175" s="584"/>
      <c r="K175" s="509"/>
      <c r="L175" s="787"/>
      <c r="M175" s="509"/>
      <c r="N175" s="509"/>
      <c r="O175" s="509"/>
    </row>
    <row r="176" spans="2:15" ht="15.75" hidden="1">
      <c r="D176" s="503"/>
      <c r="E176" s="503"/>
      <c r="F176"/>
      <c r="G176" s="612" t="s">
        <v>2229</v>
      </c>
      <c r="H176"/>
      <c r="I176"/>
      <c r="J176"/>
      <c r="K176" s="503"/>
      <c r="L176" s="811"/>
      <c r="M176" s="503"/>
      <c r="N176" s="503"/>
      <c r="O176" s="503"/>
    </row>
    <row r="177" spans="2:15" ht="15.75" hidden="1">
      <c r="D177" s="503"/>
      <c r="E177" s="503"/>
      <c r="F177"/>
      <c r="G177" s="667" t="s">
        <v>954</v>
      </c>
      <c r="H177" s="765" t="s">
        <v>2671</v>
      </c>
      <c r="I177" s="1560"/>
      <c r="J177" s="1560"/>
      <c r="K177" s="1560"/>
      <c r="L177" s="1560"/>
      <c r="M177" s="1560"/>
      <c r="N177" s="1560"/>
      <c r="O177" s="1561"/>
    </row>
    <row r="178" spans="2:15" ht="15.75" hidden="1">
      <c r="D178" s="503"/>
      <c r="E178" s="503"/>
      <c r="F178"/>
      <c r="G178" s="723" t="s">
        <v>2222</v>
      </c>
      <c r="H178" s="698" t="s">
        <v>2672</v>
      </c>
      <c r="I178" s="720"/>
      <c r="J178" s="720"/>
      <c r="K178" s="720"/>
      <c r="L178" s="720"/>
      <c r="M178" s="720"/>
      <c r="N178" s="720"/>
      <c r="O178" s="1559"/>
    </row>
    <row r="179" spans="2:15" ht="15.75" hidden="1">
      <c r="D179" s="503"/>
      <c r="E179" s="503"/>
      <c r="F179"/>
      <c r="G179" s="726" t="s">
        <v>2222</v>
      </c>
      <c r="H179" s="663" t="s">
        <v>2673</v>
      </c>
      <c r="I179" s="647"/>
      <c r="J179" s="647"/>
      <c r="K179" s="647"/>
      <c r="L179" s="647"/>
      <c r="M179" s="647"/>
      <c r="N179" s="647"/>
      <c r="O179" s="543"/>
    </row>
    <row r="180" spans="2:15" ht="15.75" hidden="1">
      <c r="D180" s="503"/>
      <c r="E180" s="503"/>
      <c r="F180"/>
      <c r="G180" s="726"/>
      <c r="H180" s="663" t="s">
        <v>2674</v>
      </c>
      <c r="I180" s="647"/>
      <c r="J180" s="647"/>
      <c r="K180" s="647"/>
      <c r="L180" s="647"/>
      <c r="M180" s="647"/>
      <c r="N180" s="647"/>
      <c r="O180" s="543"/>
    </row>
    <row r="181" spans="2:15" ht="15.75" hidden="1">
      <c r="D181" s="503"/>
      <c r="E181" s="503"/>
      <c r="F181"/>
      <c r="G181" s="1265"/>
      <c r="H181" s="663" t="s">
        <v>2675</v>
      </c>
      <c r="I181" s="647"/>
      <c r="J181" s="647"/>
      <c r="K181" s="647"/>
      <c r="L181" s="647"/>
      <c r="M181" s="647"/>
      <c r="N181" s="647"/>
      <c r="O181" s="543"/>
    </row>
    <row r="182" spans="2:15" ht="15.75" hidden="1">
      <c r="D182" s="503"/>
      <c r="E182" s="503"/>
      <c r="F182"/>
      <c r="G182" s="3607" t="s">
        <v>2222</v>
      </c>
      <c r="H182" s="1564" t="s">
        <v>2676</v>
      </c>
      <c r="I182" s="1563"/>
      <c r="J182" s="1563"/>
      <c r="K182" s="1563"/>
      <c r="L182" s="1563"/>
      <c r="M182" s="1563"/>
      <c r="N182" s="1563"/>
      <c r="O182" s="1565"/>
    </row>
    <row r="183" spans="2:15" ht="16.5" hidden="1" thickBot="1">
      <c r="D183" s="503"/>
      <c r="E183" s="503"/>
      <c r="F183"/>
      <c r="G183" s="3608"/>
      <c r="H183" s="3612"/>
      <c r="I183" s="3613"/>
      <c r="J183" s="3613"/>
      <c r="K183" s="3613"/>
      <c r="L183" s="3613"/>
      <c r="M183" s="3613"/>
      <c r="N183" s="3613"/>
      <c r="O183" s="3614"/>
    </row>
    <row r="184" spans="2:15" ht="15.75" hidden="1">
      <c r="D184" s="503"/>
      <c r="E184" s="503"/>
      <c r="F184"/>
      <c r="G184" s="1267" t="s">
        <v>31</v>
      </c>
      <c r="H184" s="1266">
        <f>COUNTIF(G178:G182,$M$3)</f>
        <v>3</v>
      </c>
      <c r="I184" s="722"/>
      <c r="J184" s="722"/>
      <c r="K184" s="722"/>
      <c r="L184" s="722"/>
      <c r="M184" s="722"/>
      <c r="N184" s="722"/>
      <c r="O184" s="722"/>
    </row>
    <row r="185" spans="2:15" ht="15.75">
      <c r="B185" s="870"/>
      <c r="C185" s="870"/>
      <c r="D185" s="503"/>
      <c r="E185" s="503"/>
      <c r="F185" s="503"/>
      <c r="G185" s="503"/>
      <c r="H185" s="503"/>
      <c r="I185" s="503"/>
      <c r="J185" s="503"/>
      <c r="K185" s="503"/>
      <c r="L185" s="811"/>
      <c r="M185" s="503"/>
      <c r="N185" s="503"/>
      <c r="O185" s="503"/>
    </row>
    <row r="186" spans="2:15" ht="15.75">
      <c r="D186" s="503">
        <v>3</v>
      </c>
      <c r="E186" s="510" t="s">
        <v>1062</v>
      </c>
      <c r="F186" s="503"/>
      <c r="G186" s="503"/>
      <c r="H186" s="503"/>
      <c r="I186" s="503"/>
      <c r="J186" s="503"/>
      <c r="K186" s="503"/>
      <c r="L186" s="811"/>
      <c r="M186" s="503"/>
      <c r="N186" s="503"/>
      <c r="O186" s="503"/>
    </row>
    <row r="187" spans="2:15" ht="15.75">
      <c r="D187" s="499">
        <v>3.1</v>
      </c>
      <c r="E187" s="508" t="s">
        <v>1063</v>
      </c>
      <c r="F187" s="508"/>
      <c r="G187" s="503"/>
      <c r="H187" s="503"/>
      <c r="I187"/>
      <c r="J187" t="str">
        <f>IF(OR(F189=0,J188=0),$L$3,"")</f>
        <v/>
      </c>
      <c r="K187"/>
      <c r="L187"/>
      <c r="M187"/>
      <c r="N187"/>
      <c r="O187"/>
    </row>
    <row r="188" spans="2:15" ht="13.5" customHeight="1" thickBot="1">
      <c r="D188" s="788"/>
      <c r="E188" s="788"/>
      <c r="F188" s="630"/>
      <c r="G188" s="516"/>
      <c r="H188" s="517"/>
      <c r="I188" s="518" t="s">
        <v>1126</v>
      </c>
      <c r="J188" s="519">
        <f>重み!M167</f>
        <v>0.3</v>
      </c>
      <c r="K188" s="631"/>
      <c r="L188" s="631"/>
      <c r="M188" s="631"/>
      <c r="N188" s="631"/>
      <c r="O188" s="528"/>
    </row>
    <row r="189" spans="2:15" ht="27" customHeight="1" thickBot="1">
      <c r="B189" t="s">
        <v>2967</v>
      </c>
      <c r="D189" s="503"/>
      <c r="E189" s="500"/>
      <c r="F189" s="1777">
        <f>G197</f>
        <v>3</v>
      </c>
      <c r="G189" s="526" t="s">
        <v>407</v>
      </c>
      <c r="H189" s="527"/>
      <c r="I189" s="527"/>
      <c r="J189" s="527"/>
      <c r="K189" s="527"/>
      <c r="L189" s="728"/>
      <c r="M189" s="527"/>
      <c r="N189" s="527"/>
      <c r="O189" s="528"/>
    </row>
    <row r="190" spans="2:15" ht="21" customHeight="1">
      <c r="B190">
        <v>0</v>
      </c>
      <c r="D190" s="503"/>
      <c r="E190" s="500"/>
      <c r="F190" s="529" t="str">
        <f>IF(F189=$F$7,$G$2,IF(ROUNDDOWN(F189,0)=$F$2,$H$2,$G$2))</f>
        <v>　レベル　1</v>
      </c>
      <c r="G190" s="531" t="s">
        <v>1794</v>
      </c>
      <c r="H190" s="532"/>
      <c r="I190" s="532"/>
      <c r="J190" s="532"/>
      <c r="K190" s="532"/>
      <c r="L190" s="729"/>
      <c r="M190" s="532"/>
      <c r="N190" s="532"/>
      <c r="O190" s="533"/>
    </row>
    <row r="191" spans="2:15" ht="21" customHeight="1">
      <c r="B191">
        <v>0</v>
      </c>
      <c r="D191" s="503"/>
      <c r="E191" s="500"/>
      <c r="F191" s="534" t="str">
        <f>IF(F189=$F$7,$G$3,IF(ROUNDDOWN(F189,0)=$F$3,$H$3,$G$3))</f>
        <v>　レベル　2</v>
      </c>
      <c r="G191" s="537" t="s">
        <v>1794</v>
      </c>
      <c r="H191" s="538"/>
      <c r="I191" s="538"/>
      <c r="J191" s="538"/>
      <c r="K191" s="538"/>
      <c r="L191" s="730"/>
      <c r="M191" s="538"/>
      <c r="N191" s="538"/>
      <c r="O191" s="539"/>
    </row>
    <row r="192" spans="2:15" ht="21" customHeight="1">
      <c r="B192">
        <v>0</v>
      </c>
      <c r="D192" s="503"/>
      <c r="E192" s="500"/>
      <c r="F192" s="534" t="str">
        <f>IF(F189=$F$7,$G$4,IF(ROUNDDOWN(F189,0)=$F$4,$H$4,$G$4))</f>
        <v>■レベル　3</v>
      </c>
      <c r="G192" s="537" t="s">
        <v>164</v>
      </c>
      <c r="H192" s="538"/>
      <c r="I192" s="538"/>
      <c r="J192" s="538"/>
      <c r="K192" s="538"/>
      <c r="L192" s="730"/>
      <c r="M192" s="538"/>
      <c r="N192" s="538"/>
      <c r="O192" s="539"/>
    </row>
    <row r="193" spans="2:15" ht="21" customHeight="1">
      <c r="B193">
        <v>1</v>
      </c>
      <c r="D193" s="503"/>
      <c r="E193" s="500"/>
      <c r="F193" s="534" t="str">
        <f>IF(F189=$F$7,$G$5,IF(ROUNDDOWN(F189,0)=$F$5,$H$5,$G$5))</f>
        <v>　レベル　4</v>
      </c>
      <c r="G193" s="537" t="s">
        <v>165</v>
      </c>
      <c r="H193" s="538"/>
      <c r="I193" s="538"/>
      <c r="J193" s="538"/>
      <c r="K193" s="538"/>
      <c r="L193" s="730"/>
      <c r="M193" s="538"/>
      <c r="N193" s="538"/>
      <c r="O193" s="539"/>
    </row>
    <row r="194" spans="2:15" ht="21" customHeight="1">
      <c r="B194">
        <v>4</v>
      </c>
      <c r="D194" s="503"/>
      <c r="E194" s="500"/>
      <c r="F194" s="544" t="str">
        <f>IF(F189=$F$7,$G$6,IF(ROUNDDOWN(F189,0)=$F$6,$H$6,$G$6))</f>
        <v>　レベル　5</v>
      </c>
      <c r="G194" s="657" t="s">
        <v>166</v>
      </c>
      <c r="H194" s="658"/>
      <c r="I194" s="658"/>
      <c r="J194" s="658"/>
      <c r="K194" s="549"/>
      <c r="L194" s="731"/>
      <c r="M194" s="549"/>
      <c r="N194" s="549"/>
      <c r="O194" s="550"/>
    </row>
    <row r="195" spans="2:15" ht="14.25">
      <c r="D195"/>
      <c r="E195"/>
      <c r="F195" s="839" t="s">
        <v>2938</v>
      </c>
      <c r="G195" s="1941"/>
      <c r="H195" s="1917"/>
      <c r="I195" s="1915"/>
      <c r="J195" s="1916"/>
      <c r="K195" s="2094" t="s">
        <v>3272</v>
      </c>
      <c r="N195" s="509"/>
      <c r="O195" s="500"/>
    </row>
    <row r="196" spans="2:15" ht="14.25">
      <c r="C196" s="870"/>
      <c r="D196"/>
      <c r="E196"/>
      <c r="F196" s="507" t="s">
        <v>2957</v>
      </c>
      <c r="G196"/>
      <c r="H196"/>
      <c r="I196" s="500"/>
      <c r="J196" s="500"/>
      <c r="K196" s="1918"/>
      <c r="N196" s="509"/>
      <c r="O196" s="500"/>
    </row>
    <row r="197" spans="2:15" ht="15.75">
      <c r="D197" s="503"/>
      <c r="E197" s="404"/>
      <c r="G197" s="1975">
        <f>IF(L207&gt;=B194,5,IF(L207&gt;=B193,4,IF(L207&gt;=B192,3,IF(L207&gt;=B191,2,1))))</f>
        <v>3</v>
      </c>
      <c r="H197" s="1706" t="s">
        <v>167</v>
      </c>
      <c r="I197" s="408" t="s">
        <v>2301</v>
      </c>
      <c r="J197" s="2227"/>
      <c r="L197" s="1947" t="s">
        <v>2958</v>
      </c>
      <c r="M197" s="1709" t="s">
        <v>167</v>
      </c>
      <c r="N197" s="2228" t="s">
        <v>2301</v>
      </c>
      <c r="O197" s="2280"/>
    </row>
    <row r="198" spans="2:15" ht="15" customHeight="1">
      <c r="D198" s="503"/>
      <c r="E198" s="404"/>
      <c r="F198" s="1927"/>
      <c r="G198" s="1928"/>
      <c r="H198" s="532" t="s">
        <v>2302</v>
      </c>
      <c r="I198" s="814" t="s">
        <v>2303</v>
      </c>
      <c r="J198" s="815"/>
      <c r="K198" s="1927"/>
      <c r="L198" s="1948"/>
      <c r="M198" s="532" t="s">
        <v>1959</v>
      </c>
      <c r="N198" s="814" t="s">
        <v>1960</v>
      </c>
      <c r="O198" s="815"/>
    </row>
    <row r="199" spans="2:15" ht="15" customHeight="1">
      <c r="B199" t="s">
        <v>2959</v>
      </c>
      <c r="D199" s="503"/>
      <c r="E199" s="404"/>
      <c r="F199" s="1927"/>
      <c r="G199" s="1922"/>
      <c r="H199" s="538"/>
      <c r="I199" s="816" t="s">
        <v>2304</v>
      </c>
      <c r="J199" s="817"/>
      <c r="K199" s="1927"/>
      <c r="L199" s="1922"/>
      <c r="M199" s="538"/>
      <c r="N199" s="816" t="s">
        <v>1961</v>
      </c>
      <c r="O199" s="661"/>
    </row>
    <row r="200" spans="2:15" ht="15" customHeight="1">
      <c r="D200" s="503"/>
      <c r="E200" s="404"/>
      <c r="F200" s="1927"/>
      <c r="G200" s="1922"/>
      <c r="H200" s="538"/>
      <c r="I200" s="816" t="s">
        <v>2305</v>
      </c>
      <c r="J200" s="817"/>
      <c r="K200" s="1927"/>
      <c r="L200" s="1922"/>
      <c r="M200" s="538"/>
      <c r="N200" s="816" t="s">
        <v>1962</v>
      </c>
      <c r="O200" s="661"/>
    </row>
    <row r="201" spans="2:15" ht="15" customHeight="1">
      <c r="D201" s="503"/>
      <c r="E201" s="404"/>
      <c r="F201" s="1927"/>
      <c r="G201" s="1922"/>
      <c r="H201" s="549"/>
      <c r="I201" s="818" t="s">
        <v>2306</v>
      </c>
      <c r="J201" s="819"/>
      <c r="K201" s="1927"/>
      <c r="L201" s="1922"/>
      <c r="M201" s="549"/>
      <c r="N201" s="818" t="s">
        <v>1963</v>
      </c>
      <c r="O201" s="819"/>
    </row>
    <row r="202" spans="2:15" ht="15" customHeight="1">
      <c r="D202" s="503"/>
      <c r="E202" s="404"/>
      <c r="F202" s="1927"/>
      <c r="G202" s="1922"/>
      <c r="H202" s="532" t="s">
        <v>2307</v>
      </c>
      <c r="I202" s="814" t="s">
        <v>2308</v>
      </c>
      <c r="J202" s="815"/>
      <c r="K202" s="1927"/>
      <c r="L202" s="1922"/>
      <c r="M202" s="532" t="s">
        <v>2296</v>
      </c>
      <c r="N202" s="814" t="s">
        <v>2297</v>
      </c>
      <c r="O202" s="815"/>
    </row>
    <row r="203" spans="2:15" ht="15" customHeight="1">
      <c r="D203" s="503"/>
      <c r="E203" s="404"/>
      <c r="F203" s="1927"/>
      <c r="G203" s="1922"/>
      <c r="H203" s="538"/>
      <c r="I203" s="816" t="s">
        <v>2309</v>
      </c>
      <c r="J203" s="661"/>
      <c r="K203" s="1927"/>
      <c r="L203" s="1922"/>
      <c r="M203" s="549"/>
      <c r="N203" s="818" t="s">
        <v>2298</v>
      </c>
      <c r="O203" s="819"/>
    </row>
    <row r="204" spans="2:15" ht="15" customHeight="1">
      <c r="D204" s="503"/>
      <c r="E204" s="404"/>
      <c r="F204" s="1927"/>
      <c r="G204" s="1922"/>
      <c r="H204" s="538"/>
      <c r="I204" s="816" t="s">
        <v>2310</v>
      </c>
      <c r="J204" s="661"/>
      <c r="K204" s="1927"/>
      <c r="L204" s="1922"/>
      <c r="M204" s="829" t="s">
        <v>2299</v>
      </c>
      <c r="N204" s="1912" t="s">
        <v>1506</v>
      </c>
      <c r="O204" s="1911"/>
    </row>
    <row r="205" spans="2:15" ht="15" customHeight="1">
      <c r="D205" s="503"/>
      <c r="E205" s="404"/>
      <c r="F205" s="1927"/>
      <c r="G205" s="1922"/>
      <c r="H205" s="549"/>
      <c r="I205" s="818" t="s">
        <v>2311</v>
      </c>
      <c r="J205" s="819"/>
      <c r="K205" s="1927"/>
      <c r="L205" s="1922"/>
      <c r="M205" s="823" t="s">
        <v>1507</v>
      </c>
      <c r="N205" s="605" t="s">
        <v>1508</v>
      </c>
      <c r="O205" s="1913"/>
    </row>
    <row r="206" spans="2:15" ht="15" customHeight="1">
      <c r="D206" s="503"/>
      <c r="E206" s="404"/>
      <c r="F206" s="1927"/>
      <c r="G206" s="1922"/>
      <c r="H206" s="532" t="s">
        <v>2312</v>
      </c>
      <c r="I206" s="814" t="s">
        <v>2313</v>
      </c>
      <c r="J206" s="815"/>
      <c r="K206" s="1927"/>
      <c r="L206" s="1923"/>
      <c r="M206" s="823" t="s">
        <v>1509</v>
      </c>
      <c r="N206" s="605" t="s">
        <v>2291</v>
      </c>
      <c r="O206" s="1913"/>
    </row>
    <row r="207" spans="2:15" ht="15" customHeight="1">
      <c r="D207" s="503"/>
      <c r="E207" s="404"/>
      <c r="F207" s="1927"/>
      <c r="G207" s="1922"/>
      <c r="H207" s="549"/>
      <c r="I207" s="818" t="s">
        <v>1958</v>
      </c>
      <c r="J207" s="819"/>
      <c r="K207" s="1927" t="s">
        <v>2952</v>
      </c>
      <c r="L207" s="1782">
        <f>COUNTIF(G198:G207,B199)+COUNTIF(L198:L206,B199)</f>
        <v>0</v>
      </c>
      <c r="M207" s="1444" t="s">
        <v>2937</v>
      </c>
      <c r="N207" s="1780"/>
      <c r="O207" s="1914"/>
    </row>
    <row r="208" spans="2:15">
      <c r="D208" s="500"/>
      <c r="E208" s="500"/>
      <c r="F208" s="500"/>
      <c r="G208" s="820"/>
      <c r="H208" s="820"/>
      <c r="I208" s="820"/>
      <c r="J208" s="820"/>
      <c r="K208"/>
      <c r="L208" s="821"/>
      <c r="M208" s="500"/>
      <c r="N208" s="500"/>
      <c r="O208" s="500"/>
    </row>
    <row r="209" spans="2:15" ht="13.5" customHeight="1">
      <c r="D209" s="499">
        <v>3.2</v>
      </c>
      <c r="E209" s="508" t="s">
        <v>1064</v>
      </c>
      <c r="F209" s="508"/>
      <c r="G209" s="512"/>
      <c r="H209" s="509"/>
      <c r="I209" s="509"/>
      <c r="J209" s="509"/>
      <c r="K209" s="512"/>
      <c r="L209" s="787"/>
      <c r="M209" s="509"/>
      <c r="N209" s="512"/>
      <c r="O209" s="509"/>
    </row>
    <row r="210" spans="2:15" ht="13.5" customHeight="1">
      <c r="D210" s="499"/>
      <c r="E210" s="508"/>
      <c r="F210" s="629" t="s">
        <v>2292</v>
      </c>
      <c r="G210" s="512"/>
      <c r="H210" s="509"/>
      <c r="I210" s="509"/>
      <c r="J210" t="str">
        <f>IF(OR(F212=0,J211=0),$L$3,"")</f>
        <v>&lt;評価しない&gt;</v>
      </c>
    </row>
    <row r="211" spans="2:15" ht="13.5" customHeight="1" thickBot="1">
      <c r="D211" s="503"/>
      <c r="E211" s="500"/>
      <c r="F211" s="515"/>
      <c r="G211" s="516"/>
      <c r="H211" s="1441"/>
      <c r="I211" s="518" t="s">
        <v>1126</v>
      </c>
      <c r="J211" s="521">
        <f>重み!M169</f>
        <v>0.33333333333333331</v>
      </c>
    </row>
    <row r="212" spans="2:15" ht="27" customHeight="1" thickBot="1">
      <c r="D212" s="503"/>
      <c r="E212" s="500"/>
      <c r="F212" s="522">
        <v>0</v>
      </c>
      <c r="G212" s="526" t="s">
        <v>407</v>
      </c>
      <c r="H212" s="527"/>
      <c r="I212" s="527"/>
      <c r="J212" s="527"/>
      <c r="K212" s="527"/>
      <c r="L212" s="527"/>
      <c r="M212" s="527"/>
      <c r="N212" s="618" t="s">
        <v>1089</v>
      </c>
      <c r="O212" s="637"/>
    </row>
    <row r="213" spans="2:15" ht="21.75" customHeight="1">
      <c r="B213" s="1">
        <v>1</v>
      </c>
      <c r="D213" s="503"/>
      <c r="E213" s="500"/>
      <c r="F213" s="529" t="str">
        <f>IF(F212=$F$7,$G$2,IF(ROUNDDOWN(F212,0)=$F$2,$H$2,$G$2))</f>
        <v>　レベル　1</v>
      </c>
      <c r="G213" s="1263" t="s">
        <v>2294</v>
      </c>
      <c r="H213" s="698"/>
      <c r="I213" s="698"/>
      <c r="J213" s="698"/>
      <c r="K213" s="698"/>
      <c r="L213" s="698"/>
      <c r="M213" s="699"/>
      <c r="N213" s="3400" t="s">
        <v>2951</v>
      </c>
      <c r="O213" s="3401"/>
    </row>
    <row r="214" spans="2:15" ht="21.75" customHeight="1">
      <c r="B214" s="1">
        <v>2</v>
      </c>
      <c r="D214" s="503"/>
      <c r="E214" s="500"/>
      <c r="F214" s="534" t="str">
        <f>IF(F212=$F$7,$G$3,IF(ROUNDDOWN(F212,0)=$F$3,$H$3,$G$3))</f>
        <v>　レベル　2</v>
      </c>
      <c r="G214" s="537" t="s">
        <v>2295</v>
      </c>
      <c r="H214" s="538"/>
      <c r="I214" s="538"/>
      <c r="J214" s="538"/>
      <c r="K214" s="538"/>
      <c r="L214" s="538"/>
      <c r="M214" s="538"/>
      <c r="N214" s="3554"/>
      <c r="O214" s="3615"/>
    </row>
    <row r="215" spans="2:15" ht="21.75" customHeight="1">
      <c r="B215" s="1" t="s">
        <v>947</v>
      </c>
      <c r="D215" s="503"/>
      <c r="E215" s="500"/>
      <c r="F215" s="534" t="str">
        <f>IF(F212=$F$7,$G$4,IF(ROUNDDOWN(F212,0)=$F$4,$H$4,$G$4))</f>
        <v>　レベル　3</v>
      </c>
      <c r="G215" s="537" t="s">
        <v>1794</v>
      </c>
      <c r="H215" s="538"/>
      <c r="I215" s="538"/>
      <c r="J215" s="538"/>
      <c r="K215" s="538"/>
      <c r="L215" s="538"/>
      <c r="M215" s="538"/>
      <c r="N215" s="3554"/>
      <c r="O215" s="3615"/>
    </row>
    <row r="216" spans="2:15" ht="21.75" customHeight="1">
      <c r="B216" s="1">
        <v>4</v>
      </c>
      <c r="D216" s="503"/>
      <c r="E216" s="500"/>
      <c r="F216" s="534" t="str">
        <f>IF(F212=$F$7,$G$5,IF(ROUNDDOWN(F212,0)=$F$5,$H$5,$G$5))</f>
        <v>　レベル　4</v>
      </c>
      <c r="G216" s="662" t="s">
        <v>54</v>
      </c>
      <c r="H216" s="663"/>
      <c r="I216" s="663"/>
      <c r="J216" s="663"/>
      <c r="K216" s="663"/>
      <c r="L216" s="663"/>
      <c r="M216" s="701"/>
      <c r="N216" s="3554"/>
      <c r="O216" s="3615"/>
    </row>
    <row r="217" spans="2:15" ht="21.75" customHeight="1">
      <c r="B217" s="1" t="s">
        <v>948</v>
      </c>
      <c r="D217" s="503"/>
      <c r="E217" s="628"/>
      <c r="F217" s="544" t="str">
        <f>IF(F212=$F$7,$G$6,IF(ROUNDDOWN(F212,0)=$F$6,$H$6,$G$6))</f>
        <v>　レベル　5</v>
      </c>
      <c r="G217" s="548" t="s">
        <v>1794</v>
      </c>
      <c r="H217" s="549"/>
      <c r="I217" s="549"/>
      <c r="J217" s="549"/>
      <c r="K217" s="549"/>
      <c r="L217" s="549"/>
      <c r="M217" s="549"/>
      <c r="N217" s="3402"/>
      <c r="O217" s="3403"/>
    </row>
    <row r="218" spans="2:15" ht="13.5" customHeight="1">
      <c r="B218" s="551">
        <v>0</v>
      </c>
      <c r="D218" s="503"/>
      <c r="E218" s="628"/>
      <c r="F218" s="839" t="s">
        <v>2938</v>
      </c>
      <c r="G218" s="1941"/>
      <c r="H218" s="1917"/>
      <c r="I218" s="1915"/>
      <c r="J218" s="1916"/>
      <c r="K218" s="2094" t="s">
        <v>3285</v>
      </c>
    </row>
    <row r="219" spans="2:15" ht="13.5" customHeight="1">
      <c r="D219"/>
      <c r="E219"/>
      <c r="F219" s="1927" t="s">
        <v>2949</v>
      </c>
      <c r="G219" s="1942"/>
      <c r="H219" s="1927" t="s">
        <v>2950</v>
      </c>
      <c r="I219" s="1942"/>
      <c r="J219" s="500"/>
      <c r="K219"/>
      <c r="L219"/>
      <c r="M219"/>
      <c r="N219"/>
      <c r="O219"/>
    </row>
    <row r="220" spans="2:15" ht="13.5" customHeight="1">
      <c r="B220" s="870"/>
      <c r="C220" s="870"/>
      <c r="D220" s="503"/>
      <c r="E220" s="628"/>
      <c r="F220" s="404"/>
      <c r="G220" s="404"/>
      <c r="H220" s="404"/>
      <c r="I220" s="404"/>
      <c r="J220" s="404"/>
      <c r="K220" s="404"/>
      <c r="L220" s="798"/>
      <c r="M220" s="798"/>
      <c r="N220" s="798"/>
      <c r="O220" s="798"/>
    </row>
    <row r="221" spans="2:15" ht="13.5" customHeight="1">
      <c r="F221" s="629" t="s">
        <v>2293</v>
      </c>
      <c r="G221" s="787"/>
      <c r="H221" s="509"/>
      <c r="I221"/>
      <c r="J221" t="str">
        <f>IF(OR(F223=0,J222=0),$L$3,"")</f>
        <v/>
      </c>
      <c r="L221" s="798"/>
      <c r="M221" s="798"/>
      <c r="N221" s="798"/>
      <c r="O221" s="798"/>
    </row>
    <row r="222" spans="2:15" ht="13.5" customHeight="1" thickBot="1">
      <c r="F222" s="515"/>
      <c r="G222" s="516"/>
      <c r="H222" s="517"/>
      <c r="I222" s="518" t="s">
        <v>1126</v>
      </c>
      <c r="J222" s="521">
        <f>重み!M170</f>
        <v>0.33333333333333331</v>
      </c>
      <c r="L222" s="798"/>
      <c r="M222" s="798"/>
      <c r="N222" s="798"/>
      <c r="O222" s="798"/>
    </row>
    <row r="223" spans="2:15" ht="27" customHeight="1" thickBot="1">
      <c r="F223" s="522">
        <v>3</v>
      </c>
      <c r="G223" s="526" t="s">
        <v>407</v>
      </c>
      <c r="H223" s="527"/>
      <c r="I223" s="527"/>
      <c r="J223" s="527"/>
      <c r="K223" s="527"/>
      <c r="L223" s="728"/>
      <c r="M223" s="527"/>
      <c r="N223" s="527"/>
      <c r="O223" s="528"/>
    </row>
    <row r="224" spans="2:15" ht="20.25" customHeight="1">
      <c r="B224" s="1">
        <v>1</v>
      </c>
      <c r="F224" s="529" t="str">
        <f>IF(F223=$F$7,$G$2,IF(ROUNDDOWN(F223,0)=$F$2,$H$2,$G$2))</f>
        <v>　レベル　1</v>
      </c>
      <c r="G224" s="531" t="s">
        <v>3853</v>
      </c>
      <c r="H224" s="532"/>
      <c r="I224" s="532"/>
      <c r="J224" s="532"/>
      <c r="K224" s="532"/>
      <c r="L224" s="532"/>
      <c r="M224" s="532"/>
      <c r="N224" s="532"/>
      <c r="O224" s="533"/>
    </row>
    <row r="225" spans="2:15" ht="20.25" customHeight="1">
      <c r="B225" s="1" t="s">
        <v>4114</v>
      </c>
      <c r="F225" s="534" t="str">
        <f>IF(F223=$F$7,$G$3,IF(ROUNDDOWN(F223,0)=$F$3,$H$3,$G$3))</f>
        <v>　レベル　2</v>
      </c>
      <c r="G225" s="537" t="s">
        <v>3854</v>
      </c>
      <c r="H225" s="538"/>
      <c r="I225" s="538"/>
      <c r="J225" s="538"/>
      <c r="K225" s="538"/>
      <c r="L225" s="538"/>
      <c r="M225" s="538"/>
      <c r="N225" s="538"/>
      <c r="O225" s="539"/>
    </row>
    <row r="226" spans="2:15" ht="20.25" customHeight="1">
      <c r="B226" s="1">
        <v>3</v>
      </c>
      <c r="F226" s="534" t="str">
        <f>IF(F223=$F$7,$G$4,IF(ROUNDDOWN(F223,0)=$F$4,$H$4,$G$4))</f>
        <v>■レベル　3</v>
      </c>
      <c r="G226" s="537" t="s">
        <v>3855</v>
      </c>
      <c r="H226" s="538"/>
      <c r="I226" s="538"/>
      <c r="J226" s="538"/>
      <c r="K226" s="538"/>
      <c r="L226" s="538"/>
      <c r="M226" s="538"/>
      <c r="N226" s="538"/>
      <c r="O226" s="539"/>
    </row>
    <row r="227" spans="2:15" ht="20.25" customHeight="1">
      <c r="B227" s="1">
        <v>4</v>
      </c>
      <c r="F227" s="534" t="str">
        <f>IF(F223=$F$7,$G$5,IF(ROUNDDOWN(F223,0)=$F$5,$H$5,$G$5))</f>
        <v>　レベル　4</v>
      </c>
      <c r="G227" s="662" t="s">
        <v>3856</v>
      </c>
      <c r="H227" s="663"/>
      <c r="I227" s="663"/>
      <c r="J227" s="663"/>
      <c r="K227" s="663"/>
      <c r="L227" s="663"/>
      <c r="M227" s="663"/>
      <c r="N227" s="663"/>
      <c r="O227" s="701"/>
    </row>
    <row r="228" spans="2:15" ht="25.5" customHeight="1">
      <c r="B228" s="1">
        <v>5</v>
      </c>
      <c r="F228" s="544" t="str">
        <f>IF(F223=$F$7,$G$6,IF(ROUNDDOWN(F223,0)=$F$6,$H$6,$G$6))</f>
        <v>　レベル　5</v>
      </c>
      <c r="G228" s="3332" t="s">
        <v>3857</v>
      </c>
      <c r="H228" s="3350"/>
      <c r="I228" s="3350"/>
      <c r="J228" s="3350"/>
      <c r="K228" s="3350"/>
      <c r="L228" s="3350"/>
      <c r="M228" s="3350"/>
      <c r="N228" s="3350"/>
      <c r="O228" s="3356"/>
    </row>
    <row r="229" spans="2:15" ht="13.5" customHeight="1">
      <c r="B229" s="551">
        <v>0</v>
      </c>
      <c r="F229" s="839" t="s">
        <v>2938</v>
      </c>
      <c r="G229" s="1941"/>
      <c r="H229" s="1917"/>
      <c r="I229" s="1915"/>
      <c r="J229" s="1916"/>
      <c r="K229" s="2094" t="s">
        <v>3277</v>
      </c>
      <c r="M229" s="798"/>
      <c r="N229" s="798"/>
      <c r="O229" s="798"/>
    </row>
    <row r="230" spans="2:15">
      <c r="F230" s="1927" t="s">
        <v>2949</v>
      </c>
      <c r="G230" s="1942">
        <v>0</v>
      </c>
      <c r="H230" s="1927" t="s">
        <v>2950</v>
      </c>
      <c r="I230" s="1942">
        <v>1430</v>
      </c>
      <c r="J230" s="1927"/>
      <c r="K230" s="1927"/>
    </row>
    <row r="286" spans="4:11" ht="8.25" customHeight="1"/>
    <row r="287" spans="4:11" ht="15.75">
      <c r="D287" s="503"/>
      <c r="E287" s="628"/>
      <c r="F287" s="629" t="s">
        <v>1760</v>
      </c>
      <c r="G287" s="404"/>
      <c r="H287" s="404"/>
      <c r="I287"/>
      <c r="J287" t="str">
        <f>IF(OR(F289=0,J288=0),$L$3,"")</f>
        <v/>
      </c>
      <c r="K287"/>
    </row>
    <row r="288" spans="4:11" ht="16.5" thickBot="1">
      <c r="D288" s="503"/>
      <c r="E288" s="628"/>
      <c r="F288" s="515"/>
      <c r="G288" s="516"/>
      <c r="H288" s="517"/>
      <c r="I288" s="518" t="s">
        <v>1126</v>
      </c>
      <c r="J288" s="521">
        <f>重み!M171</f>
        <v>0.33333333333333331</v>
      </c>
      <c r="K288" s="404"/>
    </row>
    <row r="289" spans="2:15" ht="26.25" customHeight="1" thickBot="1">
      <c r="D289" s="503"/>
      <c r="E289" s="628"/>
      <c r="F289" s="522">
        <v>3</v>
      </c>
      <c r="G289" s="526" t="s">
        <v>407</v>
      </c>
      <c r="H289" s="527"/>
      <c r="I289" s="527"/>
      <c r="J289" s="527"/>
      <c r="K289" s="527"/>
      <c r="L289" s="527"/>
      <c r="M289" s="527"/>
      <c r="N289" s="618" t="s">
        <v>1089</v>
      </c>
      <c r="O289" s="637"/>
    </row>
    <row r="290" spans="2:15" ht="22.5" customHeight="1">
      <c r="B290" s="1" t="s">
        <v>2375</v>
      </c>
      <c r="D290" s="503"/>
      <c r="E290" s="628"/>
      <c r="F290" s="529" t="str">
        <f>IF(F289=$F$7,$G$2,IF(ROUNDDOWN(F289,0)=$F$2,$H$2,$G$2))</f>
        <v>　レベル　1</v>
      </c>
      <c r="G290" s="537" t="s">
        <v>1794</v>
      </c>
      <c r="H290" s="698"/>
      <c r="I290" s="698"/>
      <c r="J290" s="698"/>
      <c r="K290" s="698"/>
      <c r="L290" s="698"/>
      <c r="M290" s="699"/>
      <c r="N290" s="3400" t="s">
        <v>2960</v>
      </c>
      <c r="O290" s="3401"/>
    </row>
    <row r="291" spans="2:15" ht="22.5" customHeight="1">
      <c r="B291" s="1">
        <v>2</v>
      </c>
      <c r="D291" s="503"/>
      <c r="E291" s="628"/>
      <c r="F291" s="534" t="str">
        <f>IF(F289=$F$7,$G$3,IF(ROUNDDOWN(F289,0)=$F$3,$H$3,$G$3))</f>
        <v>　レベル　2</v>
      </c>
      <c r="G291" s="662" t="s">
        <v>1761</v>
      </c>
      <c r="H291" s="538"/>
      <c r="I291" s="538"/>
      <c r="J291" s="538"/>
      <c r="K291" s="538"/>
      <c r="L291" s="538"/>
      <c r="M291" s="538"/>
      <c r="N291" s="3554"/>
      <c r="O291" s="3615"/>
    </row>
    <row r="292" spans="2:15" ht="22.5" customHeight="1">
      <c r="B292" s="1">
        <v>3</v>
      </c>
      <c r="D292" s="503"/>
      <c r="E292" s="628"/>
      <c r="F292" s="534" t="str">
        <f>IF(F289=$F$7,$G$4,IF(ROUNDDOWN(F289,0)=$F$4,$H$4,$G$4))</f>
        <v>■レベル　3</v>
      </c>
      <c r="G292" s="662" t="s">
        <v>1762</v>
      </c>
      <c r="H292" s="538"/>
      <c r="I292" s="538"/>
      <c r="J292" s="538"/>
      <c r="K292" s="538"/>
      <c r="L292" s="538"/>
      <c r="M292" s="538"/>
      <c r="N292" s="3554"/>
      <c r="O292" s="3615"/>
    </row>
    <row r="293" spans="2:15" ht="22.5" customHeight="1">
      <c r="B293" s="1">
        <v>4</v>
      </c>
      <c r="D293" s="503"/>
      <c r="E293" s="628"/>
      <c r="F293" s="534" t="str">
        <f>IF(F289=$F$7,$G$5,IF(ROUNDDOWN(F289,0)=$F$5,$H$5,$G$5))</f>
        <v>　レベル　4</v>
      </c>
      <c r="G293" s="662" t="s">
        <v>1763</v>
      </c>
      <c r="H293" s="663"/>
      <c r="I293" s="663"/>
      <c r="J293" s="663"/>
      <c r="K293" s="663"/>
      <c r="L293" s="663"/>
      <c r="M293" s="701"/>
      <c r="N293" s="3554"/>
      <c r="O293" s="3615"/>
    </row>
    <row r="294" spans="2:15" ht="22.5" customHeight="1">
      <c r="B294" s="1" t="s">
        <v>2375</v>
      </c>
      <c r="D294" s="503"/>
      <c r="E294" s="628"/>
      <c r="F294" s="544" t="str">
        <f>IF(F289=$F$7,$G$6,IF(ROUNDDOWN(F289,0)=$F$6,$H$6,$G$6))</f>
        <v>　レベル　5</v>
      </c>
      <c r="G294" s="548" t="s">
        <v>1794</v>
      </c>
      <c r="H294" s="549"/>
      <c r="I294" s="549"/>
      <c r="J294" s="549"/>
      <c r="K294" s="549"/>
      <c r="L294" s="549"/>
      <c r="M294" s="549"/>
      <c r="N294" s="3402"/>
      <c r="O294" s="3403"/>
    </row>
    <row r="295" spans="2:15" ht="15.75">
      <c r="B295" s="551">
        <v>0</v>
      </c>
      <c r="D295" s="503"/>
      <c r="E295" s="404"/>
      <c r="F295" s="839" t="s">
        <v>2938</v>
      </c>
      <c r="G295" s="1941" t="s">
        <v>4287</v>
      </c>
      <c r="H295" s="1917"/>
      <c r="I295" s="1915"/>
      <c r="J295" s="1916"/>
      <c r="K295" s="2094" t="s">
        <v>3286</v>
      </c>
    </row>
    <row r="296" spans="2:15">
      <c r="F296" s="1927" t="s">
        <v>2949</v>
      </c>
      <c r="G296" s="1942">
        <v>0</v>
      </c>
      <c r="H296" s="1927" t="s">
        <v>2950</v>
      </c>
      <c r="I296" s="1942">
        <v>8</v>
      </c>
      <c r="J296" s="1927"/>
      <c r="K296" s="1927"/>
      <c r="L296"/>
      <c r="M296"/>
    </row>
    <row r="297" spans="2:15">
      <c r="H297"/>
      <c r="I297"/>
      <c r="J297"/>
      <c r="K297"/>
      <c r="L297"/>
      <c r="M297"/>
    </row>
    <row r="298" spans="2:15">
      <c r="H298"/>
      <c r="I298"/>
      <c r="J298"/>
      <c r="K298"/>
      <c r="L298"/>
      <c r="M298"/>
    </row>
    <row r="299" spans="2:15" hidden="1">
      <c r="H299"/>
      <c r="I299"/>
      <c r="J299"/>
      <c r="K299"/>
      <c r="L299"/>
      <c r="M299"/>
    </row>
    <row r="300" spans="2:15" hidden="1">
      <c r="H300"/>
      <c r="I300"/>
      <c r="J300"/>
      <c r="K300"/>
      <c r="L300"/>
      <c r="M300"/>
    </row>
    <row r="301" spans="2:15" hidden="1">
      <c r="H301"/>
      <c r="I301"/>
      <c r="J301"/>
      <c r="K301"/>
      <c r="L301"/>
      <c r="M301"/>
    </row>
    <row r="438"/>
    <row r="439"/>
    <row r="440"/>
  </sheetData>
  <sheetProtection password="C784" sheet="1" objects="1" scenarios="1"/>
  <mergeCells count="48">
    <mergeCell ref="G49:J49"/>
    <mergeCell ref="H52:J52"/>
    <mergeCell ref="G45:J45"/>
    <mergeCell ref="G46:J46"/>
    <mergeCell ref="G47:J47"/>
    <mergeCell ref="G48:J48"/>
    <mergeCell ref="H54:J54"/>
    <mergeCell ref="H56:J56"/>
    <mergeCell ref="H55:J55"/>
    <mergeCell ref="N102:O106"/>
    <mergeCell ref="G130:J130"/>
    <mergeCell ref="L130:O130"/>
    <mergeCell ref="L131:O131"/>
    <mergeCell ref="L132:O132"/>
    <mergeCell ref="L133:O133"/>
    <mergeCell ref="L134:O134"/>
    <mergeCell ref="G143:J143"/>
    <mergeCell ref="G131:J131"/>
    <mergeCell ref="G132:J132"/>
    <mergeCell ref="G133:J133"/>
    <mergeCell ref="G134:J134"/>
    <mergeCell ref="K45:L49"/>
    <mergeCell ref="N47:O47"/>
    <mergeCell ref="N49:O49"/>
    <mergeCell ref="K56:N56"/>
    <mergeCell ref="K54:N54"/>
    <mergeCell ref="K55:N55"/>
    <mergeCell ref="N213:O217"/>
    <mergeCell ref="N290:O294"/>
    <mergeCell ref="L139:O139"/>
    <mergeCell ref="L140:O140"/>
    <mergeCell ref="L141:O141"/>
    <mergeCell ref="L142:O142"/>
    <mergeCell ref="L143:O143"/>
    <mergeCell ref="L157:O157"/>
    <mergeCell ref="L158:O158"/>
    <mergeCell ref="L159:O159"/>
    <mergeCell ref="L161:O161"/>
    <mergeCell ref="G228:O228"/>
    <mergeCell ref="G139:J139"/>
    <mergeCell ref="G140:J140"/>
    <mergeCell ref="G141:J141"/>
    <mergeCell ref="G142:J142"/>
    <mergeCell ref="K160:K161"/>
    <mergeCell ref="F163:F164"/>
    <mergeCell ref="G164:J164"/>
    <mergeCell ref="H183:O183"/>
    <mergeCell ref="G182:G183"/>
  </mergeCells>
  <phoneticPr fontId="27"/>
  <conditionalFormatting sqref="F14 F25 F61 F71 F87 F101 F212 F223 F289">
    <cfRule type="expression" dxfId="244" priority="115" stopIfTrue="1">
      <formula>AND(OR(F14&lt;1,F14&gt;5),F14&lt;&gt;0)</formula>
    </cfRule>
    <cfRule type="expression" dxfId="243" priority="116" stopIfTrue="1">
      <formula>$J13&gt;0</formula>
    </cfRule>
  </conditionalFormatting>
  <conditionalFormatting sqref="F129">
    <cfRule type="expression" dxfId="242" priority="92" stopIfTrue="1">
      <formula>AND(OR(F129&lt;1,F129&gt;5),F129&lt;&gt;0)</formula>
    </cfRule>
    <cfRule type="expression" dxfId="241" priority="93" stopIfTrue="1">
      <formula>$J128&gt;0</formula>
    </cfRule>
  </conditionalFormatting>
  <conditionalFormatting sqref="F138">
    <cfRule type="expression" dxfId="240" priority="88" stopIfTrue="1">
      <formula>AND(OR(F138&lt;1,F138&gt;5),F138&lt;&gt;0)</formula>
    </cfRule>
    <cfRule type="expression" dxfId="239" priority="89" stopIfTrue="1">
      <formula>$J137&gt;0</formula>
    </cfRule>
  </conditionalFormatting>
  <conditionalFormatting sqref="F153 F175">
    <cfRule type="expression" dxfId="238" priority="470" stopIfTrue="1">
      <formula>AND(OR(F153&lt;1,F153&gt;5),F153&lt;&gt;0)</formula>
    </cfRule>
    <cfRule type="expression" dxfId="237" priority="471" stopIfTrue="1">
      <formula>AND(J146&gt;0,H153=$N$4)</formula>
    </cfRule>
  </conditionalFormatting>
  <conditionalFormatting sqref="F156:F164">
    <cfRule type="expression" dxfId="236" priority="467" stopIfTrue="1">
      <formula>AND($J$146&gt;0,$H$153=$N$3)</formula>
    </cfRule>
  </conditionalFormatting>
  <conditionalFormatting sqref="G53">
    <cfRule type="expression" dxfId="235" priority="118" stopIfTrue="1">
      <formula>$J$43&gt;0</formula>
    </cfRule>
  </conditionalFormatting>
  <conditionalFormatting sqref="G54:G56">
    <cfRule type="expression" dxfId="234" priority="468" stopIfTrue="1">
      <formula>$G$53=$M$3</formula>
    </cfRule>
    <cfRule type="expression" dxfId="233" priority="469" stopIfTrue="1">
      <formula>$J$43&gt;0.001</formula>
    </cfRule>
  </conditionalFormatting>
  <conditionalFormatting sqref="K25">
    <cfRule type="expression" dxfId="232" priority="110" stopIfTrue="1">
      <formula>AND(OR(K25&lt;1,K25&gt;5),K25&lt;&gt;0)</formula>
    </cfRule>
    <cfRule type="expression" dxfId="231" priority="111" stopIfTrue="1">
      <formula>$O24&gt;0</formula>
    </cfRule>
  </conditionalFormatting>
  <dataValidations count="10">
    <dataValidation type="list" allowBlank="1" showInputMessage="1" sqref="K25 M44 K129 K138" xr:uid="{00000000-0002-0000-0B00-000000000000}">
      <formula1>$C26:$C31</formula1>
    </dataValidation>
    <dataValidation type="list" allowBlank="1" showInputMessage="1" showErrorMessage="1" sqref="G122:G125" xr:uid="{00000000-0002-0000-0B00-000001000000}">
      <formula1>"○,　"</formula1>
    </dataValidation>
    <dataValidation type="list" allowBlank="1" showInputMessage="1" sqref="F14 F25 F61 F71 F87 F101 F212 F129 F138 F223 F289" xr:uid="{00000000-0002-0000-0B00-000002000000}">
      <formula1>$B15:$B20</formula1>
    </dataValidation>
    <dataValidation type="list" allowBlank="1" showInputMessage="1" sqref="F153 F175" xr:uid="{00000000-0002-0000-0B00-000003000000}">
      <formula1>$B148:$B153</formula1>
    </dataValidation>
    <dataValidation type="list" allowBlank="1" showInputMessage="1" sqref="K153" xr:uid="{00000000-0002-0000-0B00-000004000000}">
      <formula1>$C$148:$C$153</formula1>
    </dataValidation>
    <dataValidation type="list" allowBlank="1" showInputMessage="1" showErrorMessage="1" sqref="G198:G207 L198:L206" xr:uid="{00000000-0002-0000-0B00-000005000000}">
      <formula1>$B$198:$B$199</formula1>
    </dataValidation>
    <dataValidation type="list" allowBlank="1" showInputMessage="1" sqref="G53" xr:uid="{00000000-0002-0000-0B00-000006000000}">
      <formula1>$M$3:$M$4</formula1>
    </dataValidation>
    <dataValidation type="list" allowBlank="1" showInputMessage="1" showErrorMessage="1" sqref="H153 M153 H175" xr:uid="{00000000-0002-0000-0B00-000007000000}">
      <formula1>$N$3:$N$4</formula1>
    </dataValidation>
    <dataValidation type="list" allowBlank="1" showInputMessage="1" showErrorMessage="1" sqref="G178:G182 K156:K160 F156:F163 L39:L40 L34:L37" xr:uid="{00000000-0002-0000-0B00-000008000000}">
      <formula1>$M$3:$M$4</formula1>
    </dataValidation>
    <dataValidation type="list" allowBlank="1" showInputMessage="1" showErrorMessage="1" sqref="I79:I83" xr:uid="{00000000-0002-0000-0B00-000009000000}">
      <formula1>$K$80:$K$83</formula1>
    </dataValidation>
  </dataValidations>
  <printOptions horizontalCentered="1"/>
  <pageMargins left="0.59055118110236227" right="0.59055118110236227" top="0.78740157480314965" bottom="0.59055118110236227" header="0.51181102362204722" footer="0.51181102362204722"/>
  <pageSetup paperSize="9" scale="80" fitToHeight="0" orientation="portrait" verticalDpi="4294967293" r:id="rId1"/>
  <headerFooter alignWithMargins="0">
    <oddHeader>&amp;L&amp;F&amp;R&amp;A</oddHeader>
    <oddFooter>&amp;C&amp;P/&amp;N</oddFooter>
  </headerFooter>
  <rowBreaks count="3" manualBreakCount="3">
    <brk id="50" min="3" max="15" man="1"/>
    <brk id="98" min="2" max="15" man="1"/>
    <brk id="208" min="2" max="15"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fitToPage="1"/>
  </sheetPr>
  <dimension ref="A1:Y306"/>
  <sheetViews>
    <sheetView showGridLines="0" zoomScale="85" zoomScaleNormal="85" workbookViewId="0">
      <selection activeCell="J23" sqref="J23"/>
    </sheetView>
  </sheetViews>
  <sheetFormatPr defaultColWidth="0" defaultRowHeight="13.5" zeroHeight="1"/>
  <cols>
    <col min="1" max="1" width="2.5" customWidth="1"/>
    <col min="2" max="3" width="4.125" hidden="1" customWidth="1"/>
    <col min="4" max="4" width="4.5" style="1231" customWidth="1"/>
    <col min="5" max="5" width="1.875" style="1231" customWidth="1"/>
    <col min="6" max="15" width="10.625" style="1231" customWidth="1"/>
    <col min="16" max="16" width="2.125" customWidth="1"/>
    <col min="17" max="17" width="6.375" hidden="1" customWidth="1"/>
    <col min="18" max="18" width="11.875" hidden="1" customWidth="1"/>
    <col min="19" max="20" width="10.25" hidden="1" customWidth="1"/>
    <col min="21" max="21" width="13" hidden="1" customWidth="1"/>
    <col min="22" max="22" width="9.625" hidden="1" customWidth="1"/>
    <col min="23" max="23" width="3.5" hidden="1" customWidth="1"/>
    <col min="24" max="24" width="9" hidden="1" customWidth="1"/>
    <col min="25" max="25" width="10.5" hidden="1" customWidth="1"/>
    <col min="26" max="16384" width="9" hidden="1"/>
  </cols>
  <sheetData>
    <row r="1" spans="2:15" ht="21.75" customHeight="1">
      <c r="D1" s="846"/>
      <c r="E1" s="500"/>
      <c r="F1" s="500"/>
      <c r="G1" s="500"/>
      <c r="H1" s="500"/>
      <c r="I1" s="500"/>
      <c r="J1" s="500"/>
      <c r="K1" s="500"/>
      <c r="M1" s="831" t="s">
        <v>2243</v>
      </c>
      <c r="N1" s="502" t="str">
        <f>メイン!C11</f>
        <v>○○ビル</v>
      </c>
      <c r="O1" s="502"/>
    </row>
    <row r="2" spans="2:15" ht="15.75" hidden="1">
      <c r="B2" t="s">
        <v>1098</v>
      </c>
      <c r="D2" s="499"/>
      <c r="F2">
        <v>1</v>
      </c>
      <c r="G2" t="s">
        <v>2151</v>
      </c>
      <c r="H2" t="s">
        <v>2152</v>
      </c>
      <c r="I2" s="500"/>
      <c r="K2" s="500"/>
      <c r="L2" s="500"/>
      <c r="O2" s="500"/>
    </row>
    <row r="3" spans="2:15" ht="15.75" hidden="1">
      <c r="D3" s="499"/>
      <c r="E3"/>
      <c r="F3">
        <v>2</v>
      </c>
      <c r="G3" t="s">
        <v>1099</v>
      </c>
      <c r="H3" t="s">
        <v>1100</v>
      </c>
      <c r="I3" s="500"/>
      <c r="J3" s="500"/>
      <c r="K3" t="s">
        <v>1098</v>
      </c>
      <c r="L3" t="s">
        <v>1123</v>
      </c>
      <c r="M3" t="s">
        <v>1610</v>
      </c>
      <c r="N3" t="s">
        <v>2691</v>
      </c>
      <c r="O3" t="str">
        <f>メイン!I37</f>
        <v>基本設計段階</v>
      </c>
    </row>
    <row r="4" spans="2:15" ht="15.75" hidden="1">
      <c r="D4" s="499"/>
      <c r="E4"/>
      <c r="F4">
        <v>3</v>
      </c>
      <c r="G4" t="s">
        <v>1105</v>
      </c>
      <c r="H4" t="s">
        <v>1106</v>
      </c>
      <c r="I4" s="500"/>
      <c r="J4" s="500"/>
      <c r="K4" s="500"/>
      <c r="L4"/>
      <c r="M4"/>
      <c r="N4" t="s">
        <v>2694</v>
      </c>
      <c r="O4" t="str">
        <f>メイン!I38</f>
        <v>実施設計段階</v>
      </c>
    </row>
    <row r="5" spans="2:15" ht="15.75" hidden="1">
      <c r="D5" s="499"/>
      <c r="E5"/>
      <c r="F5">
        <v>4</v>
      </c>
      <c r="G5" t="s">
        <v>1001</v>
      </c>
      <c r="H5" t="s">
        <v>1002</v>
      </c>
      <c r="I5" s="500"/>
      <c r="J5" s="500"/>
      <c r="K5" s="500"/>
      <c r="L5"/>
      <c r="M5"/>
      <c r="N5"/>
      <c r="O5" t="str">
        <f>メイン!I39</f>
        <v>竣工段階</v>
      </c>
    </row>
    <row r="6" spans="2:15" ht="15.75" hidden="1">
      <c r="D6" s="499"/>
      <c r="E6"/>
      <c r="F6">
        <v>5</v>
      </c>
      <c r="G6" t="s">
        <v>1008</v>
      </c>
      <c r="H6" t="s">
        <v>1009</v>
      </c>
      <c r="I6" s="500"/>
      <c r="J6" s="500"/>
      <c r="K6" s="500"/>
      <c r="L6"/>
      <c r="M6" t="s">
        <v>937</v>
      </c>
      <c r="O6" s="500"/>
    </row>
    <row r="7" spans="2:15" ht="15.75" hidden="1">
      <c r="D7" s="499"/>
      <c r="E7"/>
      <c r="F7">
        <v>0</v>
      </c>
      <c r="G7" t="s">
        <v>998</v>
      </c>
      <c r="H7" t="s">
        <v>998</v>
      </c>
      <c r="I7" s="500"/>
      <c r="J7" s="500"/>
      <c r="K7" s="500"/>
      <c r="L7"/>
      <c r="M7" t="s">
        <v>938</v>
      </c>
      <c r="O7" s="500"/>
    </row>
    <row r="8" spans="2:15" ht="16.5" thickBot="1">
      <c r="D8" s="499"/>
      <c r="E8"/>
      <c r="F8"/>
      <c r="G8"/>
      <c r="H8"/>
      <c r="I8" s="500"/>
      <c r="J8" s="500"/>
      <c r="K8" s="500"/>
      <c r="L8"/>
      <c r="M8"/>
      <c r="O8" s="500"/>
    </row>
    <row r="9" spans="2:15" ht="18.75" thickBot="1">
      <c r="D9" s="785" t="s">
        <v>949</v>
      </c>
      <c r="E9" s="741"/>
      <c r="F9" s="1233"/>
      <c r="G9" s="404"/>
      <c r="H9" s="1233"/>
      <c r="I9" s="505"/>
      <c r="J9" s="506" t="str">
        <f>採点Q1!J9</f>
        <v>色欄について、プルダウンメニューから選択、または数値・コメント※を記入。</v>
      </c>
      <c r="K9" s="506"/>
      <c r="O9" s="514" t="str">
        <f>IF(メイン!E39=0,"",メイン!E39)</f>
        <v>実施設計段階</v>
      </c>
    </row>
    <row r="10" spans="2:15" ht="15.75">
      <c r="D10" s="503"/>
      <c r="E10" s="741"/>
      <c r="F10" s="1233"/>
      <c r="G10" s="404"/>
      <c r="H10" s="1233"/>
      <c r="I10" s="1233"/>
      <c r="J10" s="2257" t="str">
        <f>採点Q1!J10</f>
        <v>※環境配慮の概要は最長30字程度。レベル３を超える場合は必ず記入する。</v>
      </c>
      <c r="K10" s="1233"/>
      <c r="L10" s="1233"/>
      <c r="M10" s="1233"/>
      <c r="N10" s="1233"/>
      <c r="O10" s="1233"/>
    </row>
    <row r="11" spans="2:15" ht="21.75" customHeight="1">
      <c r="D11" s="499">
        <v>1</v>
      </c>
      <c r="E11" s="508" t="s">
        <v>2181</v>
      </c>
      <c r="F11" s="1233"/>
      <c r="G11" s="500"/>
      <c r="H11" s="500"/>
      <c r="I11" s="500"/>
      <c r="J11" s="513" t="str">
        <f>IF(OR(F13=0,J12=0),$L$3,"")</f>
        <v/>
      </c>
      <c r="K11" s="500"/>
      <c r="L11" s="500"/>
      <c r="M11" s="500"/>
      <c r="N11" s="500"/>
    </row>
    <row r="12" spans="2:15" ht="16.5" thickBot="1">
      <c r="D12" s="766"/>
      <c r="E12" s="500"/>
      <c r="F12" s="630"/>
      <c r="G12" s="516"/>
      <c r="H12" s="517" t="s">
        <v>1126</v>
      </c>
      <c r="I12" s="518"/>
      <c r="J12" s="519">
        <f>重み!M173</f>
        <v>0.33333333333333331</v>
      </c>
      <c r="K12" s="631"/>
      <c r="L12" s="631"/>
      <c r="M12" s="631"/>
      <c r="N12" s="631"/>
      <c r="O12" s="528"/>
    </row>
    <row r="13" spans="2:15" ht="27" customHeight="1" thickBot="1">
      <c r="D13" s="1241"/>
      <c r="E13" s="503"/>
      <c r="F13" s="1777">
        <f>O22</f>
        <v>3</v>
      </c>
      <c r="G13" s="1370" t="s">
        <v>680</v>
      </c>
      <c r="H13" s="762"/>
      <c r="I13" s="762"/>
      <c r="J13" s="762"/>
      <c r="K13" s="762"/>
      <c r="L13" s="1371"/>
      <c r="M13" s="762"/>
      <c r="N13" s="762"/>
      <c r="O13" s="695"/>
    </row>
    <row r="14" spans="2:15" ht="17.25" customHeight="1">
      <c r="D14" s="1241"/>
      <c r="E14" s="503"/>
      <c r="F14" s="689" t="str">
        <f>IF(F13=$F$7,$G$2,IF(ROUNDDOWN(F13,0)=$F$2,$H$2,$G$2))</f>
        <v>　レベル　1</v>
      </c>
      <c r="G14" s="1368" t="s">
        <v>1134</v>
      </c>
      <c r="H14" s="825"/>
      <c r="I14" s="825"/>
      <c r="J14" s="825"/>
      <c r="K14" s="825"/>
      <c r="L14" s="826"/>
      <c r="M14" s="825"/>
      <c r="N14" s="825"/>
      <c r="O14" s="826"/>
    </row>
    <row r="15" spans="2:15" ht="17.25" customHeight="1">
      <c r="D15" s="1241"/>
      <c r="E15" s="503"/>
      <c r="F15" s="689" t="str">
        <f>IF(F13=$F$7,$G$3,IF(ROUNDDOWN(F13,0)=$F$3,$H$3,$G$3))</f>
        <v>　レベル　2</v>
      </c>
      <c r="G15" s="1372"/>
      <c r="H15" s="1367"/>
      <c r="I15" s="1367"/>
      <c r="J15" s="1367"/>
      <c r="K15" s="1367"/>
      <c r="L15" s="1373"/>
      <c r="M15" s="1367"/>
      <c r="N15" s="829" t="s">
        <v>858</v>
      </c>
      <c r="O15" s="830"/>
    </row>
    <row r="16" spans="2:15" ht="17.25" customHeight="1">
      <c r="D16" s="1241"/>
      <c r="E16" s="503"/>
      <c r="F16" s="689" t="str">
        <f>IF(F13=$F$7,$G$4,IF(ROUNDDOWN(F13,0)=$F$4,$H$4,$G$4))</f>
        <v>■レベル　3</v>
      </c>
      <c r="G16" s="1372" t="s">
        <v>1135</v>
      </c>
      <c r="H16" s="1367"/>
      <c r="I16" s="1367"/>
      <c r="J16" s="1367"/>
      <c r="K16" s="1367"/>
      <c r="L16" s="1373"/>
      <c r="M16" s="1367"/>
      <c r="N16" s="829" t="s">
        <v>859</v>
      </c>
      <c r="O16" s="830"/>
    </row>
    <row r="17" spans="2:15" ht="17.25" customHeight="1">
      <c r="D17" s="1241"/>
      <c r="E17" s="503"/>
      <c r="F17" s="689" t="str">
        <f>IF(F13=$F$7,$G$5,IF(ROUNDDOWN(F13,0)=$F$5,$H$5,$G$5))</f>
        <v>　レベル　4</v>
      </c>
      <c r="G17" s="1372"/>
      <c r="H17" s="1367"/>
      <c r="I17" s="1367"/>
      <c r="J17" s="1367"/>
      <c r="K17" s="1367"/>
      <c r="L17" s="1373"/>
      <c r="M17" s="1367"/>
      <c r="N17" s="829" t="s">
        <v>860</v>
      </c>
      <c r="O17" s="830"/>
    </row>
    <row r="18" spans="2:15" ht="17.25" customHeight="1">
      <c r="D18" s="1241"/>
      <c r="E18" s="503"/>
      <c r="F18" s="690" t="str">
        <f>IF(F13=$F$7,$G$6,IF(ROUNDDOWN(F13,0)=$F$6,$H$6,$G$6))</f>
        <v>　レベル　5</v>
      </c>
      <c r="G18" s="1374" t="s">
        <v>863</v>
      </c>
      <c r="H18" s="1369"/>
      <c r="I18" s="1369"/>
      <c r="J18" s="1369"/>
      <c r="K18" s="1369"/>
      <c r="L18" s="1375"/>
      <c r="M18" s="1369"/>
      <c r="N18" s="827"/>
      <c r="O18" s="828"/>
    </row>
    <row r="19" spans="2:15" ht="17.25" customHeight="1">
      <c r="D19" s="1241"/>
      <c r="E19" s="503"/>
      <c r="F19" s="839" t="s">
        <v>2938</v>
      </c>
      <c r="G19" s="1941"/>
      <c r="H19" s="1915"/>
      <c r="I19" s="1915"/>
      <c r="J19" s="1916"/>
      <c r="K19" s="2094"/>
      <c r="L19"/>
      <c r="M19"/>
      <c r="N19"/>
      <c r="O19"/>
    </row>
    <row r="20" spans="2:15" ht="15.75">
      <c r="D20" s="1241"/>
      <c r="E20" s="1241"/>
      <c r="F20" s="552" t="s">
        <v>2965</v>
      </c>
      <c r="H20" s="404"/>
      <c r="I20" s="404"/>
      <c r="J20" s="500"/>
      <c r="K20" s="500" t="s">
        <v>1133</v>
      </c>
      <c r="L20" s="500"/>
      <c r="M20" s="834"/>
      <c r="N20" s="1241"/>
      <c r="O20" s="1241"/>
    </row>
    <row r="21" spans="2:15" ht="16.5" thickBot="1">
      <c r="D21" s="1241"/>
      <c r="E21" s="503"/>
      <c r="F21" s="500"/>
      <c r="G21" s="835"/>
      <c r="H21" s="836" t="s">
        <v>589</v>
      </c>
      <c r="I21" s="837" t="s">
        <v>1787</v>
      </c>
      <c r="J21" s="838" t="s">
        <v>591</v>
      </c>
      <c r="K21" s="836" t="s">
        <v>386</v>
      </c>
      <c r="L21" s="835" t="s">
        <v>864</v>
      </c>
      <c r="M21" s="500"/>
      <c r="N21" s="500"/>
      <c r="O21" s="839" t="s">
        <v>997</v>
      </c>
    </row>
    <row r="22" spans="2:15" ht="16.5" thickBot="1">
      <c r="B22" t="s">
        <v>999</v>
      </c>
      <c r="D22" s="1241"/>
      <c r="E22" s="503"/>
      <c r="F22" s="500"/>
      <c r="G22" s="840" t="s">
        <v>1976</v>
      </c>
      <c r="H22" s="841">
        <f>IF(メイン!I3=3,'条件(個別)'!D9,'条件(標準)'!D9)</f>
        <v>19.584666666666667</v>
      </c>
      <c r="I22" s="841">
        <f>IF(メイン!I3=3,'条件(個別)'!D34,'条件(標準)'!D34)</f>
        <v>10.979333333333333</v>
      </c>
      <c r="J22" s="841">
        <f>IF(メイン!I3=3,'条件(個別)'!D46,'条件(標準)'!D46)</f>
        <v>41.050272198907102</v>
      </c>
      <c r="K22" s="842">
        <f>H22+I22+J22</f>
        <v>71.614272198907102</v>
      </c>
      <c r="L22" s="843">
        <v>1</v>
      </c>
      <c r="M22" s="500"/>
      <c r="N22" s="839" t="s">
        <v>865</v>
      </c>
      <c r="O22" s="844">
        <f>IF(K22=0,0,ROUNDDOWN(IF(L23=B22,0,IF(L23&lt;0.5,5,IF(L23&gt;1.25,1,IF(L23&gt;1,-8*L23+11,3+(1-L23)*4)))),1))</f>
        <v>3</v>
      </c>
    </row>
    <row r="23" spans="2:15" ht="14.25">
      <c r="D23" s="846"/>
      <c r="E23" s="500"/>
      <c r="F23" s="500"/>
      <c r="G23" s="840" t="s">
        <v>1975</v>
      </c>
      <c r="H23" s="841">
        <f>IF(メイン!I3=3,'条件(個別)'!E9,'条件(標準)'!E9)</f>
        <v>19.584666666666667</v>
      </c>
      <c r="I23" s="841">
        <f>IF(メイン!I3=3,'条件(個別)'!E34,'条件(標準)'!E34)</f>
        <v>10.979333333333333</v>
      </c>
      <c r="J23" s="841">
        <f>IF(メイン!I3=3,'条件(個別)'!E52,'条件(標準)'!E52)</f>
        <v>39.991498159562845</v>
      </c>
      <c r="K23" s="842">
        <f>H23+I23+J23</f>
        <v>70.555498159562845</v>
      </c>
      <c r="L23" s="845">
        <f>IF(K22=B22,B22,K23/K22)</f>
        <v>0.98521560009150777</v>
      </c>
      <c r="M23" s="500"/>
      <c r="N23" s="500"/>
      <c r="O23" s="500"/>
    </row>
    <row r="24" spans="2:15">
      <c r="D24" s="404"/>
      <c r="E24" s="404"/>
      <c r="I24" s="404"/>
      <c r="J24" s="404"/>
      <c r="K24" s="404"/>
      <c r="L24" s="404"/>
      <c r="M24" s="404"/>
      <c r="N24" s="404"/>
      <c r="O24" s="404"/>
    </row>
    <row r="25" spans="2:15" ht="14.25">
      <c r="D25" s="846">
        <v>2</v>
      </c>
      <c r="E25" s="508" t="s">
        <v>2184</v>
      </c>
      <c r="F25" s="500"/>
      <c r="G25" s="500"/>
      <c r="H25"/>
      <c r="I25"/>
      <c r="J25"/>
      <c r="K25"/>
      <c r="L25"/>
      <c r="M25"/>
      <c r="N25" s="500"/>
      <c r="O25" s="500"/>
    </row>
    <row r="26" spans="2:15" ht="18.75" customHeight="1">
      <c r="D26" s="846">
        <v>2.1</v>
      </c>
      <c r="E26" s="741" t="s">
        <v>866</v>
      </c>
      <c r="F26" s="1233"/>
      <c r="G26" s="500"/>
      <c r="H26"/>
      <c r="I26"/>
      <c r="J26" t="str">
        <f>IF(OR(F28=0,J27=0),$L$3,"")</f>
        <v/>
      </c>
      <c r="K26"/>
      <c r="L26"/>
      <c r="M26"/>
      <c r="N26" s="500"/>
      <c r="O26" s="500"/>
    </row>
    <row r="27" spans="2:15" ht="18.75" customHeight="1" thickBot="1">
      <c r="F27" s="630"/>
      <c r="G27" s="516"/>
      <c r="H27" s="517" t="s">
        <v>1126</v>
      </c>
      <c r="I27" s="518"/>
      <c r="J27" s="519">
        <f>重み!M175</f>
        <v>0.25</v>
      </c>
      <c r="K27" s="631"/>
      <c r="L27" s="631"/>
      <c r="M27" s="631"/>
      <c r="N27" s="631"/>
      <c r="O27" s="528"/>
    </row>
    <row r="28" spans="2:15" ht="27" customHeight="1" thickBot="1">
      <c r="D28" s="503"/>
      <c r="E28" s="503"/>
      <c r="F28" s="522">
        <v>3</v>
      </c>
      <c r="G28" s="526" t="s">
        <v>407</v>
      </c>
      <c r="H28" s="527"/>
      <c r="I28" s="527"/>
      <c r="J28" s="527"/>
      <c r="K28" s="527"/>
      <c r="L28" s="728"/>
      <c r="M28" s="527"/>
      <c r="N28" s="527"/>
      <c r="O28" s="528"/>
    </row>
    <row r="29" spans="2:15" ht="33" customHeight="1">
      <c r="B29" s="1">
        <v>1</v>
      </c>
      <c r="D29" s="503"/>
      <c r="E29" s="503"/>
      <c r="F29" s="534" t="str">
        <f>IF(F28=$F$7,$G$2,IF(ROUNDDOWN(F28,0)=$F$2,$H$2,$G$2))</f>
        <v>　レベル　1</v>
      </c>
      <c r="G29" s="3322" t="s">
        <v>356</v>
      </c>
      <c r="H29" s="3600"/>
      <c r="I29" s="3600"/>
      <c r="J29" s="3600"/>
      <c r="K29" s="3600"/>
      <c r="L29" s="3600"/>
      <c r="M29" s="3600"/>
      <c r="N29" s="3600"/>
      <c r="O29" s="3601"/>
    </row>
    <row r="30" spans="2:15" ht="21" customHeight="1">
      <c r="B30" s="1" t="s">
        <v>177</v>
      </c>
      <c r="D30" s="503"/>
      <c r="E30" s="503"/>
      <c r="F30" s="534" t="str">
        <f>IF(F28=$F$7,$G$3,IF(ROUNDDOWN(F28,0)=$F$3,$H$3,$G$3))</f>
        <v>　レベル　2</v>
      </c>
      <c r="G30" s="832" t="s">
        <v>1794</v>
      </c>
      <c r="H30" s="1348"/>
      <c r="I30" s="1348"/>
      <c r="J30" s="1348"/>
      <c r="K30" s="1348"/>
      <c r="L30" s="1348"/>
      <c r="M30" s="1348"/>
      <c r="N30" s="538"/>
      <c r="O30" s="539"/>
    </row>
    <row r="31" spans="2:15" ht="28.5" customHeight="1">
      <c r="B31" s="1">
        <v>3</v>
      </c>
      <c r="D31" s="503"/>
      <c r="E31" s="503"/>
      <c r="F31" s="534" t="str">
        <f>IF(F28=$F$7,$G$4,IF(ROUNDDOWN(F28,0)=$F$4,$H$4,$G$4))</f>
        <v>■レベル　3</v>
      </c>
      <c r="G31" s="3649" t="s">
        <v>357</v>
      </c>
      <c r="H31" s="3351"/>
      <c r="I31" s="3351"/>
      <c r="J31" s="3351"/>
      <c r="K31" s="3351"/>
      <c r="L31" s="3351"/>
      <c r="M31" s="3351"/>
      <c r="N31" s="3351"/>
      <c r="O31" s="3352"/>
    </row>
    <row r="32" spans="2:15" ht="27" customHeight="1">
      <c r="B32" s="1">
        <v>4</v>
      </c>
      <c r="D32" s="503"/>
      <c r="E32" s="503"/>
      <c r="F32" s="534" t="str">
        <f>IF(F28=$F$7,$G$5,IF(ROUNDDOWN(F28,0)=$F$5,$H$5,$G$5))</f>
        <v>　レベル　4</v>
      </c>
      <c r="G32" s="3649" t="s">
        <v>358</v>
      </c>
      <c r="H32" s="3351"/>
      <c r="I32" s="3351"/>
      <c r="J32" s="3351"/>
      <c r="K32" s="3351"/>
      <c r="L32" s="3351"/>
      <c r="M32" s="3351"/>
      <c r="N32" s="3351"/>
      <c r="O32" s="3352"/>
    </row>
    <row r="33" spans="2:18" ht="22.5" customHeight="1">
      <c r="B33" s="1">
        <v>5</v>
      </c>
      <c r="D33" s="503"/>
      <c r="E33" s="503"/>
      <c r="F33" s="544" t="str">
        <f>IF(F28=$F$7,$G$6,IF(ROUNDDOWN(F28,0)=$F$6,$H$6,$G$6))</f>
        <v>　レベル　5</v>
      </c>
      <c r="G33" s="833" t="s">
        <v>986</v>
      </c>
      <c r="H33" s="1349"/>
      <c r="I33" s="1349"/>
      <c r="J33" s="1349"/>
      <c r="K33" s="1349"/>
      <c r="L33" s="1349"/>
      <c r="M33" s="1349"/>
      <c r="N33" s="549"/>
      <c r="O33" s="550"/>
    </row>
    <row r="34" spans="2:18" ht="15.75">
      <c r="B34" s="551">
        <v>0</v>
      </c>
      <c r="D34" s="503"/>
      <c r="E34" s="503"/>
      <c r="F34" s="839" t="s">
        <v>2938</v>
      </c>
      <c r="G34" s="1941"/>
      <c r="H34" s="1915"/>
      <c r="I34" s="1915"/>
      <c r="J34" s="1916"/>
      <c r="K34" s="2094"/>
      <c r="L34"/>
      <c r="M34"/>
      <c r="N34"/>
      <c r="O34"/>
    </row>
    <row r="35" spans="2:18" ht="15.75">
      <c r="B35" s="870"/>
      <c r="C35" s="870"/>
      <c r="D35" s="503"/>
      <c r="E35" s="503"/>
      <c r="F35" s="847"/>
      <c r="G35" s="847"/>
      <c r="H35"/>
      <c r="I35"/>
      <c r="J35"/>
      <c r="K35"/>
      <c r="L35"/>
      <c r="M35" s="847"/>
      <c r="N35" s="847"/>
      <c r="O35" s="847"/>
    </row>
    <row r="36" spans="2:18" ht="24" customHeight="1">
      <c r="D36" s="846">
        <v>2.2000000000000002</v>
      </c>
      <c r="E36" s="760" t="s">
        <v>867</v>
      </c>
      <c r="F36" s="847"/>
      <c r="G36" s="847"/>
      <c r="H36"/>
      <c r="I36"/>
      <c r="J36" t="str">
        <f>IF(OR(F38=0,J37=0),$L$3,"")</f>
        <v/>
      </c>
      <c r="K36"/>
      <c r="L36"/>
      <c r="M36" s="847"/>
      <c r="N36" s="847"/>
      <c r="O36" s="847"/>
    </row>
    <row r="37" spans="2:18" ht="19.5" customHeight="1" thickBot="1">
      <c r="F37" s="630"/>
      <c r="G37" s="516"/>
      <c r="H37" s="517" t="s">
        <v>1126</v>
      </c>
      <c r="I37" s="518"/>
      <c r="J37" s="519">
        <f>重み!M176</f>
        <v>0.5</v>
      </c>
      <c r="K37" s="631"/>
      <c r="L37" s="631"/>
      <c r="M37" s="631"/>
      <c r="N37" s="631"/>
      <c r="O37" s="528"/>
    </row>
    <row r="38" spans="2:18" ht="27" customHeight="1" thickBot="1">
      <c r="B38" t="s">
        <v>2967</v>
      </c>
      <c r="D38" s="503"/>
      <c r="E38" s="500"/>
      <c r="F38" s="1777">
        <f>G57</f>
        <v>3</v>
      </c>
      <c r="G38" s="1976" t="s">
        <v>407</v>
      </c>
      <c r="H38" s="527"/>
      <c r="I38" s="527"/>
      <c r="J38" s="527"/>
      <c r="K38" s="527"/>
      <c r="L38" s="728"/>
      <c r="M38" s="527"/>
      <c r="N38" s="527"/>
      <c r="O38" s="528"/>
    </row>
    <row r="39" spans="2:18" ht="21" customHeight="1">
      <c r="B39">
        <v>0</v>
      </c>
      <c r="D39" s="503"/>
      <c r="E39" s="500"/>
      <c r="F39" s="534" t="str">
        <f>IF(F38=$F$7,$G$2,IF(ROUNDDOWN(F38,0)=$F$2,$H$2,$G$2))</f>
        <v>　レベル　1</v>
      </c>
      <c r="G39" s="531" t="s">
        <v>987</v>
      </c>
      <c r="H39" s="532"/>
      <c r="I39" s="532"/>
      <c r="J39" s="532"/>
      <c r="K39" s="532"/>
      <c r="L39" s="532"/>
      <c r="M39" s="532"/>
      <c r="N39" s="532"/>
      <c r="O39" s="533"/>
    </row>
    <row r="40" spans="2:18" ht="21" customHeight="1">
      <c r="B40">
        <v>1</v>
      </c>
      <c r="D40" s="503"/>
      <c r="E40" s="500"/>
      <c r="F40" s="534" t="str">
        <f>IF(F38=$F$7,$G$3,IF(ROUNDDOWN(F38,0)=$F$3,$H$3,$G$3))</f>
        <v>　レベル　2</v>
      </c>
      <c r="G40" s="832" t="s">
        <v>988</v>
      </c>
      <c r="H40" s="1242"/>
      <c r="I40" s="1242"/>
      <c r="J40" s="1242"/>
      <c r="K40" s="1242"/>
      <c r="L40" s="1242"/>
      <c r="M40" s="1242"/>
      <c r="N40" s="538"/>
      <c r="O40" s="539"/>
    </row>
    <row r="41" spans="2:18" ht="21" customHeight="1">
      <c r="B41">
        <v>6</v>
      </c>
      <c r="D41" s="503"/>
      <c r="E41" s="500"/>
      <c r="F41" s="534" t="str">
        <f>IF(F38=$F$7,$G$4,IF(ROUNDDOWN(F38,0)=$F$4,$H$4,$G$4))</f>
        <v>■レベル　3</v>
      </c>
      <c r="G41" s="832" t="s">
        <v>2073</v>
      </c>
      <c r="H41" s="1242"/>
      <c r="I41" s="1242"/>
      <c r="J41" s="1242"/>
      <c r="K41" s="1242"/>
      <c r="L41" s="1242"/>
      <c r="M41" s="1242"/>
      <c r="N41" s="538"/>
      <c r="O41" s="539"/>
    </row>
    <row r="42" spans="2:18" ht="21" customHeight="1">
      <c r="B42">
        <v>13</v>
      </c>
      <c r="D42" s="503"/>
      <c r="E42" s="500"/>
      <c r="F42" s="534" t="str">
        <f>IF(F38=$F$7,$G$5,IF(ROUNDDOWN(F38,0)=$F$5,$H$5,$G$5))</f>
        <v>　レベル　4</v>
      </c>
      <c r="G42" s="832" t="s">
        <v>2074</v>
      </c>
      <c r="H42" s="1242"/>
      <c r="I42" s="1242"/>
      <c r="J42" s="1242"/>
      <c r="K42" s="1242"/>
      <c r="L42" s="1242"/>
      <c r="M42" s="1242"/>
      <c r="N42" s="538"/>
      <c r="O42" s="539"/>
    </row>
    <row r="43" spans="2:18" ht="21.75" customHeight="1">
      <c r="B43">
        <v>20</v>
      </c>
      <c r="D43" s="503"/>
      <c r="E43" s="500"/>
      <c r="F43" s="544" t="str">
        <f>IF(F38=$F$7,$G$6,IF(ROUNDDOWN(F38,0)=$F$6,$H$6,$G$6))</f>
        <v>　レベル　5</v>
      </c>
      <c r="G43" s="833" t="s">
        <v>2075</v>
      </c>
      <c r="H43" s="1243"/>
      <c r="I43" s="1243"/>
      <c r="J43" s="1243"/>
      <c r="K43" s="1243"/>
      <c r="L43" s="1243"/>
      <c r="M43" s="1243"/>
      <c r="N43" s="549"/>
      <c r="O43" s="550"/>
    </row>
    <row r="44" spans="2:18" ht="15.75">
      <c r="D44" s="503"/>
      <c r="E44" s="500"/>
      <c r="F44" s="839" t="s">
        <v>2938</v>
      </c>
      <c r="G44" s="1941"/>
      <c r="H44" s="1915"/>
      <c r="I44" s="1915"/>
      <c r="J44" s="1916"/>
      <c r="K44" s="2094" t="s">
        <v>3232</v>
      </c>
      <c r="L44"/>
      <c r="M44"/>
      <c r="N44"/>
      <c r="O44"/>
    </row>
    <row r="45" spans="2:18">
      <c r="D45"/>
      <c r="E45"/>
      <c r="F45" s="1949" t="s">
        <v>3009</v>
      </c>
      <c r="G45"/>
      <c r="H45" s="3010" t="e">
        <f>ROUNDDOWN(J45/(M45*O45),2)</f>
        <v>#DIV/0!</v>
      </c>
      <c r="I45" s="1977" t="s">
        <v>3241</v>
      </c>
      <c r="J45" s="2204"/>
      <c r="K45"/>
      <c r="L45" s="1977" t="s">
        <v>3240</v>
      </c>
      <c r="M45" s="2075"/>
      <c r="N45" s="1977" t="s">
        <v>3239</v>
      </c>
      <c r="O45" s="2075">
        <v>8.5399999999999991</v>
      </c>
    </row>
    <row r="46" spans="2:18">
      <c r="D46"/>
      <c r="E46"/>
      <c r="F46" s="1949" t="s">
        <v>3010</v>
      </c>
      <c r="G46"/>
      <c r="H46" s="1942"/>
      <c r="I46" s="500"/>
      <c r="J46" s="500"/>
      <c r="K46" s="500"/>
      <c r="L46" s="500"/>
      <c r="M46" s="500"/>
      <c r="N46" s="500"/>
      <c r="O46" s="500"/>
    </row>
    <row r="47" spans="2:18">
      <c r="D47"/>
      <c r="E47"/>
      <c r="F47" s="1949"/>
      <c r="G47" s="500"/>
      <c r="H47" s="500"/>
      <c r="I47" s="2206" t="s">
        <v>3014</v>
      </c>
      <c r="J47" s="2206" t="s">
        <v>2996</v>
      </c>
      <c r="K47" s="2206" t="s">
        <v>2997</v>
      </c>
      <c r="L47" s="2206" t="s">
        <v>2998</v>
      </c>
      <c r="M47" s="2206" t="s">
        <v>2926</v>
      </c>
      <c r="N47" s="2206" t="s">
        <v>3008</v>
      </c>
      <c r="O47" s="2748" t="s">
        <v>3817</v>
      </c>
    </row>
    <row r="48" spans="2:18">
      <c r="D48"/>
      <c r="E48"/>
      <c r="F48" s="1949" t="s">
        <v>3011</v>
      </c>
      <c r="G48" s="500"/>
      <c r="H48" s="3010">
        <f>ROUNDDOWN(I48,2)</f>
        <v>0.39</v>
      </c>
      <c r="I48" s="2746">
        <f>J48+2*K48+3*M48+L48+N48+O48</f>
        <v>0.39189999999999997</v>
      </c>
      <c r="J48" s="2079">
        <f>J52/$I52</f>
        <v>0.39189999999999997</v>
      </c>
      <c r="K48" s="2079">
        <f>K52/$I52</f>
        <v>0</v>
      </c>
      <c r="L48" s="2079">
        <f t="shared" ref="J48:M49" si="0">L52/$I52</f>
        <v>0</v>
      </c>
      <c r="M48" s="2079">
        <f t="shared" si="0"/>
        <v>0</v>
      </c>
      <c r="N48" s="2079">
        <f>(N52+O52)/$I52</f>
        <v>0</v>
      </c>
      <c r="O48"/>
      <c r="R48" s="45"/>
    </row>
    <row r="49" spans="2:18">
      <c r="D49"/>
      <c r="E49"/>
      <c r="F49" s="1949" t="s">
        <v>3012</v>
      </c>
      <c r="G49" s="500"/>
      <c r="H49" s="3010" t="e">
        <f>ROUNDDOWN(I49,2)</f>
        <v>#DIV/0!</v>
      </c>
      <c r="I49" s="2746" t="e">
        <f>J49+2*K49+3*M49+L49+N49+O49</f>
        <v>#DIV/0!</v>
      </c>
      <c r="J49" s="2079" t="e">
        <f t="shared" si="0"/>
        <v>#DIV/0!</v>
      </c>
      <c r="K49" s="2079" t="e">
        <f t="shared" si="0"/>
        <v>#DIV/0!</v>
      </c>
      <c r="L49" s="2079" t="e">
        <f t="shared" si="0"/>
        <v>#DIV/0!</v>
      </c>
      <c r="M49" s="2079" t="e">
        <f t="shared" si="0"/>
        <v>#DIV/0!</v>
      </c>
      <c r="N49" s="2079" t="e">
        <f>(N53+O53)/$I53</f>
        <v>#DIV/0!</v>
      </c>
      <c r="O49"/>
    </row>
    <row r="50" spans="2:18">
      <c r="D50"/>
      <c r="E50"/>
      <c r="F50" s="1949" t="s">
        <v>3013</v>
      </c>
      <c r="G50" s="500"/>
      <c r="H50" s="3010">
        <f>ROUNDDOWN(I50,2)</f>
        <v>0</v>
      </c>
      <c r="I50" s="3011">
        <f>J50+2*K50+3*M50+L50+N50+O50</f>
        <v>0</v>
      </c>
      <c r="J50" s="2079">
        <f>採点Q3!J112</f>
        <v>0</v>
      </c>
      <c r="K50" s="2079"/>
      <c r="L50" s="2079">
        <f>採点Q3!K112</f>
        <v>0</v>
      </c>
      <c r="M50" s="2079"/>
      <c r="N50" s="3196">
        <f>(N54)/$I54</f>
        <v>0</v>
      </c>
      <c r="O50" s="3196">
        <f>(O54)/$I54</f>
        <v>0</v>
      </c>
    </row>
    <row r="51" spans="2:18">
      <c r="D51"/>
      <c r="E51"/>
      <c r="F51" s="1949"/>
      <c r="G51"/>
      <c r="H51" s="1977"/>
      <c r="I51" s="2207" t="s">
        <v>3002</v>
      </c>
      <c r="J51" s="2207" t="s">
        <v>3003</v>
      </c>
      <c r="K51" s="2207" t="s">
        <v>3007</v>
      </c>
      <c r="L51" s="2207" t="s">
        <v>3005</v>
      </c>
      <c r="M51" s="2207" t="s">
        <v>3004</v>
      </c>
      <c r="N51" s="2207" t="s">
        <v>3006</v>
      </c>
      <c r="O51" s="2207" t="s">
        <v>3114</v>
      </c>
    </row>
    <row r="52" spans="2:18">
      <c r="D52"/>
      <c r="E52"/>
      <c r="F52" s="1949"/>
      <c r="G52" s="1949" t="s">
        <v>3015</v>
      </c>
      <c r="H52" s="1977" t="s">
        <v>2999</v>
      </c>
      <c r="I52" s="2555">
        <f>メイン!C17</f>
        <v>1000</v>
      </c>
      <c r="J52" s="2555">
        <f>採点Q3!J114</f>
        <v>391.9</v>
      </c>
      <c r="K52" s="2555">
        <f>採点Q3!K114</f>
        <v>0</v>
      </c>
      <c r="L52" s="2217"/>
      <c r="M52" s="2555">
        <f>採点Q3!M114</f>
        <v>0</v>
      </c>
      <c r="N52" s="2217"/>
      <c r="O52" s="2217"/>
    </row>
    <row r="53" spans="2:18">
      <c r="D53"/>
      <c r="E53"/>
      <c r="F53" s="500"/>
      <c r="G53" s="500"/>
      <c r="H53" s="1977" t="s">
        <v>3000</v>
      </c>
      <c r="I53" s="2217"/>
      <c r="J53" s="2217"/>
      <c r="K53" s="2217"/>
      <c r="L53" s="2217"/>
      <c r="M53" s="2217"/>
      <c r="N53" s="2217"/>
      <c r="O53" s="2217"/>
    </row>
    <row r="54" spans="2:18">
      <c r="D54"/>
      <c r="E54"/>
      <c r="F54" s="500"/>
      <c r="G54" s="500"/>
      <c r="H54" s="1977" t="s">
        <v>3091</v>
      </c>
      <c r="I54" s="2555">
        <f>採点Q3!I116</f>
        <v>2630</v>
      </c>
      <c r="J54" s="2555">
        <f>採点Q3!J116</f>
        <v>0</v>
      </c>
      <c r="K54" s="2555"/>
      <c r="L54" s="2555">
        <f>採点Q3!K116</f>
        <v>0</v>
      </c>
      <c r="M54" s="2555"/>
      <c r="N54" s="2555"/>
      <c r="O54" s="2750">
        <f>採点Q3!L116</f>
        <v>0</v>
      </c>
    </row>
    <row r="55" spans="2:18">
      <c r="D55"/>
      <c r="E55"/>
      <c r="F55" s="500"/>
      <c r="G55" s="500"/>
      <c r="H55" s="1977" t="s">
        <v>386</v>
      </c>
      <c r="I55" s="2556"/>
      <c r="J55" s="2555">
        <f t="shared" ref="J55:O55" si="1">SUM(J52:J54)</f>
        <v>391.9</v>
      </c>
      <c r="K55" s="2555">
        <f t="shared" si="1"/>
        <v>0</v>
      </c>
      <c r="L55" s="2555">
        <f t="shared" si="1"/>
        <v>0</v>
      </c>
      <c r="M55" s="2555">
        <f t="shared" si="1"/>
        <v>0</v>
      </c>
      <c r="N55" s="2555">
        <f t="shared" si="1"/>
        <v>0</v>
      </c>
      <c r="O55" s="2555">
        <f t="shared" si="1"/>
        <v>0</v>
      </c>
    </row>
    <row r="56" spans="2:18">
      <c r="D56" s="500"/>
      <c r="E56" s="500"/>
      <c r="F56" s="507" t="s">
        <v>2229</v>
      </c>
      <c r="G56" s="507"/>
      <c r="H56" s="500"/>
      <c r="I56" s="1244"/>
      <c r="J56" s="1244"/>
      <c r="K56" s="1232"/>
      <c r="L56"/>
      <c r="M56"/>
      <c r="N56"/>
      <c r="O56"/>
    </row>
    <row r="57" spans="2:18" ht="16.5" thickBot="1">
      <c r="B57" t="s">
        <v>3025</v>
      </c>
      <c r="D57" s="503"/>
      <c r="E57" s="404"/>
      <c r="F57" s="500"/>
      <c r="G57" s="1960">
        <f>IF(G79&gt;=B43,5,IF(G79&gt;=B42,4,IF(G79&gt;=B41,3,IF(G79&gt;=B40,2,1))))</f>
        <v>3</v>
      </c>
      <c r="H57" s="3487" t="s">
        <v>2076</v>
      </c>
      <c r="I57" s="3488"/>
      <c r="J57" s="3489"/>
      <c r="K57" s="3718" t="s">
        <v>868</v>
      </c>
      <c r="L57" s="3719"/>
      <c r="M57" s="3719"/>
      <c r="N57" s="3720"/>
      <c r="O57" s="649" t="s">
        <v>2077</v>
      </c>
      <c r="P57" s="44"/>
      <c r="Q57" s="44"/>
      <c r="R57" s="44"/>
    </row>
    <row r="58" spans="2:18" ht="42" customHeight="1">
      <c r="B58">
        <v>2</v>
      </c>
      <c r="D58" s="503"/>
      <c r="E58" s="404"/>
      <c r="F58" s="1927" t="s">
        <v>2856</v>
      </c>
      <c r="G58" s="3471">
        <v>1</v>
      </c>
      <c r="H58" s="3728" t="s">
        <v>2737</v>
      </c>
      <c r="I58" s="3731" t="s">
        <v>1830</v>
      </c>
      <c r="J58" s="3654"/>
      <c r="K58" s="3722" t="s">
        <v>3858</v>
      </c>
      <c r="L58" s="3723"/>
      <c r="M58" s="3723"/>
      <c r="N58" s="3724"/>
      <c r="O58" s="3721" t="s">
        <v>185</v>
      </c>
      <c r="P58" s="44"/>
      <c r="Q58" s="44"/>
      <c r="R58" s="44"/>
    </row>
    <row r="59" spans="2:18" ht="42" customHeight="1">
      <c r="B59" s="670" t="s">
        <v>1831</v>
      </c>
      <c r="D59" s="503"/>
      <c r="E59" s="404"/>
      <c r="G59" s="3465"/>
      <c r="H59" s="3729"/>
      <c r="I59" s="3647"/>
      <c r="J59" s="3646"/>
      <c r="K59" s="3676" t="s">
        <v>3859</v>
      </c>
      <c r="L59" s="3677"/>
      <c r="M59" s="3677"/>
      <c r="N59" s="3678"/>
      <c r="O59" s="3642"/>
      <c r="P59" s="44"/>
      <c r="Q59" s="44"/>
      <c r="R59" s="44"/>
    </row>
    <row r="60" spans="2:18" ht="15.75">
      <c r="B60" s="670"/>
      <c r="D60" s="503"/>
      <c r="E60" s="404"/>
      <c r="G60" s="2773"/>
      <c r="H60" s="3730"/>
      <c r="I60" s="3670"/>
      <c r="J60" s="3732"/>
      <c r="K60" s="3676" t="s">
        <v>3861</v>
      </c>
      <c r="L60" s="3677"/>
      <c r="M60" s="3677"/>
      <c r="N60" s="3678"/>
      <c r="O60" s="2772" t="s">
        <v>3843</v>
      </c>
      <c r="P60" s="44"/>
      <c r="Q60" s="44"/>
      <c r="R60" s="44"/>
    </row>
    <row r="61" spans="2:18" ht="30.75" customHeight="1">
      <c r="B61">
        <v>2</v>
      </c>
      <c r="D61" s="503"/>
      <c r="E61" s="404"/>
      <c r="F61" s="1927" t="s">
        <v>2936</v>
      </c>
      <c r="G61" s="3463"/>
      <c r="H61" s="3672" t="s">
        <v>2738</v>
      </c>
      <c r="I61" s="3655" t="s">
        <v>687</v>
      </c>
      <c r="J61" s="3656"/>
      <c r="K61" s="3655" t="s">
        <v>688</v>
      </c>
      <c r="L61" s="3664"/>
      <c r="M61" s="3664"/>
      <c r="N61" s="3656"/>
      <c r="O61" s="3640" t="s">
        <v>2078</v>
      </c>
      <c r="P61" s="44"/>
      <c r="Q61" s="44"/>
      <c r="R61" s="44"/>
    </row>
    <row r="62" spans="2:18" ht="50.25" customHeight="1">
      <c r="D62" s="503"/>
      <c r="E62" s="404"/>
      <c r="G62" s="3725"/>
      <c r="H62" s="3726"/>
      <c r="I62" s="3657"/>
      <c r="J62" s="3658"/>
      <c r="K62" s="3661" t="s">
        <v>3034</v>
      </c>
      <c r="L62" s="3662"/>
      <c r="M62" s="3662"/>
      <c r="N62" s="3663"/>
      <c r="O62" s="3733"/>
      <c r="P62" s="44"/>
      <c r="Q62" s="44"/>
      <c r="R62" s="44"/>
    </row>
    <row r="63" spans="2:18" ht="27" customHeight="1">
      <c r="B63">
        <v>3</v>
      </c>
      <c r="D63" s="503"/>
      <c r="E63" s="404"/>
      <c r="F63" s="1927" t="s">
        <v>2858</v>
      </c>
      <c r="G63" s="3463"/>
      <c r="H63" s="3726"/>
      <c r="I63" s="3657"/>
      <c r="J63" s="3658"/>
      <c r="K63" s="3655" t="s">
        <v>689</v>
      </c>
      <c r="L63" s="3664"/>
      <c r="M63" s="3664"/>
      <c r="N63" s="3656"/>
      <c r="O63" s="3640" t="s">
        <v>184</v>
      </c>
      <c r="P63" s="44"/>
      <c r="Q63" s="44"/>
      <c r="R63" s="44"/>
    </row>
    <row r="64" spans="2:18" ht="55.5" customHeight="1">
      <c r="D64" s="503"/>
      <c r="E64" s="404"/>
      <c r="G64" s="3465"/>
      <c r="H64" s="3726"/>
      <c r="I64" s="3657"/>
      <c r="J64" s="3658"/>
      <c r="K64" s="3661" t="s">
        <v>3035</v>
      </c>
      <c r="L64" s="3735"/>
      <c r="M64" s="3735"/>
      <c r="N64" s="1974" t="e">
        <f>F45&amp;"＝"&amp;H45*100&amp;"%"</f>
        <v>#DIV/0!</v>
      </c>
      <c r="O64" s="3642"/>
      <c r="P64" s="44"/>
      <c r="Q64" s="44"/>
      <c r="R64" s="44"/>
    </row>
    <row r="65" spans="2:18" ht="24.75" customHeight="1">
      <c r="B65">
        <v>3</v>
      </c>
      <c r="D65" s="503"/>
      <c r="E65" s="404"/>
      <c r="F65" s="1927" t="s">
        <v>2859</v>
      </c>
      <c r="G65" s="3463">
        <v>3</v>
      </c>
      <c r="H65" s="3726"/>
      <c r="I65" s="3657"/>
      <c r="J65" s="3658"/>
      <c r="K65" s="3655" t="s">
        <v>690</v>
      </c>
      <c r="L65" s="3664"/>
      <c r="M65" s="3664"/>
      <c r="N65" s="3656"/>
      <c r="O65" s="3640" t="s">
        <v>184</v>
      </c>
      <c r="P65" s="44"/>
      <c r="Q65" s="44"/>
      <c r="R65" s="44"/>
    </row>
    <row r="66" spans="2:18" ht="48.75" customHeight="1">
      <c r="D66" s="503"/>
      <c r="E66" s="404"/>
      <c r="G66" s="3465"/>
      <c r="H66" s="3726"/>
      <c r="I66" s="3659"/>
      <c r="J66" s="3660"/>
      <c r="K66" s="3661" t="s">
        <v>3036</v>
      </c>
      <c r="L66" s="3735"/>
      <c r="M66" s="3735"/>
      <c r="N66" s="1974" t="str">
        <f>"Rw＝"&amp;H46</f>
        <v>Rw＝</v>
      </c>
      <c r="O66" s="3734"/>
      <c r="P66" s="44"/>
      <c r="Q66" s="44"/>
      <c r="R66" s="44"/>
    </row>
    <row r="67" spans="2:18" ht="15.75" customHeight="1">
      <c r="B67">
        <v>3</v>
      </c>
      <c r="D67" s="503"/>
      <c r="E67" s="404"/>
      <c r="F67" s="1927" t="s">
        <v>2860</v>
      </c>
      <c r="G67" s="3463"/>
      <c r="H67" s="3726"/>
      <c r="I67" s="3655" t="s">
        <v>691</v>
      </c>
      <c r="J67" s="3656"/>
      <c r="K67" s="1969" t="s">
        <v>692</v>
      </c>
      <c r="L67" s="1970"/>
      <c r="M67" s="1970"/>
      <c r="N67" s="1971"/>
      <c r="O67" s="3640" t="s">
        <v>184</v>
      </c>
      <c r="P67" s="44"/>
      <c r="Q67" s="44"/>
      <c r="R67" s="44"/>
    </row>
    <row r="68" spans="2:18" ht="55.5" customHeight="1">
      <c r="D68" s="503"/>
      <c r="E68" s="404"/>
      <c r="G68" s="3465"/>
      <c r="H68" s="3726"/>
      <c r="I68" s="3659"/>
      <c r="J68" s="3660"/>
      <c r="K68" s="3661" t="s">
        <v>3037</v>
      </c>
      <c r="L68" s="3735"/>
      <c r="M68" s="3735"/>
      <c r="N68" s="1974" t="str">
        <f>$I$47&amp;"＝"&amp;H48*100&amp;"%"</f>
        <v>対策面積率＝39%</v>
      </c>
      <c r="O68" s="3641"/>
      <c r="P68" s="44"/>
      <c r="Q68" s="44"/>
      <c r="R68" s="44"/>
    </row>
    <row r="69" spans="2:18" ht="15.75" customHeight="1">
      <c r="B69">
        <v>3</v>
      </c>
      <c r="D69" s="503"/>
      <c r="E69" s="404"/>
      <c r="F69" s="1927" t="s">
        <v>2978</v>
      </c>
      <c r="G69" s="3463"/>
      <c r="H69" s="3726"/>
      <c r="I69" s="3655" t="s">
        <v>693</v>
      </c>
      <c r="J69" s="3656"/>
      <c r="K69" s="1969" t="s">
        <v>694</v>
      </c>
      <c r="L69" s="1970"/>
      <c r="M69" s="1970"/>
      <c r="N69" s="1971"/>
      <c r="O69" s="3640" t="s">
        <v>184</v>
      </c>
      <c r="P69" s="44"/>
      <c r="Q69" s="44"/>
      <c r="R69" s="44"/>
    </row>
    <row r="70" spans="2:18" ht="55.5" customHeight="1">
      <c r="D70" s="503"/>
      <c r="E70" s="404"/>
      <c r="F70" s="1927"/>
      <c r="G70" s="3465"/>
      <c r="H70" s="3726"/>
      <c r="I70" s="3657"/>
      <c r="J70" s="3658"/>
      <c r="K70" s="3661" t="s">
        <v>3038</v>
      </c>
      <c r="L70" s="3735"/>
      <c r="M70" s="3735"/>
      <c r="N70" s="1974" t="e">
        <f>$I$47&amp;"＝"&amp;H49*100&amp;"%"</f>
        <v>#DIV/0!</v>
      </c>
      <c r="O70" s="3642"/>
      <c r="P70" s="44"/>
      <c r="Q70" s="44"/>
      <c r="R70" s="44"/>
    </row>
    <row r="71" spans="2:18" ht="15.75" customHeight="1">
      <c r="B71">
        <v>3</v>
      </c>
      <c r="D71" s="503"/>
      <c r="E71" s="404"/>
      <c r="F71" s="1927" t="s">
        <v>2979</v>
      </c>
      <c r="G71" s="3463"/>
      <c r="H71" s="3726"/>
      <c r="I71" s="3657"/>
      <c r="J71" s="3658"/>
      <c r="K71" s="1969" t="s">
        <v>695</v>
      </c>
      <c r="L71" s="1972"/>
      <c r="M71" s="1972"/>
      <c r="N71" s="1971"/>
      <c r="O71" s="3640" t="s">
        <v>184</v>
      </c>
      <c r="P71" s="44"/>
      <c r="Q71" s="44"/>
      <c r="R71" s="44"/>
    </row>
    <row r="72" spans="2:18" ht="48.75" customHeight="1">
      <c r="D72" s="503"/>
      <c r="E72" s="404"/>
      <c r="F72" s="1927"/>
      <c r="G72" s="3465"/>
      <c r="H72" s="3726"/>
      <c r="I72" s="3659"/>
      <c r="J72" s="3660"/>
      <c r="K72" s="3661" t="s">
        <v>3039</v>
      </c>
      <c r="L72" s="3735"/>
      <c r="M72" s="3735"/>
      <c r="N72" s="1974" t="str">
        <f>$I$47&amp;"＝"&amp;H50*100&amp;"%"</f>
        <v>対策面積率＝0%</v>
      </c>
      <c r="O72" s="3642"/>
      <c r="P72" s="44"/>
      <c r="Q72" s="44"/>
      <c r="R72" s="44"/>
    </row>
    <row r="73" spans="2:18" ht="30.75" customHeight="1">
      <c r="B73">
        <v>3</v>
      </c>
      <c r="D73" s="503"/>
      <c r="E73" s="404"/>
      <c r="F73" s="1927" t="s">
        <v>2980</v>
      </c>
      <c r="G73" s="3463">
        <v>2</v>
      </c>
      <c r="H73" s="3726"/>
      <c r="I73" s="3655" t="s">
        <v>696</v>
      </c>
      <c r="J73" s="3656"/>
      <c r="K73" s="3655" t="s">
        <v>697</v>
      </c>
      <c r="L73" s="3664"/>
      <c r="M73" s="3664"/>
      <c r="N73" s="3656"/>
      <c r="O73" s="3640" t="s">
        <v>184</v>
      </c>
      <c r="P73" s="44"/>
      <c r="Q73" s="44"/>
      <c r="R73" s="44"/>
    </row>
    <row r="74" spans="2:18" ht="48" customHeight="1">
      <c r="D74" s="503"/>
      <c r="E74" s="404"/>
      <c r="F74" s="1927"/>
      <c r="G74" s="3465"/>
      <c r="H74" s="3726"/>
      <c r="I74" s="3657"/>
      <c r="J74" s="3658"/>
      <c r="K74" s="3661" t="s">
        <v>3040</v>
      </c>
      <c r="L74" s="3662"/>
      <c r="M74" s="3662"/>
      <c r="N74" s="3663"/>
      <c r="O74" s="3641"/>
      <c r="P74" s="44"/>
      <c r="Q74" s="44"/>
      <c r="R74" s="44"/>
    </row>
    <row r="75" spans="2:18" ht="27" customHeight="1">
      <c r="B75">
        <v>3</v>
      </c>
      <c r="D75" s="503"/>
      <c r="E75" s="404"/>
      <c r="F75" s="1927" t="s">
        <v>2981</v>
      </c>
      <c r="G75" s="3463"/>
      <c r="H75" s="3726"/>
      <c r="I75" s="3657"/>
      <c r="J75" s="3658"/>
      <c r="K75" s="3655" t="s">
        <v>698</v>
      </c>
      <c r="L75" s="3664"/>
      <c r="M75" s="3664"/>
      <c r="N75" s="3656"/>
      <c r="O75" s="3640" t="s">
        <v>184</v>
      </c>
      <c r="P75" s="44"/>
      <c r="Q75" s="44"/>
      <c r="R75" s="44"/>
    </row>
    <row r="76" spans="2:18" ht="48" customHeight="1">
      <c r="D76" s="503"/>
      <c r="E76" s="404"/>
      <c r="F76" s="1927"/>
      <c r="G76" s="3465"/>
      <c r="H76" s="3727"/>
      <c r="I76" s="3659"/>
      <c r="J76" s="3660"/>
      <c r="K76" s="3661" t="s">
        <v>3041</v>
      </c>
      <c r="L76" s="3662"/>
      <c r="M76" s="3662"/>
      <c r="N76" s="3663"/>
      <c r="O76" s="3642"/>
      <c r="P76" s="44"/>
      <c r="Q76" s="44"/>
      <c r="R76" s="44"/>
    </row>
    <row r="77" spans="2:18" ht="32.25" customHeight="1">
      <c r="B77">
        <v>2</v>
      </c>
      <c r="D77" s="503"/>
      <c r="E77" s="404"/>
      <c r="F77" s="1927" t="s">
        <v>2982</v>
      </c>
      <c r="G77" s="3463"/>
      <c r="H77" s="3672" t="s">
        <v>2739</v>
      </c>
      <c r="I77" s="3655" t="s">
        <v>699</v>
      </c>
      <c r="J77" s="3656"/>
      <c r="K77" s="3655" t="s">
        <v>2836</v>
      </c>
      <c r="L77" s="3664"/>
      <c r="M77" s="3664"/>
      <c r="N77" s="3656"/>
      <c r="O77" s="3640" t="s">
        <v>185</v>
      </c>
      <c r="P77" s="44"/>
      <c r="Q77" s="44"/>
      <c r="R77" s="44"/>
    </row>
    <row r="78" spans="2:18" ht="45" customHeight="1" thickBot="1">
      <c r="D78" s="503"/>
      <c r="E78" s="404"/>
      <c r="F78" s="1927"/>
      <c r="G78" s="3464"/>
      <c r="H78" s="3673"/>
      <c r="I78" s="3674"/>
      <c r="J78" s="3675"/>
      <c r="K78" s="3676" t="s">
        <v>2837</v>
      </c>
      <c r="L78" s="3677"/>
      <c r="M78" s="3677"/>
      <c r="N78" s="3678"/>
      <c r="O78" s="3667"/>
      <c r="P78" s="44"/>
      <c r="Q78" s="44"/>
      <c r="R78" s="44"/>
    </row>
    <row r="79" spans="2:18" ht="21" customHeight="1">
      <c r="D79" s="503"/>
      <c r="E79" s="404"/>
      <c r="F79" s="1927" t="s">
        <v>2966</v>
      </c>
      <c r="G79" s="1958">
        <f>SUM(G58:G78)</f>
        <v>6</v>
      </c>
      <c r="H79" s="1440" t="s">
        <v>1333</v>
      </c>
      <c r="I79" s="713"/>
      <c r="J79" s="1957"/>
      <c r="K79" s="1959"/>
      <c r="L79" s="1957"/>
      <c r="M79" s="1959"/>
      <c r="N79" s="1953"/>
      <c r="O79" s="2203">
        <f>SUM(B58:B78)</f>
        <v>27</v>
      </c>
      <c r="P79" s="44"/>
      <c r="Q79" s="44"/>
      <c r="R79" s="44"/>
    </row>
    <row r="80" spans="2:18" ht="15" customHeight="1">
      <c r="D80" s="503"/>
      <c r="E80" s="503"/>
      <c r="F80" s="503"/>
      <c r="G80" s="848"/>
      <c r="H80"/>
      <c r="I80"/>
      <c r="J80"/>
      <c r="K80"/>
      <c r="L80"/>
      <c r="M80"/>
      <c r="N80"/>
      <c r="O80"/>
    </row>
    <row r="81" spans="2:15" ht="14.25" customHeight="1">
      <c r="D81" s="846">
        <v>2.2999999999999998</v>
      </c>
      <c r="E81" s="508" t="s">
        <v>555</v>
      </c>
      <c r="F81" s="509"/>
      <c r="G81" s="404"/>
      <c r="H81"/>
      <c r="I81"/>
      <c r="J81"/>
      <c r="K81"/>
      <c r="L81"/>
      <c r="M81"/>
      <c r="N81"/>
      <c r="O81"/>
    </row>
    <row r="82" spans="2:15" ht="14.25" customHeight="1">
      <c r="D82" s="846"/>
      <c r="E82" s="508"/>
      <c r="F82" s="273" t="s">
        <v>992</v>
      </c>
      <c r="G82" s="404"/>
      <c r="H82"/>
      <c r="I82"/>
      <c r="J82" t="str">
        <f>IF(OR(F84=0,J83=0),$L$3,"")</f>
        <v/>
      </c>
      <c r="K82"/>
      <c r="L82"/>
      <c r="M82"/>
      <c r="N82"/>
      <c r="O82"/>
    </row>
    <row r="83" spans="2:15" ht="18" customHeight="1" thickBot="1">
      <c r="D83" s="846"/>
      <c r="E83" s="788"/>
      <c r="F83" s="630"/>
      <c r="G83" s="516"/>
      <c r="H83" s="517" t="s">
        <v>1126</v>
      </c>
      <c r="I83" s="518"/>
      <c r="J83" s="519">
        <f>重み!M178</f>
        <v>0.25</v>
      </c>
      <c r="K83" s="631"/>
      <c r="L83" s="631"/>
      <c r="M83" s="631"/>
      <c r="N83" s="631"/>
      <c r="O83" s="528"/>
    </row>
    <row r="84" spans="2:15" ht="27" customHeight="1" thickBot="1">
      <c r="F84" s="522">
        <v>3</v>
      </c>
      <c r="G84" s="526" t="s">
        <v>2746</v>
      </c>
      <c r="H84" s="527"/>
      <c r="I84" s="527"/>
      <c r="J84" s="527"/>
      <c r="K84" s="527"/>
      <c r="L84" s="618" t="s">
        <v>2745</v>
      </c>
      <c r="M84" s="527"/>
      <c r="N84" s="527"/>
      <c r="O84" s="528"/>
    </row>
    <row r="85" spans="2:15" ht="21" customHeight="1">
      <c r="B85" s="822" t="s">
        <v>1213</v>
      </c>
      <c r="F85" s="534" t="str">
        <f>IF(F84=$F$7,$G$2,IF(ROUNDDOWN(F84,0)=$F$2,$H$2,$G$2))</f>
        <v>　レベル　1</v>
      </c>
      <c r="G85" s="531" t="s">
        <v>1794</v>
      </c>
      <c r="H85" s="532"/>
      <c r="I85" s="532"/>
      <c r="J85" s="532"/>
      <c r="K85" s="532"/>
      <c r="L85" s="532"/>
      <c r="M85" s="532"/>
      <c r="N85" s="532"/>
      <c r="O85" s="533"/>
    </row>
    <row r="86" spans="2:15" ht="21" customHeight="1">
      <c r="B86" s="1" t="s">
        <v>1213</v>
      </c>
      <c r="F86" s="534" t="str">
        <f>IF(F84=$F$7,$G$3,IF(ROUNDDOWN(F84,0)=$F$3,$H$3,$G$3))</f>
        <v>　レベル　2</v>
      </c>
      <c r="G86" s="832" t="s">
        <v>1794</v>
      </c>
      <c r="H86" s="1242"/>
      <c r="I86" s="1242"/>
      <c r="J86" s="1242"/>
      <c r="K86" s="1242"/>
      <c r="L86" s="1242"/>
      <c r="M86" s="1242"/>
      <c r="N86" s="538"/>
      <c r="O86" s="539"/>
    </row>
    <row r="87" spans="2:15" ht="21" customHeight="1">
      <c r="B87" s="1">
        <v>3</v>
      </c>
      <c r="F87" s="534" t="str">
        <f>IF(F84=$F$7,$G$4,IF(ROUNDDOWN(F84,0)=$F$4,$H$4,$G$4))</f>
        <v>■レベル　3</v>
      </c>
      <c r="G87" s="832" t="s">
        <v>2740</v>
      </c>
      <c r="H87" s="1242"/>
      <c r="I87" s="1242"/>
      <c r="J87" s="1242"/>
      <c r="K87" s="1242"/>
      <c r="L87" s="832" t="s">
        <v>2743</v>
      </c>
      <c r="M87" s="1242"/>
      <c r="N87" s="538"/>
      <c r="O87" s="539"/>
    </row>
    <row r="88" spans="2:15" ht="24.75" customHeight="1">
      <c r="B88" s="1">
        <v>4</v>
      </c>
      <c r="F88" s="534" t="str">
        <f>IF(F84=$F$7,$G$5,IF(ROUNDDOWN(F84,0)=$F$5,$H$5,$G$5))</f>
        <v>　レベル　4</v>
      </c>
      <c r="G88" s="3649" t="s">
        <v>2741</v>
      </c>
      <c r="H88" s="3650"/>
      <c r="I88" s="3650"/>
      <c r="J88" s="3650"/>
      <c r="K88" s="3651"/>
      <c r="L88" s="3649" t="s">
        <v>2742</v>
      </c>
      <c r="M88" s="3650"/>
      <c r="N88" s="3650"/>
      <c r="O88" s="3651"/>
    </row>
    <row r="89" spans="2:15" ht="21" customHeight="1">
      <c r="B89" s="1">
        <v>5</v>
      </c>
      <c r="F89" s="544" t="str">
        <f>IF(F84=$F$7,$G$6,IF(ROUNDDOWN(F84,0)=$F$6,$H$6,$G$6))</f>
        <v>　レベル　5</v>
      </c>
      <c r="G89" s="833" t="s">
        <v>2744</v>
      </c>
      <c r="H89" s="1243"/>
      <c r="I89" s="1243"/>
      <c r="J89" s="1243"/>
      <c r="K89" s="1243"/>
      <c r="L89" s="1243"/>
      <c r="M89" s="1243"/>
      <c r="N89" s="549"/>
      <c r="O89" s="550"/>
    </row>
    <row r="90" spans="2:15">
      <c r="B90" s="551">
        <v>0</v>
      </c>
      <c r="F90" s="839" t="s">
        <v>2938</v>
      </c>
      <c r="G90" s="1941"/>
      <c r="H90" s="1915"/>
      <c r="I90" s="1915"/>
      <c r="J90" s="1916"/>
      <c r="K90" s="2094"/>
      <c r="L90"/>
      <c r="M90"/>
      <c r="N90"/>
      <c r="O90"/>
    </row>
    <row r="91" spans="2:15">
      <c r="B91" s="870"/>
      <c r="H91"/>
      <c r="I91"/>
      <c r="J91"/>
      <c r="K91"/>
      <c r="L91"/>
      <c r="M91"/>
      <c r="N91"/>
      <c r="O91"/>
    </row>
    <row r="92" spans="2:15" ht="16.5" customHeight="1">
      <c r="F92" s="273" t="s">
        <v>993</v>
      </c>
      <c r="H92"/>
      <c r="I92"/>
      <c r="J92" t="str">
        <f>IF(OR(F94=0,J93=0),$L$3,"")</f>
        <v/>
      </c>
      <c r="K92"/>
      <c r="L92"/>
      <c r="M92"/>
      <c r="N92"/>
      <c r="O92"/>
    </row>
    <row r="93" spans="2:15" ht="19.5" customHeight="1" thickBot="1">
      <c r="D93" s="846"/>
      <c r="E93" s="404"/>
      <c r="F93" s="630"/>
      <c r="G93" s="516"/>
      <c r="H93" s="517" t="s">
        <v>1126</v>
      </c>
      <c r="I93" s="518"/>
      <c r="J93" s="519">
        <f>重み!M179</f>
        <v>0.25</v>
      </c>
      <c r="K93" s="631"/>
      <c r="L93" s="631"/>
      <c r="M93" s="631"/>
      <c r="N93" s="631"/>
      <c r="O93" s="528"/>
    </row>
    <row r="94" spans="2:15" ht="27" customHeight="1" thickBot="1">
      <c r="F94" s="522">
        <v>3</v>
      </c>
      <c r="G94" s="526" t="s">
        <v>1823</v>
      </c>
      <c r="H94" s="527"/>
      <c r="I94" s="527"/>
      <c r="J94" s="527"/>
      <c r="K94" s="527"/>
      <c r="L94" s="728"/>
      <c r="M94" s="527"/>
      <c r="N94" s="527"/>
      <c r="O94" s="528"/>
    </row>
    <row r="95" spans="2:15" ht="21" customHeight="1">
      <c r="B95" s="822" t="s">
        <v>1213</v>
      </c>
      <c r="F95" s="534" t="str">
        <f>IF(F94=$F$7,$G$2,IF(ROUNDDOWN(F94,0)=$F$2,$H$2,$G$2))</f>
        <v>　レベル　1</v>
      </c>
      <c r="G95" s="531" t="s">
        <v>1794</v>
      </c>
      <c r="H95" s="532"/>
      <c r="I95" s="532"/>
      <c r="J95" s="532"/>
      <c r="K95" s="532"/>
      <c r="L95" s="532"/>
      <c r="M95" s="532"/>
      <c r="N95" s="532"/>
      <c r="O95" s="533"/>
    </row>
    <row r="96" spans="2:15" ht="21" customHeight="1">
      <c r="B96" s="1" t="s">
        <v>1213</v>
      </c>
      <c r="F96" s="534" t="str">
        <f>IF(F94=$F$7,$G$3,IF(ROUNDDOWN(F94,0)=$F$3,$H$3,$G$3))</f>
        <v>　レベル　2</v>
      </c>
      <c r="G96" s="832" t="s">
        <v>1794</v>
      </c>
      <c r="H96" s="1242"/>
      <c r="I96" s="1242"/>
      <c r="J96" s="1242"/>
      <c r="K96" s="1242"/>
      <c r="L96" s="1242"/>
      <c r="M96" s="1242"/>
      <c r="N96" s="538"/>
      <c r="O96" s="539"/>
    </row>
    <row r="97" spans="2:15" ht="21" customHeight="1">
      <c r="B97" s="1">
        <v>3</v>
      </c>
      <c r="F97" s="534" t="str">
        <f>IF(F94=$F$7,$G$4,IF(ROUNDDOWN(F94,0)=$F$4,$H$4,$G$4))</f>
        <v>■レベル　3</v>
      </c>
      <c r="G97" s="832" t="s">
        <v>700</v>
      </c>
      <c r="H97" s="1242"/>
      <c r="I97" s="1242"/>
      <c r="J97" s="1242"/>
      <c r="K97" s="1242"/>
      <c r="L97" s="1242"/>
      <c r="M97" s="1242"/>
      <c r="N97" s="538"/>
      <c r="O97" s="539"/>
    </row>
    <row r="98" spans="2:15" ht="21" customHeight="1">
      <c r="B98" s="1">
        <v>4</v>
      </c>
      <c r="F98" s="534" t="str">
        <f>IF(F94=$F$7,$G$5,IF(ROUNDDOWN(F94,0)=$F$5,$H$5,$G$5))</f>
        <v>　レベル　4</v>
      </c>
      <c r="G98" s="832" t="s">
        <v>994</v>
      </c>
      <c r="H98" s="1242"/>
      <c r="I98" s="1242"/>
      <c r="J98" s="1242"/>
      <c r="K98" s="1242"/>
      <c r="L98" s="1242"/>
      <c r="M98" s="1242"/>
      <c r="N98" s="538"/>
      <c r="O98" s="539"/>
    </row>
    <row r="99" spans="2:15" ht="21" customHeight="1">
      <c r="B99" s="1" t="s">
        <v>1793</v>
      </c>
      <c r="F99" s="544" t="str">
        <f>IF(F94=$F$7,$G$6,IF(ROUNDDOWN(F94,0)=$F$6,$H$6,$G$6))</f>
        <v>　レベル　5</v>
      </c>
      <c r="G99" s="833" t="s">
        <v>1794</v>
      </c>
      <c r="H99" s="1243"/>
      <c r="I99" s="1243"/>
      <c r="J99" s="1243"/>
      <c r="K99" s="1243"/>
      <c r="L99" s="1243"/>
      <c r="M99" s="1243"/>
      <c r="N99" s="549"/>
      <c r="O99" s="550"/>
    </row>
    <row r="100" spans="2:15" ht="13.5" customHeight="1">
      <c r="B100" s="551">
        <v>0</v>
      </c>
      <c r="F100" s="839" t="s">
        <v>2938</v>
      </c>
      <c r="G100" s="1941"/>
      <c r="H100" s="1915"/>
      <c r="I100" s="1915"/>
      <c r="J100" s="1916"/>
      <c r="K100" s="2094"/>
      <c r="L100"/>
      <c r="M100"/>
      <c r="N100"/>
      <c r="O100"/>
    </row>
    <row r="101" spans="2:15" ht="13.5" customHeight="1">
      <c r="B101" s="870"/>
      <c r="H101"/>
      <c r="I101"/>
      <c r="J101"/>
      <c r="K101"/>
      <c r="L101"/>
      <c r="M101"/>
      <c r="N101"/>
      <c r="O101"/>
    </row>
    <row r="102" spans="2:15" ht="13.5" customHeight="1">
      <c r="F102" s="273" t="s">
        <v>995</v>
      </c>
      <c r="H102"/>
      <c r="I102"/>
      <c r="J102" t="str">
        <f>IF(OR(F104=0,J103=0),$L$3,"")</f>
        <v/>
      </c>
      <c r="K102"/>
      <c r="L102"/>
      <c r="M102"/>
      <c r="N102"/>
      <c r="O102"/>
    </row>
    <row r="103" spans="2:15" ht="14.25" customHeight="1" thickBot="1">
      <c r="D103" s="846"/>
      <c r="E103" s="404"/>
      <c r="F103" s="630"/>
      <c r="G103" s="516"/>
      <c r="H103" s="517" t="s">
        <v>1126</v>
      </c>
      <c r="I103" s="518"/>
      <c r="J103" s="519">
        <f>重み!M180</f>
        <v>0.25</v>
      </c>
      <c r="K103" s="631"/>
      <c r="L103" s="631"/>
      <c r="M103" s="631"/>
      <c r="N103" s="631"/>
      <c r="O103" s="528"/>
    </row>
    <row r="104" spans="2:15" ht="27" customHeight="1" thickBot="1">
      <c r="B104" t="s">
        <v>2967</v>
      </c>
      <c r="F104" s="1777">
        <f>G112</f>
        <v>3</v>
      </c>
      <c r="G104" s="526" t="s">
        <v>407</v>
      </c>
      <c r="H104" s="527"/>
      <c r="I104" s="527"/>
      <c r="J104" s="527"/>
      <c r="K104" s="527"/>
      <c r="L104" s="728"/>
      <c r="M104" s="527"/>
      <c r="N104" s="527"/>
      <c r="O104" s="528"/>
    </row>
    <row r="105" spans="2:15" ht="21" customHeight="1">
      <c r="B105">
        <v>0</v>
      </c>
      <c r="F105" s="534" t="str">
        <f>IF(F104=$F$7,$G$2,IF(ROUNDDOWN(F104,0)=$F$2,$H$2,$G$2))</f>
        <v>　レベル　1</v>
      </c>
      <c r="G105" s="531" t="s">
        <v>996</v>
      </c>
      <c r="H105" s="532"/>
      <c r="I105" s="532"/>
      <c r="J105" s="532"/>
      <c r="K105" s="532"/>
      <c r="L105" s="532"/>
      <c r="M105" s="532"/>
      <c r="N105" s="532"/>
      <c r="O105" s="533"/>
    </row>
    <row r="106" spans="2:15" ht="21" customHeight="1">
      <c r="B106">
        <v>1</v>
      </c>
      <c r="F106" s="534" t="str">
        <f>IF(F104=$F$7,$G$3,IF(ROUNDDOWN(F104,0)=$F$3,$H$3,$G$3))</f>
        <v>　レベル　2</v>
      </c>
      <c r="G106" s="832" t="s">
        <v>1346</v>
      </c>
      <c r="H106" s="1242"/>
      <c r="I106" s="1242"/>
      <c r="J106" s="1242"/>
      <c r="K106" s="1242"/>
      <c r="L106" s="1242"/>
      <c r="M106" s="1242"/>
      <c r="N106" s="538"/>
      <c r="O106" s="539"/>
    </row>
    <row r="107" spans="2:15" ht="21" customHeight="1">
      <c r="B107">
        <v>2</v>
      </c>
      <c r="F107" s="534" t="str">
        <f>IF(F104=$F$7,$G$4,IF(ROUNDDOWN(F104,0)=$F$4,$H$4,$G$4))</f>
        <v>■レベル　3</v>
      </c>
      <c r="G107" s="832" t="s">
        <v>1347</v>
      </c>
      <c r="H107" s="1242"/>
      <c r="I107" s="1242"/>
      <c r="J107" s="1242"/>
      <c r="K107" s="1242"/>
      <c r="L107" s="1242"/>
      <c r="M107" s="1242"/>
      <c r="N107" s="538"/>
      <c r="O107" s="539"/>
    </row>
    <row r="108" spans="2:15" ht="21" customHeight="1">
      <c r="B108">
        <v>3</v>
      </c>
      <c r="F108" s="534" t="str">
        <f>IF(F104=$F$7,$G$5,IF(ROUNDDOWN(F104,0)=$F$5,$H$5,$G$5))</f>
        <v>　レベル　4</v>
      </c>
      <c r="G108" s="832" t="s">
        <v>1348</v>
      </c>
      <c r="H108" s="1242"/>
      <c r="I108" s="1242"/>
      <c r="J108" s="1242"/>
      <c r="K108" s="1242"/>
      <c r="L108" s="1242"/>
      <c r="M108" s="1242"/>
      <c r="N108" s="538"/>
      <c r="O108" s="539"/>
    </row>
    <row r="109" spans="2:15" ht="21" customHeight="1">
      <c r="B109">
        <v>4</v>
      </c>
      <c r="F109" s="544" t="str">
        <f>IF(F104=$F$7,$G$6,IF(ROUNDDOWN(F104,0)=$F$6,$H$6,$G$6))</f>
        <v>　レベル　5</v>
      </c>
      <c r="G109" s="833" t="s">
        <v>1349</v>
      </c>
      <c r="H109" s="1243"/>
      <c r="I109" s="1243"/>
      <c r="J109" s="1243"/>
      <c r="K109" s="1243"/>
      <c r="L109" s="1243"/>
      <c r="M109" s="1243"/>
      <c r="N109" s="549"/>
      <c r="O109" s="550"/>
    </row>
    <row r="110" spans="2:15">
      <c r="F110" s="839" t="s">
        <v>2938</v>
      </c>
      <c r="G110" s="1941"/>
      <c r="H110" s="1915"/>
      <c r="I110" s="1915"/>
      <c r="J110" s="1916"/>
      <c r="K110" s="2094" t="s">
        <v>3232</v>
      </c>
      <c r="L110"/>
      <c r="M110"/>
      <c r="N110"/>
      <c r="O110"/>
    </row>
    <row r="111" spans="2:15">
      <c r="F111" s="507" t="s">
        <v>2229</v>
      </c>
      <c r="G111" s="507"/>
      <c r="H111" s="500"/>
      <c r="I111" s="1244"/>
      <c r="J111" s="1244"/>
      <c r="K111" s="1232"/>
      <c r="L111"/>
      <c r="M111"/>
      <c r="N111"/>
      <c r="O111"/>
    </row>
    <row r="112" spans="2:15" ht="16.5" thickBot="1">
      <c r="B112" t="s">
        <v>2968</v>
      </c>
      <c r="F112" s="503"/>
      <c r="G112" s="1960">
        <f>IF(G119&gt;=B109,5,IF(G119&gt;=B108,4,IF(G119&gt;=B107,3,IF(G119&gt;=B106,2,1))))</f>
        <v>3</v>
      </c>
      <c r="H112" s="3487" t="s">
        <v>1431</v>
      </c>
      <c r="I112" s="3488"/>
      <c r="J112" s="3489"/>
      <c r="K112" s="3487" t="s">
        <v>1430</v>
      </c>
      <c r="L112" s="3488"/>
      <c r="M112" s="3488"/>
      <c r="N112" s="3488"/>
      <c r="O112" s="649" t="s">
        <v>1432</v>
      </c>
    </row>
    <row r="113" spans="2:15" ht="41.25" customHeight="1">
      <c r="B113">
        <v>1</v>
      </c>
      <c r="D113" s="846"/>
      <c r="E113" s="500"/>
      <c r="F113" s="1927" t="s">
        <v>2856</v>
      </c>
      <c r="G113" s="1961"/>
      <c r="H113" s="3653" t="s">
        <v>1350</v>
      </c>
      <c r="I113" s="3653"/>
      <c r="J113" s="3654"/>
      <c r="K113" s="3341" t="s">
        <v>1351</v>
      </c>
      <c r="L113" s="3438"/>
      <c r="M113" s="3438"/>
      <c r="N113" s="3438"/>
      <c r="O113" s="1245">
        <v>1</v>
      </c>
    </row>
    <row r="114" spans="2:15" ht="20.25" customHeight="1">
      <c r="B114">
        <v>1</v>
      </c>
      <c r="D114" s="846"/>
      <c r="E114" s="500"/>
      <c r="F114" s="1927" t="s">
        <v>2857</v>
      </c>
      <c r="G114" s="1962"/>
      <c r="H114" s="3645"/>
      <c r="I114" s="3645"/>
      <c r="J114" s="3646"/>
      <c r="K114" s="3346" t="s">
        <v>3069</v>
      </c>
      <c r="L114" s="3648"/>
      <c r="M114" s="3648"/>
      <c r="N114" s="3652"/>
      <c r="O114" s="2776" t="s">
        <v>98</v>
      </c>
    </row>
    <row r="115" spans="2:15" ht="30.75" customHeight="1">
      <c r="B115">
        <v>1</v>
      </c>
      <c r="D115" s="846"/>
      <c r="E115" s="500"/>
      <c r="F115" s="1927" t="s">
        <v>2977</v>
      </c>
      <c r="G115" s="1963"/>
      <c r="H115" s="3643" t="s">
        <v>1352</v>
      </c>
      <c r="I115" s="3643"/>
      <c r="J115" s="3644"/>
      <c r="K115" s="3647" t="s">
        <v>1353</v>
      </c>
      <c r="L115" s="3645"/>
      <c r="M115" s="3645"/>
      <c r="N115" s="3645"/>
      <c r="O115" s="1246">
        <v>1</v>
      </c>
    </row>
    <row r="116" spans="2:15" ht="22.5" customHeight="1">
      <c r="B116">
        <v>1</v>
      </c>
      <c r="D116" s="846"/>
      <c r="E116" s="500"/>
      <c r="F116" s="1927" t="s">
        <v>2859</v>
      </c>
      <c r="G116" s="1963">
        <v>1</v>
      </c>
      <c r="H116" s="3645"/>
      <c r="I116" s="3645"/>
      <c r="J116" s="3646"/>
      <c r="K116" s="3346" t="s">
        <v>1354</v>
      </c>
      <c r="L116" s="3648"/>
      <c r="M116" s="3648"/>
      <c r="N116" s="3648"/>
      <c r="O116" s="1246">
        <v>1</v>
      </c>
    </row>
    <row r="117" spans="2:15" ht="33" customHeight="1">
      <c r="B117">
        <v>1</v>
      </c>
      <c r="D117" s="846"/>
      <c r="E117" s="500"/>
      <c r="F117" s="1927" t="s">
        <v>2860</v>
      </c>
      <c r="G117" s="1963">
        <v>1</v>
      </c>
      <c r="H117" s="3645"/>
      <c r="I117" s="3645"/>
      <c r="J117" s="3646"/>
      <c r="K117" s="3346" t="s">
        <v>1355</v>
      </c>
      <c r="L117" s="3648"/>
      <c r="M117" s="3648"/>
      <c r="N117" s="3648"/>
      <c r="O117" s="1246">
        <v>1</v>
      </c>
    </row>
    <row r="118" spans="2:15" ht="21.75" customHeight="1" thickBot="1">
      <c r="B118">
        <v>2</v>
      </c>
      <c r="D118" s="846"/>
      <c r="E118" s="500"/>
      <c r="F118" s="1927" t="s">
        <v>2861</v>
      </c>
      <c r="G118" s="1962"/>
      <c r="H118" s="3645"/>
      <c r="I118" s="3645"/>
      <c r="J118" s="3646"/>
      <c r="K118" s="3647" t="s">
        <v>3068</v>
      </c>
      <c r="L118" s="3645"/>
      <c r="M118" s="3645"/>
      <c r="N118" s="3645"/>
      <c r="O118" s="2776">
        <v>1</v>
      </c>
    </row>
    <row r="119" spans="2:15" ht="21" customHeight="1">
      <c r="D119" s="846"/>
      <c r="E119" s="500"/>
      <c r="F119" s="1927" t="s">
        <v>2966</v>
      </c>
      <c r="G119" s="1958">
        <f>SUM(G113:G118)</f>
        <v>2</v>
      </c>
      <c r="H119" s="1440" t="s">
        <v>1333</v>
      </c>
      <c r="I119" s="713"/>
      <c r="J119" s="1957"/>
      <c r="K119" s="1959"/>
      <c r="L119" s="1957"/>
      <c r="M119" s="1959"/>
      <c r="N119" s="1953"/>
      <c r="O119" s="2203">
        <f>SUM(B113:B118)</f>
        <v>7</v>
      </c>
    </row>
    <row r="120" spans="2:15" ht="14.25">
      <c r="D120" s="846"/>
      <c r="E120" s="500"/>
      <c r="F120" s="500"/>
      <c r="G120" s="500"/>
      <c r="H120"/>
      <c r="I120"/>
      <c r="J120"/>
      <c r="K120"/>
      <c r="L120"/>
      <c r="M120"/>
      <c r="N120"/>
      <c r="O120" s="500"/>
    </row>
    <row r="121" spans="2:15" ht="14.25">
      <c r="D121" s="846"/>
      <c r="E121" s="500"/>
      <c r="F121" s="273" t="s">
        <v>701</v>
      </c>
      <c r="G121" s="500"/>
      <c r="H121"/>
      <c r="I121"/>
      <c r="J121" t="str">
        <f>IF(OR(F123=0,J122=0),$L$3,"")</f>
        <v/>
      </c>
      <c r="K121"/>
      <c r="L121"/>
      <c r="M121"/>
      <c r="N121"/>
      <c r="O121" s="500"/>
    </row>
    <row r="122" spans="2:15" ht="15" thickBot="1">
      <c r="B122" s="850" t="s">
        <v>702</v>
      </c>
      <c r="D122" s="846"/>
      <c r="E122" s="500"/>
      <c r="F122" s="630"/>
      <c r="G122" s="516"/>
      <c r="H122" s="517" t="s">
        <v>1126</v>
      </c>
      <c r="I122" s="518"/>
      <c r="J122" s="519">
        <f>重み!M181</f>
        <v>0.25</v>
      </c>
      <c r="K122" s="631"/>
      <c r="L122" s="631"/>
      <c r="M122" s="631"/>
      <c r="N122" s="631"/>
      <c r="O122" s="528"/>
    </row>
    <row r="123" spans="2:15" ht="27" customHeight="1" thickBot="1">
      <c r="B123" t="s">
        <v>2967</v>
      </c>
      <c r="C123" t="s">
        <v>2967</v>
      </c>
      <c r="F123" s="1777">
        <f>G131</f>
        <v>3</v>
      </c>
      <c r="G123" s="526" t="s">
        <v>2969</v>
      </c>
      <c r="H123" s="527"/>
      <c r="I123" s="527"/>
      <c r="J123" s="1954">
        <f>メイン!C66</f>
        <v>500</v>
      </c>
      <c r="K123" s="618" t="s">
        <v>1552</v>
      </c>
      <c r="L123" s="527"/>
      <c r="M123" s="527"/>
      <c r="N123" s="527"/>
      <c r="O123" s="1955">
        <f>メイン!C67</f>
        <v>1000</v>
      </c>
    </row>
    <row r="124" spans="2:15" ht="21" customHeight="1">
      <c r="B124">
        <v>0</v>
      </c>
      <c r="C124">
        <v>0</v>
      </c>
      <c r="F124" s="534" t="str">
        <f>IF(F123=$F$7,$G$2,IF(ROUNDDOWN(F123,0)=$F$2,$H$2,$G$2))</f>
        <v>　レベル　1</v>
      </c>
      <c r="G124" s="531" t="s">
        <v>1356</v>
      </c>
      <c r="H124" s="724"/>
      <c r="I124" s="724"/>
      <c r="J124" s="724"/>
      <c r="K124" s="531" t="s">
        <v>2970</v>
      </c>
      <c r="L124" s="724"/>
      <c r="M124" s="724"/>
      <c r="N124" s="532"/>
      <c r="O124" s="533"/>
    </row>
    <row r="125" spans="2:15" ht="21" customHeight="1">
      <c r="B125">
        <v>2</v>
      </c>
      <c r="C125">
        <v>2</v>
      </c>
      <c r="F125" s="534" t="str">
        <f>IF(F123=$F$7,$G$3,IF(ROUNDDOWN(F123,0)=$F$3,$H$3,$G$3))</f>
        <v>　レベル　2</v>
      </c>
      <c r="G125" s="537" t="s">
        <v>1357</v>
      </c>
      <c r="H125" s="627"/>
      <c r="I125" s="627"/>
      <c r="J125" s="627"/>
      <c r="K125" s="537" t="s">
        <v>2971</v>
      </c>
      <c r="L125" s="1940"/>
      <c r="M125" s="627"/>
      <c r="N125" s="538"/>
      <c r="O125" s="539"/>
    </row>
    <row r="126" spans="2:15" ht="21" customHeight="1">
      <c r="B126">
        <v>3</v>
      </c>
      <c r="C126">
        <v>3</v>
      </c>
      <c r="F126" s="534" t="str">
        <f>IF(F123=$F$7,$G$4,IF(ROUNDDOWN(F123,0)=$F$4,$H$4,$G$4))</f>
        <v>■レベル　3</v>
      </c>
      <c r="G126" s="537" t="s">
        <v>1641</v>
      </c>
      <c r="H126" s="627"/>
      <c r="I126" s="627"/>
      <c r="J126" s="627"/>
      <c r="K126" s="537" t="s">
        <v>2972</v>
      </c>
      <c r="L126" s="1940"/>
      <c r="M126" s="627"/>
      <c r="N126" s="538"/>
      <c r="O126" s="539"/>
    </row>
    <row r="127" spans="2:15" ht="21" customHeight="1">
      <c r="B127">
        <v>4</v>
      </c>
      <c r="C127">
        <v>4</v>
      </c>
      <c r="F127" s="534" t="str">
        <f>IF(F123=$F$7,$G$5,IF(ROUNDDOWN(F123,0)=$F$5,$H$5,$G$5))</f>
        <v>　レベル　4</v>
      </c>
      <c r="G127" s="537" t="s">
        <v>1642</v>
      </c>
      <c r="H127" s="627"/>
      <c r="I127" s="627"/>
      <c r="J127" s="627"/>
      <c r="K127" s="537" t="s">
        <v>2970</v>
      </c>
      <c r="L127" s="1940"/>
      <c r="M127" s="627"/>
      <c r="N127" s="538"/>
      <c r="O127" s="539"/>
    </row>
    <row r="128" spans="2:15" ht="21" customHeight="1">
      <c r="B128">
        <v>5</v>
      </c>
      <c r="C128">
        <v>5</v>
      </c>
      <c r="F128" s="544" t="str">
        <f>IF(F123=$F$7,$G$6,IF(ROUNDDOWN(F123,0)=$F$6,$H$6,$G$6))</f>
        <v>　レベル　5</v>
      </c>
      <c r="G128" s="548" t="s">
        <v>1643</v>
      </c>
      <c r="H128" s="746"/>
      <c r="I128" s="746"/>
      <c r="J128" s="746"/>
      <c r="K128" s="548" t="s">
        <v>2973</v>
      </c>
      <c r="L128" s="1956"/>
      <c r="M128" s="746"/>
      <c r="N128" s="549"/>
      <c r="O128" s="550"/>
    </row>
    <row r="129" spans="2:15">
      <c r="D129"/>
      <c r="E129"/>
      <c r="F129" s="839" t="s">
        <v>2938</v>
      </c>
      <c r="G129" s="1941"/>
      <c r="H129" s="1915"/>
      <c r="I129" s="1915"/>
      <c r="J129" s="1916"/>
      <c r="K129" s="2094" t="s">
        <v>3232</v>
      </c>
      <c r="L129"/>
      <c r="M129"/>
      <c r="N129"/>
      <c r="O129"/>
    </row>
    <row r="130" spans="2:15">
      <c r="F130" s="507" t="s">
        <v>2229</v>
      </c>
      <c r="H130" s="500"/>
      <c r="I130" s="1244"/>
      <c r="J130" s="1244"/>
      <c r="K130" s="1232"/>
      <c r="L130" s="1232"/>
      <c r="M130" s="1232"/>
      <c r="N130" s="1232"/>
      <c r="O130" s="500"/>
    </row>
    <row r="131" spans="2:15" ht="16.5" thickBot="1">
      <c r="B131" t="s">
        <v>2968</v>
      </c>
      <c r="F131" s="503"/>
      <c r="G131" s="1960">
        <f>(K139*J123+M139*O123)/(J123+O123)</f>
        <v>3</v>
      </c>
      <c r="H131" s="3487" t="s">
        <v>1431</v>
      </c>
      <c r="I131" s="3488"/>
      <c r="J131" s="3489"/>
      <c r="K131" s="3487" t="s">
        <v>1430</v>
      </c>
      <c r="L131" s="3488"/>
      <c r="M131" s="3488"/>
      <c r="N131" s="3488"/>
      <c r="O131" s="649" t="s">
        <v>1432</v>
      </c>
    </row>
    <row r="132" spans="2:15" ht="35.25" customHeight="1">
      <c r="B132">
        <v>1</v>
      </c>
      <c r="D132" s="846"/>
      <c r="E132" s="500"/>
      <c r="F132" s="1927" t="s">
        <v>2856</v>
      </c>
      <c r="G132" s="1961">
        <v>1</v>
      </c>
      <c r="H132" s="3437" t="s">
        <v>1644</v>
      </c>
      <c r="I132" s="3665"/>
      <c r="J132" s="3666"/>
      <c r="K132" s="3341" t="s">
        <v>3862</v>
      </c>
      <c r="L132" s="3438"/>
      <c r="M132" s="3438"/>
      <c r="N132" s="3438"/>
      <c r="O132" s="1245">
        <v>1</v>
      </c>
    </row>
    <row r="133" spans="2:15" ht="35.25" customHeight="1">
      <c r="B133">
        <v>1</v>
      </c>
      <c r="D133" s="846"/>
      <c r="E133" s="500"/>
      <c r="F133" s="1927" t="s">
        <v>2857</v>
      </c>
      <c r="G133" s="1962">
        <v>1</v>
      </c>
      <c r="H133" s="3668" t="s">
        <v>1964</v>
      </c>
      <c r="I133" s="3643"/>
      <c r="J133" s="3644"/>
      <c r="K133" s="3346" t="s">
        <v>3863</v>
      </c>
      <c r="L133" s="3648"/>
      <c r="M133" s="3648"/>
      <c r="N133" s="3648"/>
      <c r="O133" s="1246">
        <v>1</v>
      </c>
    </row>
    <row r="134" spans="2:15" ht="27" customHeight="1">
      <c r="B134">
        <v>1</v>
      </c>
      <c r="D134" s="846"/>
      <c r="E134" s="500"/>
      <c r="F134" s="1927" t="s">
        <v>2858</v>
      </c>
      <c r="G134" s="1963">
        <v>1</v>
      </c>
      <c r="H134" s="3669"/>
      <c r="I134" s="3645"/>
      <c r="J134" s="3646"/>
      <c r="K134" s="3346" t="s">
        <v>3864</v>
      </c>
      <c r="L134" s="3648"/>
      <c r="M134" s="3648"/>
      <c r="N134" s="3648"/>
      <c r="O134" s="1246">
        <v>1</v>
      </c>
    </row>
    <row r="135" spans="2:15" ht="24.75" customHeight="1">
      <c r="B135">
        <v>1</v>
      </c>
      <c r="D135" s="846"/>
      <c r="E135" s="500"/>
      <c r="F135" s="1927" t="s">
        <v>2976</v>
      </c>
      <c r="G135" s="1963"/>
      <c r="H135" s="3669"/>
      <c r="I135" s="3645"/>
      <c r="J135" s="3646"/>
      <c r="K135" s="3670" t="s">
        <v>3865</v>
      </c>
      <c r="L135" s="3671"/>
      <c r="M135" s="3671"/>
      <c r="N135" s="3671"/>
      <c r="O135" s="1246">
        <v>1</v>
      </c>
    </row>
    <row r="136" spans="2:15" ht="14.25">
      <c r="B136" s="670" t="s">
        <v>703</v>
      </c>
      <c r="D136" s="846"/>
      <c r="E136" s="500"/>
      <c r="F136" s="1927" t="s">
        <v>2860</v>
      </c>
      <c r="G136" s="2773"/>
      <c r="H136" s="851"/>
      <c r="I136" s="849"/>
      <c r="J136" s="849"/>
      <c r="K136" s="3670" t="s">
        <v>3868</v>
      </c>
      <c r="L136" s="3688"/>
      <c r="M136" s="3688"/>
      <c r="N136" s="3688"/>
      <c r="O136" s="2776" t="s">
        <v>3869</v>
      </c>
    </row>
    <row r="137" spans="2:15" ht="46.5" customHeight="1">
      <c r="B137">
        <v>1</v>
      </c>
      <c r="D137" s="846"/>
      <c r="E137" s="500"/>
      <c r="F137" s="1927" t="s">
        <v>2861</v>
      </c>
      <c r="G137" s="1963"/>
      <c r="H137" s="3668" t="s">
        <v>1965</v>
      </c>
      <c r="I137" s="3643"/>
      <c r="J137" s="3644"/>
      <c r="K137" s="3346" t="s">
        <v>3866</v>
      </c>
      <c r="L137" s="3648"/>
      <c r="M137" s="3648"/>
      <c r="N137" s="3648"/>
      <c r="O137" s="1246">
        <v>1</v>
      </c>
    </row>
    <row r="138" spans="2:15" ht="24" customHeight="1" thickBot="1">
      <c r="B138">
        <v>1</v>
      </c>
      <c r="D138" s="846"/>
      <c r="E138" s="500"/>
      <c r="F138" s="1927" t="s">
        <v>2862</v>
      </c>
      <c r="G138" s="1964"/>
      <c r="H138" s="3689"/>
      <c r="I138" s="3690"/>
      <c r="J138" s="3691"/>
      <c r="K138" s="3647" t="s">
        <v>3867</v>
      </c>
      <c r="L138" s="3645"/>
      <c r="M138" s="3645"/>
      <c r="N138" s="3645"/>
      <c r="O138" s="1247">
        <v>1</v>
      </c>
    </row>
    <row r="139" spans="2:15" ht="21" customHeight="1">
      <c r="D139" s="846"/>
      <c r="E139" s="500"/>
      <c r="F139" s="1927" t="s">
        <v>2966</v>
      </c>
      <c r="G139" s="1958">
        <f>SUM(G132:G138)</f>
        <v>3</v>
      </c>
      <c r="H139" s="1440" t="s">
        <v>2717</v>
      </c>
      <c r="I139" s="713"/>
      <c r="J139" s="1957" t="s">
        <v>2974</v>
      </c>
      <c r="K139" s="2240">
        <f>IF(G139&gt;=B128,5,IF(G139&gt;=B127,4,IF(G139&gt;=B126,3,IF(G139&gt;=B125,2,1))))</f>
        <v>3</v>
      </c>
      <c r="L139" s="1957" t="s">
        <v>2975</v>
      </c>
      <c r="M139" s="2240">
        <f>IF(G139&gt;=C128,5,IF(G139&gt;=C127,4,IF(G139&gt;=C126,3,IF(G139&gt;=C125,2,1))))</f>
        <v>3</v>
      </c>
      <c r="N139" s="1953"/>
      <c r="O139" s="2203">
        <f>SUM(B132:B138)</f>
        <v>6</v>
      </c>
    </row>
    <row r="140" spans="2:15" ht="14.25">
      <c r="D140" s="846"/>
      <c r="E140" s="500"/>
      <c r="F140" s="500"/>
      <c r="G140"/>
      <c r="H140"/>
      <c r="I140"/>
      <c r="J140"/>
      <c r="K140"/>
      <c r="L140"/>
      <c r="M140"/>
      <c r="N140"/>
      <c r="O140"/>
    </row>
    <row r="141" spans="2:15" ht="14.25">
      <c r="D141" s="846">
        <v>3</v>
      </c>
      <c r="E141" s="508" t="s">
        <v>2187</v>
      </c>
      <c r="F141" s="508"/>
      <c r="G141"/>
      <c r="H141"/>
      <c r="I141"/>
      <c r="J141"/>
      <c r="K141"/>
      <c r="L141"/>
      <c r="M141"/>
      <c r="N141"/>
      <c r="O141"/>
    </row>
    <row r="142" spans="2:15" ht="14.25">
      <c r="D142" s="846">
        <v>3.1</v>
      </c>
      <c r="E142" s="508" t="s">
        <v>704</v>
      </c>
      <c r="F142" s="508"/>
      <c r="G142"/>
      <c r="H142"/>
      <c r="I142"/>
      <c r="J142"/>
      <c r="K142"/>
      <c r="L142"/>
      <c r="M142"/>
      <c r="N142"/>
      <c r="O142"/>
    </row>
    <row r="143" spans="2:15" ht="14.25">
      <c r="D143" s="846"/>
      <c r="E143" s="508"/>
      <c r="F143" s="852" t="s">
        <v>705</v>
      </c>
      <c r="G143"/>
      <c r="H143"/>
      <c r="I143"/>
      <c r="J143" t="str">
        <f>IF(OR(F145=0,J144=0),$L$3,"")</f>
        <v>&lt;評価しない&gt;</v>
      </c>
      <c r="K143"/>
      <c r="L143"/>
      <c r="M143"/>
      <c r="N143"/>
      <c r="O143"/>
    </row>
    <row r="144" spans="2:15" ht="15" thickBot="1">
      <c r="D144" s="846"/>
      <c r="E144" s="500"/>
      <c r="F144" s="630"/>
      <c r="G144" s="516"/>
      <c r="H144" s="517" t="s">
        <v>1126</v>
      </c>
      <c r="I144" s="518"/>
      <c r="J144" s="519">
        <f>重み!M185</f>
        <v>0.33333333333333331</v>
      </c>
      <c r="K144" s="631"/>
      <c r="L144" s="631"/>
      <c r="M144" s="631"/>
      <c r="N144" s="631"/>
      <c r="O144" s="528"/>
    </row>
    <row r="145" spans="2:15" ht="27" customHeight="1" thickBot="1">
      <c r="D145" s="503"/>
      <c r="E145" s="503"/>
      <c r="F145" s="522">
        <v>0</v>
      </c>
      <c r="G145" s="526" t="s">
        <v>1823</v>
      </c>
      <c r="H145" s="527"/>
      <c r="I145" s="527"/>
      <c r="J145" s="527"/>
      <c r="K145" s="527"/>
      <c r="L145" s="728"/>
      <c r="M145" s="527" t="s">
        <v>2987</v>
      </c>
      <c r="N145" s="618" t="s">
        <v>1089</v>
      </c>
      <c r="O145" s="528"/>
    </row>
    <row r="146" spans="2:15" ht="21" customHeight="1">
      <c r="B146" s="1">
        <v>1</v>
      </c>
      <c r="D146" s="503"/>
      <c r="E146" s="503"/>
      <c r="F146" s="534" t="str">
        <f>IF(F145=$F$7,$G$2,IF(ROUNDDOWN(F145,0)=$F$2,$H$2,$G$2))</f>
        <v>　レベル　1</v>
      </c>
      <c r="G146" s="531" t="s">
        <v>2747</v>
      </c>
      <c r="H146" s="724"/>
      <c r="I146" s="724"/>
      <c r="J146" s="724"/>
      <c r="K146" s="724"/>
      <c r="L146" s="804"/>
      <c r="M146" s="724"/>
      <c r="N146" s="3682" t="s">
        <v>2988</v>
      </c>
      <c r="O146" s="3683"/>
    </row>
    <row r="147" spans="2:15" ht="21" customHeight="1">
      <c r="B147" s="1" t="s">
        <v>948</v>
      </c>
      <c r="D147" s="503"/>
      <c r="E147" s="503"/>
      <c r="F147" s="534" t="str">
        <f>IF(F145=$F$7,$G$3,IF(ROUNDDOWN(F145,0)=$F$3,$H$3,$G$3))</f>
        <v>　レベル　2</v>
      </c>
      <c r="G147" s="537" t="s">
        <v>1794</v>
      </c>
      <c r="H147" s="627"/>
      <c r="I147" s="627"/>
      <c r="J147" s="627"/>
      <c r="K147" s="627"/>
      <c r="L147" s="805"/>
      <c r="M147" s="627"/>
      <c r="N147" s="3684"/>
      <c r="O147" s="3529"/>
    </row>
    <row r="148" spans="2:15" ht="21" customHeight="1">
      <c r="B148" s="1">
        <v>3</v>
      </c>
      <c r="D148" s="503"/>
      <c r="E148" s="503"/>
      <c r="F148" s="534" t="str">
        <f>IF(F145=$F$7,$G$4,IF(ROUNDDOWN(F145,0)=$F$4,$H$4,$G$4))</f>
        <v>　レベル　3</v>
      </c>
      <c r="G148" s="537" t="s">
        <v>2748</v>
      </c>
      <c r="H148" s="627"/>
      <c r="I148" s="627"/>
      <c r="J148" s="627"/>
      <c r="K148" s="627"/>
      <c r="L148" s="805"/>
      <c r="M148" s="627"/>
      <c r="N148" s="3684"/>
      <c r="O148" s="3529"/>
    </row>
    <row r="149" spans="2:15" ht="21" customHeight="1">
      <c r="B149" s="1" t="s">
        <v>948</v>
      </c>
      <c r="D149" s="503"/>
      <c r="E149" s="503"/>
      <c r="F149" s="534" t="str">
        <f>IF(F145=$F$7,$G$5,IF(ROUNDDOWN(F145,0)=$F$5,$H$5,$G$5))</f>
        <v>　レベル　4</v>
      </c>
      <c r="G149" s="537" t="s">
        <v>1794</v>
      </c>
      <c r="H149" s="627"/>
      <c r="I149" s="627"/>
      <c r="J149" s="627"/>
      <c r="K149" s="627"/>
      <c r="L149" s="805"/>
      <c r="M149" s="627"/>
      <c r="N149" s="3684"/>
      <c r="O149" s="3529"/>
    </row>
    <row r="150" spans="2:15" ht="21" customHeight="1">
      <c r="B150" s="1">
        <v>5</v>
      </c>
      <c r="D150" s="503"/>
      <c r="E150" s="503"/>
      <c r="F150" s="544" t="str">
        <f>IF(F145=$F$7,$G$6,IF(ROUNDDOWN(F145,0)=$F$6,$H$6,$G$6))</f>
        <v>　レベル　5</v>
      </c>
      <c r="G150" s="548" t="s">
        <v>2749</v>
      </c>
      <c r="H150" s="746"/>
      <c r="I150" s="746"/>
      <c r="J150" s="746"/>
      <c r="K150" s="746"/>
      <c r="L150" s="853"/>
      <c r="M150" s="746"/>
      <c r="N150" s="3685"/>
      <c r="O150" s="3479"/>
    </row>
    <row r="151" spans="2:15">
      <c r="B151" s="551">
        <v>0</v>
      </c>
      <c r="F151" s="839" t="s">
        <v>2938</v>
      </c>
      <c r="G151" s="1941"/>
      <c r="H151" s="1915"/>
      <c r="I151" s="1915"/>
      <c r="J151" s="1916"/>
      <c r="K151" s="2094"/>
      <c r="L151"/>
      <c r="M151"/>
      <c r="N151"/>
      <c r="O151"/>
    </row>
    <row r="152" spans="2:15">
      <c r="B152" s="870"/>
      <c r="F152"/>
      <c r="G152" s="1949" t="s">
        <v>2990</v>
      </c>
      <c r="H152" s="847"/>
      <c r="I152" s="847"/>
      <c r="J152" s="847"/>
      <c r="K152" s="847"/>
      <c r="L152" s="847"/>
      <c r="M152" s="847"/>
      <c r="N152" s="847"/>
      <c r="O152" s="847"/>
    </row>
    <row r="153" spans="2:15">
      <c r="B153" s="870"/>
      <c r="F153"/>
      <c r="G153" s="1949" t="s">
        <v>2993</v>
      </c>
      <c r="H153" s="847"/>
      <c r="I153" s="847"/>
      <c r="J153" s="847"/>
      <c r="K153" s="847"/>
      <c r="L153" s="847"/>
      <c r="M153" s="847"/>
      <c r="N153" s="847"/>
      <c r="O153" s="847"/>
    </row>
    <row r="154" spans="2:15" ht="15.75">
      <c r="F154" s="761" t="s">
        <v>706</v>
      </c>
      <c r="G154" s="761"/>
      <c r="H154" s="503"/>
      <c r="I154" s="503"/>
      <c r="J154" s="503"/>
      <c r="K154" s="508"/>
      <c r="L154" s="508"/>
    </row>
    <row r="155" spans="2:15">
      <c r="F155" s="500" t="s">
        <v>1249</v>
      </c>
    </row>
    <row r="156" spans="2:15">
      <c r="F156" s="854"/>
      <c r="G156" s="3679" t="s">
        <v>707</v>
      </c>
      <c r="H156" s="3680"/>
      <c r="I156" s="3681"/>
      <c r="J156" s="3679" t="s">
        <v>708</v>
      </c>
      <c r="K156" s="3680"/>
      <c r="L156" s="3681"/>
    </row>
    <row r="157" spans="2:15" ht="14.25">
      <c r="F157" s="855"/>
      <c r="G157" s="856" t="s">
        <v>1250</v>
      </c>
      <c r="H157" s="857" t="s">
        <v>1251</v>
      </c>
      <c r="I157" s="858" t="s">
        <v>1252</v>
      </c>
      <c r="J157" s="856" t="s">
        <v>1250</v>
      </c>
      <c r="K157" s="857" t="s">
        <v>1251</v>
      </c>
      <c r="L157" s="858" t="s">
        <v>1252</v>
      </c>
    </row>
    <row r="158" spans="2:15" ht="29.25" customHeight="1">
      <c r="F158" s="534" t="s">
        <v>709</v>
      </c>
      <c r="G158" s="859" t="s">
        <v>710</v>
      </c>
      <c r="H158" s="860" t="s">
        <v>710</v>
      </c>
      <c r="I158" s="861" t="s">
        <v>710</v>
      </c>
      <c r="J158" s="859" t="s">
        <v>710</v>
      </c>
      <c r="K158" s="860" t="s">
        <v>710</v>
      </c>
      <c r="L158" s="861" t="s">
        <v>710</v>
      </c>
    </row>
    <row r="159" spans="2:15">
      <c r="F159" s="534" t="s">
        <v>2367</v>
      </c>
      <c r="G159" s="862"/>
      <c r="H159" s="857"/>
      <c r="I159" s="863"/>
      <c r="J159" s="862"/>
      <c r="K159" s="857"/>
      <c r="L159" s="863"/>
    </row>
    <row r="160" spans="2:15">
      <c r="F160" s="534" t="s">
        <v>2368</v>
      </c>
      <c r="G160" s="862" t="s">
        <v>711</v>
      </c>
      <c r="H160" s="857" t="s">
        <v>712</v>
      </c>
      <c r="I160" s="863" t="s">
        <v>712</v>
      </c>
      <c r="J160" s="862" t="s">
        <v>1253</v>
      </c>
      <c r="K160" s="857" t="s">
        <v>711</v>
      </c>
      <c r="L160" s="863" t="s">
        <v>711</v>
      </c>
    </row>
    <row r="161" spans="2:15">
      <c r="F161" s="534" t="s">
        <v>2369</v>
      </c>
      <c r="G161" s="862"/>
      <c r="H161" s="857"/>
      <c r="I161" s="863"/>
      <c r="J161" s="862"/>
      <c r="K161" s="857"/>
      <c r="L161" s="863"/>
    </row>
    <row r="162" spans="2:15">
      <c r="F162" s="544" t="s">
        <v>2370</v>
      </c>
      <c r="G162" s="864" t="s">
        <v>1254</v>
      </c>
      <c r="H162" s="865" t="s">
        <v>1255</v>
      </c>
      <c r="I162" s="866" t="s">
        <v>1255</v>
      </c>
      <c r="J162" s="864" t="s">
        <v>712</v>
      </c>
      <c r="K162" s="865" t="s">
        <v>713</v>
      </c>
      <c r="L162" s="866" t="s">
        <v>713</v>
      </c>
    </row>
    <row r="163" spans="2:15">
      <c r="F163" s="854"/>
      <c r="G163" s="3679" t="s">
        <v>714</v>
      </c>
      <c r="H163" s="3680"/>
      <c r="I163" s="3681"/>
      <c r="J163" s="3679" t="s">
        <v>715</v>
      </c>
      <c r="K163" s="3680"/>
      <c r="L163" s="3681"/>
    </row>
    <row r="164" spans="2:15">
      <c r="F164" s="768"/>
      <c r="G164" s="856" t="s">
        <v>1256</v>
      </c>
      <c r="H164" s="857" t="s">
        <v>1257</v>
      </c>
      <c r="I164" s="858" t="s">
        <v>1258</v>
      </c>
      <c r="J164" s="856" t="s">
        <v>1256</v>
      </c>
      <c r="K164" s="857" t="s">
        <v>1257</v>
      </c>
      <c r="L164" s="858" t="s">
        <v>1258</v>
      </c>
    </row>
    <row r="165" spans="2:15" ht="29.25" customHeight="1">
      <c r="F165" s="534" t="s">
        <v>709</v>
      </c>
      <c r="G165" s="859" t="s">
        <v>710</v>
      </c>
      <c r="H165" s="860" t="s">
        <v>710</v>
      </c>
      <c r="I165" s="861" t="s">
        <v>710</v>
      </c>
      <c r="J165" s="859" t="s">
        <v>710</v>
      </c>
      <c r="K165" s="860" t="s">
        <v>710</v>
      </c>
      <c r="L165" s="861" t="s">
        <v>710</v>
      </c>
    </row>
    <row r="166" spans="2:15">
      <c r="F166" s="534" t="s">
        <v>2367</v>
      </c>
      <c r="G166" s="862"/>
      <c r="H166" s="857"/>
      <c r="I166" s="863"/>
      <c r="J166" s="862"/>
      <c r="K166" s="857"/>
      <c r="L166" s="863"/>
    </row>
    <row r="167" spans="2:15">
      <c r="F167" s="534" t="s">
        <v>2368</v>
      </c>
      <c r="G167" s="862" t="s">
        <v>716</v>
      </c>
      <c r="H167" s="857" t="s">
        <v>717</v>
      </c>
      <c r="I167" s="863" t="s">
        <v>718</v>
      </c>
      <c r="J167" s="862" t="s">
        <v>719</v>
      </c>
      <c r="K167" s="857" t="s">
        <v>716</v>
      </c>
      <c r="L167" s="863" t="s">
        <v>717</v>
      </c>
    </row>
    <row r="168" spans="2:15">
      <c r="F168" s="534" t="s">
        <v>2369</v>
      </c>
      <c r="G168" s="862"/>
      <c r="H168" s="857"/>
      <c r="I168" s="863"/>
      <c r="J168" s="862"/>
      <c r="K168" s="857"/>
      <c r="L168" s="863"/>
    </row>
    <row r="169" spans="2:15">
      <c r="F169" s="544" t="s">
        <v>2370</v>
      </c>
      <c r="G169" s="864" t="s">
        <v>718</v>
      </c>
      <c r="H169" s="865" t="s">
        <v>711</v>
      </c>
      <c r="I169" s="866" t="s">
        <v>712</v>
      </c>
      <c r="J169" s="864" t="s">
        <v>716</v>
      </c>
      <c r="K169" s="865" t="s">
        <v>718</v>
      </c>
      <c r="L169" s="866" t="s">
        <v>711</v>
      </c>
    </row>
    <row r="170" spans="2:15" ht="14.25" customHeight="1">
      <c r="D170" s="503"/>
      <c r="E170" s="503"/>
      <c r="F170" s="503"/>
      <c r="G170"/>
      <c r="H170"/>
      <c r="I170"/>
      <c r="J170"/>
      <c r="K170"/>
      <c r="L170"/>
      <c r="M170"/>
      <c r="N170"/>
      <c r="O170"/>
    </row>
    <row r="171" spans="2:15" ht="15.75">
      <c r="D171" s="503"/>
      <c r="E171" s="503"/>
      <c r="F171" s="852" t="s">
        <v>1259</v>
      </c>
      <c r="G171"/>
      <c r="H171"/>
      <c r="I171"/>
      <c r="J171" t="str">
        <f>IF(OR(F173=0,J172=0),$L$3,"")</f>
        <v>&lt;評価しない&gt;</v>
      </c>
      <c r="K171"/>
      <c r="L171"/>
      <c r="M171"/>
      <c r="N171"/>
      <c r="O171"/>
    </row>
    <row r="172" spans="2:15" ht="15" thickBot="1">
      <c r="D172" s="846"/>
      <c r="E172" s="500"/>
      <c r="F172" s="630"/>
      <c r="G172" s="516"/>
      <c r="H172" s="517" t="s">
        <v>1126</v>
      </c>
      <c r="I172" s="518"/>
      <c r="J172" s="519">
        <f>重み!M186</f>
        <v>0.33333333333333331</v>
      </c>
      <c r="K172" s="631"/>
      <c r="L172" s="631"/>
      <c r="M172" s="631"/>
      <c r="N172" s="631"/>
      <c r="O172" s="528"/>
    </row>
    <row r="173" spans="2:15" ht="27" customHeight="1" thickBot="1">
      <c r="D173" s="846"/>
      <c r="E173" s="508"/>
      <c r="F173" s="522">
        <v>0</v>
      </c>
      <c r="G173" s="526" t="s">
        <v>1823</v>
      </c>
      <c r="H173" s="527"/>
      <c r="I173" s="527"/>
      <c r="J173" s="527"/>
      <c r="K173" s="527"/>
      <c r="L173" s="728"/>
      <c r="M173" s="527"/>
      <c r="N173" s="618" t="s">
        <v>1089</v>
      </c>
      <c r="O173" s="528"/>
    </row>
    <row r="174" spans="2:15" ht="21" customHeight="1">
      <c r="B174" s="1">
        <v>1</v>
      </c>
      <c r="D174" s="846"/>
      <c r="E174" s="508"/>
      <c r="F174" s="534" t="str">
        <f>IF(F173=$F$7,$G$2,IF(ROUNDDOWN(F173,0)=$F$2,$H$2,$G$2))</f>
        <v>　レベル　1</v>
      </c>
      <c r="G174" s="531" t="s">
        <v>74</v>
      </c>
      <c r="H174" s="724"/>
      <c r="I174" s="724"/>
      <c r="J174" s="724"/>
      <c r="K174" s="724"/>
      <c r="L174" s="804"/>
      <c r="M174" s="724"/>
      <c r="N174" s="3682" t="s">
        <v>75</v>
      </c>
      <c r="O174" s="3683"/>
    </row>
    <row r="175" spans="2:15" ht="21" customHeight="1">
      <c r="B175" s="1" t="s">
        <v>419</v>
      </c>
      <c r="D175" s="846"/>
      <c r="E175" s="508"/>
      <c r="F175" s="534" t="str">
        <f>IF(F173=$F$7,$G$3,IF(ROUNDDOWN(F173,0)=$F$3,$H$3,$G$3))</f>
        <v>　レベル　2</v>
      </c>
      <c r="G175" s="537" t="s">
        <v>1794</v>
      </c>
      <c r="H175" s="627"/>
      <c r="I175" s="627"/>
      <c r="J175" s="627"/>
      <c r="K175" s="627"/>
      <c r="L175" s="805"/>
      <c r="M175" s="627"/>
      <c r="N175" s="3684"/>
      <c r="O175" s="3529"/>
    </row>
    <row r="176" spans="2:15" ht="21" customHeight="1">
      <c r="B176" s="1">
        <v>3</v>
      </c>
      <c r="D176" s="846"/>
      <c r="E176" s="508"/>
      <c r="F176" s="534" t="str">
        <f>IF(F173=$F$7,$G$4,IF(ROUNDDOWN(F173,0)=$F$4,$H$4,$G$4))</f>
        <v>　レベル　3</v>
      </c>
      <c r="G176" s="537" t="s">
        <v>76</v>
      </c>
      <c r="H176" s="627"/>
      <c r="I176" s="627"/>
      <c r="J176" s="627"/>
      <c r="K176" s="627"/>
      <c r="L176" s="805"/>
      <c r="M176" s="627"/>
      <c r="N176" s="3684"/>
      <c r="O176" s="3529"/>
    </row>
    <row r="177" spans="2:15" ht="21" customHeight="1">
      <c r="B177" s="1" t="s">
        <v>177</v>
      </c>
      <c r="D177" s="846"/>
      <c r="E177" s="508"/>
      <c r="F177" s="534" t="str">
        <f>IF(F173=$F$7,$G$5,IF(ROUNDDOWN(F173,0)=$F$5,$H$5,$G$5))</f>
        <v>　レベル　4</v>
      </c>
      <c r="G177" s="537" t="s">
        <v>1794</v>
      </c>
      <c r="H177" s="627"/>
      <c r="I177" s="627"/>
      <c r="J177" s="627"/>
      <c r="K177" s="627"/>
      <c r="L177" s="805"/>
      <c r="M177" s="627"/>
      <c r="N177" s="3684"/>
      <c r="O177" s="3529"/>
    </row>
    <row r="178" spans="2:15" ht="21" customHeight="1">
      <c r="B178" s="1">
        <v>5</v>
      </c>
      <c r="D178" s="846"/>
      <c r="E178" s="508"/>
      <c r="F178" s="544" t="str">
        <f>IF(F173=$F$7,$G$6,IF(ROUNDDOWN(F173,0)=$F$6,$H$6,$G$6))</f>
        <v>　レベル　5</v>
      </c>
      <c r="G178" s="548" t="s">
        <v>77</v>
      </c>
      <c r="H178" s="746"/>
      <c r="I178" s="746"/>
      <c r="J178" s="746"/>
      <c r="K178" s="746"/>
      <c r="L178" s="853"/>
      <c r="M178" s="746"/>
      <c r="N178" s="3685"/>
      <c r="O178" s="3479"/>
    </row>
    <row r="179" spans="2:15" ht="14.25">
      <c r="B179" s="551">
        <v>0</v>
      </c>
      <c r="D179" s="846"/>
      <c r="E179" s="508"/>
      <c r="F179" s="839" t="s">
        <v>2938</v>
      </c>
      <c r="G179" s="1941"/>
      <c r="H179" s="1915"/>
      <c r="I179" s="1915"/>
      <c r="J179" s="1916"/>
      <c r="K179" s="2094"/>
      <c r="L179"/>
      <c r="M179"/>
      <c r="N179"/>
      <c r="O179"/>
    </row>
    <row r="180" spans="2:15" ht="14.25">
      <c r="B180" s="870"/>
      <c r="D180" s="846"/>
      <c r="E180" s="508"/>
      <c r="F180"/>
      <c r="G180" s="1949" t="s">
        <v>2992</v>
      </c>
      <c r="H180" s="1968"/>
      <c r="I180" s="1968"/>
      <c r="J180" s="1968"/>
      <c r="K180" s="1968"/>
      <c r="L180" s="1968"/>
      <c r="M180" s="1968"/>
      <c r="N180" s="1968"/>
      <c r="O180" s="500"/>
    </row>
    <row r="181" spans="2:15" ht="14.25">
      <c r="B181" s="870"/>
      <c r="D181" s="846"/>
      <c r="E181" s="508"/>
      <c r="F181" s="1965"/>
      <c r="G181" s="1949" t="s">
        <v>2991</v>
      </c>
      <c r="H181" s="1966"/>
      <c r="I181" s="1966"/>
      <c r="J181" s="1966"/>
      <c r="K181" s="1966"/>
      <c r="L181" s="1966"/>
      <c r="M181" s="1966"/>
      <c r="N181" s="1966"/>
      <c r="O181" s="500"/>
    </row>
    <row r="182" spans="2:15" ht="15.75">
      <c r="D182" s="846"/>
      <c r="E182" s="508"/>
      <c r="F182" s="761" t="s">
        <v>1647</v>
      </c>
      <c r="G182" s="761"/>
      <c r="H182" s="503"/>
      <c r="I182" s="503"/>
      <c r="J182" s="503"/>
      <c r="K182" s="508"/>
      <c r="L182" s="508"/>
    </row>
    <row r="183" spans="2:15" ht="14.25">
      <c r="D183" s="846"/>
      <c r="E183" s="508"/>
      <c r="F183" s="500" t="s">
        <v>915</v>
      </c>
    </row>
    <row r="184" spans="2:15" ht="14.25">
      <c r="D184" s="846"/>
      <c r="E184" s="508"/>
      <c r="F184" s="867"/>
      <c r="G184" s="3679" t="s">
        <v>707</v>
      </c>
      <c r="H184" s="3680"/>
      <c r="I184" s="3681"/>
      <c r="J184" s="3679" t="s">
        <v>708</v>
      </c>
      <c r="K184" s="3680"/>
      <c r="L184" s="3681"/>
    </row>
    <row r="185" spans="2:15" ht="14.25">
      <c r="D185" s="846"/>
      <c r="E185" s="508"/>
      <c r="F185" s="855"/>
      <c r="G185" s="856" t="s">
        <v>1250</v>
      </c>
      <c r="H185" s="857" t="s">
        <v>1252</v>
      </c>
      <c r="I185" s="858"/>
      <c r="J185" s="856" t="s">
        <v>1250</v>
      </c>
      <c r="K185" s="857" t="s">
        <v>1252</v>
      </c>
      <c r="L185" s="858"/>
    </row>
    <row r="186" spans="2:15" ht="29.25" customHeight="1">
      <c r="D186" s="846"/>
      <c r="E186" s="508"/>
      <c r="F186" s="534" t="s">
        <v>709</v>
      </c>
      <c r="G186" s="859" t="s">
        <v>710</v>
      </c>
      <c r="H186" s="860" t="s">
        <v>710</v>
      </c>
      <c r="I186" s="868"/>
      <c r="J186" s="859" t="s">
        <v>710</v>
      </c>
      <c r="K186" s="860" t="s">
        <v>710</v>
      </c>
      <c r="L186" s="868"/>
    </row>
    <row r="187" spans="2:15" ht="14.25">
      <c r="D187" s="846"/>
      <c r="E187" s="508"/>
      <c r="F187" s="534" t="s">
        <v>2367</v>
      </c>
      <c r="G187" s="862"/>
      <c r="H187" s="857"/>
      <c r="I187" s="863"/>
      <c r="J187" s="862"/>
      <c r="K187" s="857"/>
      <c r="L187" s="863"/>
    </row>
    <row r="188" spans="2:15" ht="14.25">
      <c r="D188" s="846"/>
      <c r="E188" s="508"/>
      <c r="F188" s="534" t="s">
        <v>2368</v>
      </c>
      <c r="G188" s="862" t="s">
        <v>716</v>
      </c>
      <c r="H188" s="857" t="s">
        <v>717</v>
      </c>
      <c r="I188" s="863"/>
      <c r="J188" s="862" t="s">
        <v>1648</v>
      </c>
      <c r="K188" s="857" t="s">
        <v>716</v>
      </c>
      <c r="L188" s="863"/>
    </row>
    <row r="189" spans="2:15" ht="14.25">
      <c r="D189" s="846"/>
      <c r="E189" s="508"/>
      <c r="F189" s="534" t="s">
        <v>2369</v>
      </c>
      <c r="G189" s="862"/>
      <c r="H189" s="857"/>
      <c r="I189" s="863"/>
      <c r="J189" s="862"/>
      <c r="K189" s="857"/>
      <c r="L189" s="863"/>
    </row>
    <row r="190" spans="2:15" ht="14.25">
      <c r="D190" s="846"/>
      <c r="E190" s="508"/>
      <c r="F190" s="544" t="s">
        <v>2370</v>
      </c>
      <c r="G190" s="864" t="s">
        <v>717</v>
      </c>
      <c r="H190" s="865" t="s">
        <v>718</v>
      </c>
      <c r="I190" s="866"/>
      <c r="J190" s="864" t="s">
        <v>716</v>
      </c>
      <c r="K190" s="865" t="s">
        <v>717</v>
      </c>
      <c r="L190" s="866"/>
    </row>
    <row r="191" spans="2:15" ht="14.25">
      <c r="D191" s="846"/>
      <c r="E191" s="508"/>
      <c r="F191" s="1233"/>
      <c r="G191"/>
      <c r="H191"/>
      <c r="I191"/>
      <c r="J191"/>
      <c r="K191"/>
      <c r="L191"/>
      <c r="M191"/>
      <c r="N191"/>
      <c r="O191"/>
    </row>
    <row r="192" spans="2:15" ht="14.25">
      <c r="D192" s="846"/>
      <c r="E192" s="508"/>
      <c r="F192" s="852" t="s">
        <v>916</v>
      </c>
      <c r="G192"/>
      <c r="H192"/>
      <c r="I192"/>
      <c r="J192" t="str">
        <f>IF(OR(F194=0,J193=0),$L$3,"")</f>
        <v>&lt;評価しない&gt;</v>
      </c>
      <c r="K192"/>
      <c r="L192"/>
      <c r="M192"/>
      <c r="N192"/>
      <c r="O192"/>
    </row>
    <row r="193" spans="2:15" ht="15" thickBot="1">
      <c r="D193" s="846"/>
      <c r="E193" s="500"/>
      <c r="F193" s="630"/>
      <c r="G193" s="516"/>
      <c r="H193" s="517" t="s">
        <v>1126</v>
      </c>
      <c r="I193" s="518"/>
      <c r="J193" s="519">
        <f>重み!M187</f>
        <v>0.33333333333333331</v>
      </c>
      <c r="K193" s="631"/>
      <c r="L193" s="631"/>
      <c r="M193" s="631"/>
      <c r="N193" s="631"/>
      <c r="O193" s="528"/>
    </row>
    <row r="194" spans="2:15" ht="27" customHeight="1" thickBot="1">
      <c r="D194" s="503"/>
      <c r="E194" s="503"/>
      <c r="F194" s="522">
        <v>0</v>
      </c>
      <c r="G194" s="526" t="s">
        <v>1823</v>
      </c>
      <c r="H194" s="527"/>
      <c r="I194" s="527"/>
      <c r="J194" s="527"/>
      <c r="K194" s="527"/>
      <c r="L194" s="728"/>
      <c r="M194" s="527"/>
      <c r="N194" s="618" t="s">
        <v>1089</v>
      </c>
      <c r="O194" s="528"/>
    </row>
    <row r="195" spans="2:15" ht="29.25" customHeight="1">
      <c r="B195" s="1">
        <v>1</v>
      </c>
      <c r="D195" s="503"/>
      <c r="E195" s="503"/>
      <c r="F195" s="534" t="str">
        <f>IF(F194=$F$7,$G$2,IF(ROUNDDOWN(F194,0)=$F$2,$H$2,$G$2))</f>
        <v>　レベル　1</v>
      </c>
      <c r="G195" s="3322" t="s">
        <v>2751</v>
      </c>
      <c r="H195" s="3434"/>
      <c r="I195" s="3434"/>
      <c r="J195" s="3434"/>
      <c r="K195" s="3434"/>
      <c r="L195" s="3434"/>
      <c r="M195" s="3435"/>
      <c r="N195" s="3682" t="s">
        <v>2989</v>
      </c>
      <c r="O195" s="3683"/>
    </row>
    <row r="196" spans="2:15" ht="21" customHeight="1">
      <c r="B196" s="1" t="s">
        <v>419</v>
      </c>
      <c r="D196" s="503"/>
      <c r="E196" s="503"/>
      <c r="F196" s="534" t="str">
        <f>IF(F194=$F$7,$G$3,IF(ROUNDDOWN(F194,0)=$F$3,$H$3,$G$3))</f>
        <v>　レベル　2</v>
      </c>
      <c r="G196" s="537" t="s">
        <v>1794</v>
      </c>
      <c r="H196" s="627"/>
      <c r="I196" s="627"/>
      <c r="J196" s="627"/>
      <c r="K196" s="627"/>
      <c r="L196" s="805"/>
      <c r="M196" s="627"/>
      <c r="N196" s="3684"/>
      <c r="O196" s="3529"/>
    </row>
    <row r="197" spans="2:15" ht="30" customHeight="1">
      <c r="B197" s="1">
        <v>3</v>
      </c>
      <c r="D197" s="503"/>
      <c r="E197" s="503"/>
      <c r="F197" s="534" t="str">
        <f>IF(F194=$F$7,$G$4,IF(ROUNDDOWN(F194,0)=$F$4,$H$4,$G$4))</f>
        <v>　レベル　3</v>
      </c>
      <c r="G197" s="3328" t="s">
        <v>2750</v>
      </c>
      <c r="H197" s="3419"/>
      <c r="I197" s="3419"/>
      <c r="J197" s="3419"/>
      <c r="K197" s="3419"/>
      <c r="L197" s="3419"/>
      <c r="M197" s="3418"/>
      <c r="N197" s="3684"/>
      <c r="O197" s="3529"/>
    </row>
    <row r="198" spans="2:15" ht="21" customHeight="1">
      <c r="B198" s="1" t="s">
        <v>419</v>
      </c>
      <c r="D198" s="503"/>
      <c r="E198" s="503"/>
      <c r="F198" s="534" t="str">
        <f>IF(F194=$F$7,$G$5,IF(ROUNDDOWN(F194,0)=$F$5,$H$5,$G$5))</f>
        <v>　レベル　4</v>
      </c>
      <c r="G198" s="537" t="s">
        <v>1794</v>
      </c>
      <c r="H198" s="627"/>
      <c r="I198" s="627"/>
      <c r="J198" s="627"/>
      <c r="K198" s="627"/>
      <c r="L198" s="805"/>
      <c r="M198" s="627"/>
      <c r="N198" s="3684"/>
      <c r="O198" s="3529"/>
    </row>
    <row r="199" spans="2:15" ht="21" customHeight="1">
      <c r="B199" s="1" t="s">
        <v>419</v>
      </c>
      <c r="D199" s="503"/>
      <c r="F199" s="544" t="str">
        <f>IF(F194=$F$7,$G$6,IF(ROUNDDOWN(F194,0)=$F$6,$H$6,$G$6))</f>
        <v>　レベル　5</v>
      </c>
      <c r="G199" s="548" t="s">
        <v>1794</v>
      </c>
      <c r="H199" s="746"/>
      <c r="I199" s="746"/>
      <c r="J199" s="746"/>
      <c r="K199" s="746"/>
      <c r="L199" s="853"/>
      <c r="M199" s="746"/>
      <c r="N199" s="3685"/>
      <c r="O199" s="3479"/>
    </row>
    <row r="200" spans="2:15" ht="15.75">
      <c r="B200" s="551">
        <v>0</v>
      </c>
      <c r="D200" s="503"/>
      <c r="E200" s="503"/>
      <c r="F200" s="839" t="s">
        <v>2938</v>
      </c>
      <c r="G200" s="1941"/>
      <c r="H200" s="1915"/>
      <c r="I200" s="1915"/>
      <c r="J200" s="1916"/>
      <c r="K200" s="2094"/>
      <c r="L200"/>
      <c r="M200"/>
      <c r="N200"/>
      <c r="O200"/>
    </row>
    <row r="201" spans="2:15" ht="15.75">
      <c r="B201" s="870"/>
      <c r="D201" s="503"/>
      <c r="E201" s="503"/>
      <c r="F201" s="1967"/>
      <c r="G201"/>
      <c r="H201"/>
      <c r="I201"/>
      <c r="J201"/>
      <c r="K201"/>
      <c r="L201"/>
      <c r="M201"/>
      <c r="N201"/>
      <c r="O201"/>
    </row>
    <row r="202" spans="2:15" ht="13.5" customHeight="1">
      <c r="D202" s="846">
        <v>3.2</v>
      </c>
      <c r="E202" s="510" t="s">
        <v>917</v>
      </c>
      <c r="F202" s="869"/>
      <c r="G202"/>
      <c r="H202"/>
      <c r="I202"/>
      <c r="J202"/>
      <c r="K202"/>
      <c r="L202"/>
      <c r="M202"/>
      <c r="N202"/>
      <c r="O202"/>
    </row>
    <row r="203" spans="2:15" ht="13.5" customHeight="1">
      <c r="D203" s="846"/>
      <c r="E203" s="510"/>
      <c r="F203" s="273" t="s">
        <v>918</v>
      </c>
      <c r="G203"/>
      <c r="H203"/>
      <c r="I203"/>
      <c r="J203" t="str">
        <f>IF(OR(F205=0,J204=0),$L$3,"")</f>
        <v/>
      </c>
      <c r="K203"/>
      <c r="L203"/>
      <c r="M203"/>
      <c r="N203"/>
      <c r="O203"/>
    </row>
    <row r="204" spans="2:15" ht="15" thickBot="1">
      <c r="D204" s="846"/>
      <c r="E204" s="500"/>
      <c r="F204" s="630"/>
      <c r="G204" s="516"/>
      <c r="H204" s="517" t="s">
        <v>1126</v>
      </c>
      <c r="I204" s="518"/>
      <c r="J204" s="519">
        <f>重み!M189</f>
        <v>0.7</v>
      </c>
      <c r="K204" s="631"/>
      <c r="L204" s="631"/>
      <c r="M204" s="631"/>
      <c r="N204" s="631"/>
      <c r="O204" s="528"/>
    </row>
    <row r="205" spans="2:15" ht="27" customHeight="1" thickBot="1">
      <c r="D205" s="846"/>
      <c r="E205" s="503"/>
      <c r="F205" s="522">
        <v>3</v>
      </c>
      <c r="G205" s="526" t="s">
        <v>1823</v>
      </c>
      <c r="H205" s="527"/>
      <c r="I205" s="527"/>
      <c r="J205" s="527"/>
      <c r="K205" s="527"/>
      <c r="L205" s="728"/>
      <c r="M205" s="527"/>
      <c r="N205" s="618" t="s">
        <v>1089</v>
      </c>
      <c r="O205" s="528"/>
    </row>
    <row r="206" spans="2:15" ht="21" customHeight="1">
      <c r="B206" s="822">
        <v>1</v>
      </c>
      <c r="D206" s="503"/>
      <c r="E206" s="503"/>
      <c r="F206" s="534" t="str">
        <f>IF(F205=$F$7,$G$2,IF(ROUNDDOWN(F205,0)=$F$2,$H$2,$G$2))</f>
        <v>　レベル　1</v>
      </c>
      <c r="G206" s="531" t="s">
        <v>720</v>
      </c>
      <c r="H206" s="724"/>
      <c r="I206" s="724"/>
      <c r="J206" s="724"/>
      <c r="K206" s="724"/>
      <c r="L206" s="804"/>
      <c r="M206" s="724"/>
      <c r="N206" s="3400" t="s">
        <v>287</v>
      </c>
      <c r="O206" s="3401"/>
    </row>
    <row r="207" spans="2:15" ht="28.5" customHeight="1">
      <c r="B207" s="1">
        <v>2</v>
      </c>
      <c r="D207" s="503"/>
      <c r="E207" s="503"/>
      <c r="F207" s="534" t="str">
        <f>IF(F205=$F$7,$G$3,IF(ROUNDDOWN(F205,0)=$F$3,$H$3,$G$3))</f>
        <v>　レベル　2</v>
      </c>
      <c r="G207" s="3328" t="s">
        <v>721</v>
      </c>
      <c r="H207" s="3686"/>
      <c r="I207" s="3686"/>
      <c r="J207" s="3686"/>
      <c r="K207" s="3686"/>
      <c r="L207" s="3686"/>
      <c r="M207" s="3687"/>
      <c r="N207" s="3554"/>
      <c r="O207" s="3615"/>
    </row>
    <row r="208" spans="2:15" ht="39.75" customHeight="1">
      <c r="B208" s="1">
        <v>3</v>
      </c>
      <c r="D208" s="503"/>
      <c r="E208" s="503"/>
      <c r="F208" s="534" t="str">
        <f>IF(F205=$F$7,$G$4,IF(ROUNDDOWN(F205,0)=$F$4,$H$4,$G$4))</f>
        <v>■レベル　3</v>
      </c>
      <c r="G208" s="3328" t="s">
        <v>2030</v>
      </c>
      <c r="H208" s="3686"/>
      <c r="I208" s="3686"/>
      <c r="J208" s="3686"/>
      <c r="K208" s="3686"/>
      <c r="L208" s="3686"/>
      <c r="M208" s="3687"/>
      <c r="N208" s="3554"/>
      <c r="O208" s="3615"/>
    </row>
    <row r="209" spans="2:15" ht="28.5" customHeight="1">
      <c r="B209" s="1">
        <v>4</v>
      </c>
      <c r="D209" s="503"/>
      <c r="E209" s="503"/>
      <c r="F209" s="534" t="str">
        <f>IF(F205=$F$7,$G$5,IF(ROUNDDOWN(F205,0)=$F$5,$H$5,$G$5))</f>
        <v>　レベル　4</v>
      </c>
      <c r="G209" s="3328" t="s">
        <v>2031</v>
      </c>
      <c r="H209" s="3686"/>
      <c r="I209" s="3686"/>
      <c r="J209" s="3686"/>
      <c r="K209" s="3686"/>
      <c r="L209" s="3686"/>
      <c r="M209" s="3687"/>
      <c r="N209" s="3554"/>
      <c r="O209" s="3615"/>
    </row>
    <row r="210" spans="2:15" ht="28.5" customHeight="1">
      <c r="B210" s="1">
        <v>5</v>
      </c>
      <c r="D210" s="503"/>
      <c r="E210" s="503"/>
      <c r="F210" s="544" t="str">
        <f>IF(F205=$F$7,$G$6,IF(ROUNDDOWN(F205,0)=$F$6,$H$6,$G$6))</f>
        <v>　レベル　5</v>
      </c>
      <c r="G210" s="3332" t="s">
        <v>2032</v>
      </c>
      <c r="H210" s="3708"/>
      <c r="I210" s="3708"/>
      <c r="J210" s="3708"/>
      <c r="K210" s="3708"/>
      <c r="L210" s="3708"/>
      <c r="M210" s="3709"/>
      <c r="N210" s="3402"/>
      <c r="O210" s="3403"/>
    </row>
    <row r="211" spans="2:15" ht="15.75">
      <c r="B211" s="551">
        <v>0</v>
      </c>
      <c r="D211" s="503"/>
      <c r="E211" s="503"/>
      <c r="F211" s="839" t="s">
        <v>2938</v>
      </c>
      <c r="G211" s="1941"/>
      <c r="H211" s="1915"/>
      <c r="I211" s="1915"/>
      <c r="J211" s="1916"/>
      <c r="K211" s="2094" t="s">
        <v>3086</v>
      </c>
      <c r="L211"/>
      <c r="M211"/>
      <c r="N211"/>
      <c r="O211"/>
    </row>
    <row r="212" spans="2:15" ht="15.75">
      <c r="B212" s="870"/>
      <c r="C212" s="870"/>
      <c r="D212" s="503"/>
      <c r="E212" s="503"/>
      <c r="F212" s="503"/>
      <c r="G212"/>
      <c r="H212"/>
      <c r="I212"/>
      <c r="J212"/>
      <c r="K212"/>
      <c r="L212"/>
      <c r="M212"/>
      <c r="N212"/>
      <c r="O212"/>
    </row>
    <row r="213" spans="2:15" ht="15.75">
      <c r="D213" s="503"/>
      <c r="E213" s="503"/>
      <c r="F213" s="273" t="s">
        <v>2033</v>
      </c>
      <c r="G213"/>
      <c r="H213"/>
      <c r="I213"/>
      <c r="J213" t="str">
        <f>IF(OR(F215=0,J214=0),$L$3,"")</f>
        <v>&lt;評価しない&gt;</v>
      </c>
      <c r="K213"/>
      <c r="L213"/>
      <c r="M213"/>
      <c r="N213"/>
      <c r="O213"/>
    </row>
    <row r="214" spans="2:15" ht="15" thickBot="1">
      <c r="D214" s="846"/>
      <c r="E214" s="500"/>
      <c r="F214" s="630"/>
      <c r="G214" s="516"/>
      <c r="H214" s="517" t="s">
        <v>1126</v>
      </c>
      <c r="I214" s="518"/>
      <c r="J214" s="519">
        <f>重み!M190</f>
        <v>0</v>
      </c>
      <c r="K214" s="631"/>
      <c r="L214" s="631"/>
      <c r="M214" s="631"/>
      <c r="N214" s="631"/>
      <c r="O214" s="528"/>
    </row>
    <row r="215" spans="2:15" ht="27" customHeight="1" thickBot="1">
      <c r="B215" t="s">
        <v>2967</v>
      </c>
      <c r="D215" s="503"/>
      <c r="E215" s="503"/>
      <c r="F215" s="1777">
        <f>G223</f>
        <v>1</v>
      </c>
      <c r="G215" s="526" t="s">
        <v>2034</v>
      </c>
      <c r="H215" s="527"/>
      <c r="I215" s="527"/>
      <c r="J215" s="527"/>
      <c r="K215" s="527"/>
      <c r="L215" s="728"/>
      <c r="M215" s="527"/>
      <c r="N215" s="527"/>
      <c r="O215" s="528"/>
    </row>
    <row r="216" spans="2:15" ht="21" customHeight="1">
      <c r="B216">
        <v>0</v>
      </c>
      <c r="D216" s="503"/>
      <c r="E216" s="503"/>
      <c r="F216" s="534" t="str">
        <f>IF(F215=$F$7,$G$2,IF(ROUNDDOWN(F215,0)=$F$2,$H$2,$G$2))</f>
        <v>■レベル　1</v>
      </c>
      <c r="G216" s="531" t="s">
        <v>2035</v>
      </c>
      <c r="H216" s="724"/>
      <c r="I216" s="724"/>
      <c r="J216" s="724"/>
      <c r="K216" s="724"/>
      <c r="L216" s="804"/>
      <c r="M216" s="724"/>
      <c r="N216" s="724"/>
      <c r="O216" s="725"/>
    </row>
    <row r="217" spans="2:15" ht="21" customHeight="1">
      <c r="B217">
        <v>1</v>
      </c>
      <c r="D217" s="503"/>
      <c r="E217" s="503"/>
      <c r="F217" s="534" t="str">
        <f>IF(F215=$F$7,$G$3,IF(ROUNDDOWN(F215,0)=$F$3,$H$3,$G$3))</f>
        <v>　レベル　2</v>
      </c>
      <c r="G217" s="537" t="s">
        <v>919</v>
      </c>
      <c r="H217" s="627"/>
      <c r="I217" s="627"/>
      <c r="J217" s="627"/>
      <c r="K217" s="627"/>
      <c r="L217" s="805"/>
      <c r="M217" s="627"/>
      <c r="N217" s="627"/>
      <c r="O217" s="626"/>
    </row>
    <row r="218" spans="2:15" ht="21" customHeight="1">
      <c r="B218">
        <v>2</v>
      </c>
      <c r="D218" s="503"/>
      <c r="E218" s="503"/>
      <c r="F218" s="534" t="str">
        <f>IF(F215=$F$7,$G$4,IF(ROUNDDOWN(F215,0)=$F$4,$H$4,$G$4))</f>
        <v>　レベル　3</v>
      </c>
      <c r="G218" s="537" t="s">
        <v>920</v>
      </c>
      <c r="H218" s="627"/>
      <c r="I218" s="627"/>
      <c r="J218" s="627"/>
      <c r="K218" s="627"/>
      <c r="L218" s="805"/>
      <c r="M218" s="627"/>
      <c r="N218" s="627"/>
      <c r="O218" s="626"/>
    </row>
    <row r="219" spans="2:15" ht="21" customHeight="1">
      <c r="B219">
        <v>3</v>
      </c>
      <c r="D219" s="503"/>
      <c r="E219" s="503"/>
      <c r="F219" s="534" t="str">
        <f>IF(F215=$F$7,$G$5,IF(ROUNDDOWN(F215,0)=$F$5,$H$5,$G$5))</f>
        <v>　レベル　4</v>
      </c>
      <c r="G219" s="537" t="s">
        <v>2036</v>
      </c>
      <c r="H219" s="627"/>
      <c r="I219" s="627"/>
      <c r="J219" s="627"/>
      <c r="K219" s="627"/>
      <c r="L219" s="805"/>
      <c r="M219" s="627"/>
      <c r="N219" s="627"/>
      <c r="O219" s="626"/>
    </row>
    <row r="220" spans="2:15" ht="21" customHeight="1">
      <c r="B220">
        <v>4</v>
      </c>
      <c r="D220" s="503"/>
      <c r="E220" s="503"/>
      <c r="F220" s="544" t="str">
        <f>IF(F215=$F$7,$G$6,IF(ROUNDDOWN(F215,0)=$F$6,$H$6,$G$6))</f>
        <v>　レベル　5</v>
      </c>
      <c r="G220" s="548" t="s">
        <v>2037</v>
      </c>
      <c r="H220" s="746"/>
      <c r="I220" s="746"/>
      <c r="J220" s="746"/>
      <c r="K220" s="746"/>
      <c r="L220" s="853"/>
      <c r="M220" s="746"/>
      <c r="N220" s="746"/>
      <c r="O220" s="747"/>
    </row>
    <row r="221" spans="2:15" ht="15.75">
      <c r="D221" s="503"/>
      <c r="E221" s="503"/>
      <c r="F221" s="839" t="s">
        <v>2938</v>
      </c>
      <c r="G221" s="1941"/>
      <c r="H221" s="1915"/>
      <c r="I221" s="1915"/>
      <c r="J221" s="1916"/>
      <c r="K221" s="2094" t="s">
        <v>3232</v>
      </c>
      <c r="L221"/>
      <c r="M221"/>
      <c r="N221"/>
      <c r="O221"/>
    </row>
    <row r="222" spans="2:15" ht="15.75">
      <c r="D222" s="503"/>
      <c r="E222" s="503"/>
      <c r="F222" s="507" t="s">
        <v>2229</v>
      </c>
      <c r="H222" s="500"/>
      <c r="I222" s="1244"/>
      <c r="J222" s="1244"/>
      <c r="K222" s="1232"/>
      <c r="L222" s="1232"/>
      <c r="M222" s="1232"/>
      <c r="N222" s="1232"/>
      <c r="O222" s="500"/>
    </row>
    <row r="223" spans="2:15" ht="16.5" thickBot="1">
      <c r="B223" t="s">
        <v>2968</v>
      </c>
      <c r="C223" s="870"/>
      <c r="D223" s="503"/>
      <c r="E223" s="503"/>
      <c r="F223" s="871"/>
      <c r="G223" s="1960">
        <f>IF(G229&gt;=B220,5,IF(G229&gt;=B219,4,IF(G229&gt;=B218,3,IF(G229&gt;=B217,2,1))))</f>
        <v>1</v>
      </c>
      <c r="H223" s="3487" t="s">
        <v>2076</v>
      </c>
      <c r="I223" s="3488"/>
      <c r="J223" s="3489"/>
      <c r="K223" s="3487" t="s">
        <v>921</v>
      </c>
      <c r="L223" s="3488"/>
      <c r="M223" s="3488"/>
      <c r="N223" s="3488"/>
      <c r="O223" s="649" t="s">
        <v>2077</v>
      </c>
    </row>
    <row r="224" spans="2:15" ht="27.75" customHeight="1">
      <c r="B224">
        <v>2</v>
      </c>
      <c r="C224" s="870"/>
      <c r="D224" s="503"/>
      <c r="E224" s="503"/>
      <c r="F224" s="1927" t="s">
        <v>2856</v>
      </c>
      <c r="G224" s="3471"/>
      <c r="H224" s="3653" t="s">
        <v>922</v>
      </c>
      <c r="I224" s="3712"/>
      <c r="J224" s="3713"/>
      <c r="K224" s="3341" t="s">
        <v>923</v>
      </c>
      <c r="L224" s="3438"/>
      <c r="M224" s="3438"/>
      <c r="N224" s="3438"/>
      <c r="O224" s="1245">
        <v>1</v>
      </c>
    </row>
    <row r="225" spans="2:15" ht="27.75" customHeight="1">
      <c r="C225" s="870"/>
      <c r="D225" s="503"/>
      <c r="E225" s="503"/>
      <c r="G225" s="3697"/>
      <c r="H225" s="3714"/>
      <c r="I225" s="3714"/>
      <c r="J225" s="3715"/>
      <c r="K225" s="3346" t="s">
        <v>924</v>
      </c>
      <c r="L225" s="3648"/>
      <c r="M225" s="3648"/>
      <c r="N225" s="3648"/>
      <c r="O225" s="1246">
        <v>2</v>
      </c>
    </row>
    <row r="226" spans="2:15" ht="27.75" customHeight="1">
      <c r="B226">
        <v>4</v>
      </c>
      <c r="C226" s="870"/>
      <c r="D226" s="503"/>
      <c r="E226" s="503"/>
      <c r="F226" s="1927" t="s">
        <v>2857</v>
      </c>
      <c r="G226" s="3463"/>
      <c r="H226" s="3668" t="s">
        <v>925</v>
      </c>
      <c r="I226" s="3700"/>
      <c r="J226" s="3701"/>
      <c r="K226" s="3346" t="s">
        <v>926</v>
      </c>
      <c r="L226" s="3648"/>
      <c r="M226" s="3648"/>
      <c r="N226" s="3648"/>
      <c r="O226" s="1246">
        <v>1</v>
      </c>
    </row>
    <row r="227" spans="2:15" ht="15.75">
      <c r="B227" s="870"/>
      <c r="C227" s="870"/>
      <c r="D227" s="503"/>
      <c r="E227" s="503"/>
      <c r="F227" s="871"/>
      <c r="G227" s="3698"/>
      <c r="H227" s="3702"/>
      <c r="I227" s="3703"/>
      <c r="J227" s="3704"/>
      <c r="K227" s="3346" t="s">
        <v>927</v>
      </c>
      <c r="L227" s="3648"/>
      <c r="M227" s="3648"/>
      <c r="N227" s="3648"/>
      <c r="O227" s="1246">
        <v>2</v>
      </c>
    </row>
    <row r="228" spans="2:15" ht="16.5" thickBot="1">
      <c r="B228" s="870"/>
      <c r="C228" s="870"/>
      <c r="D228" s="503"/>
      <c r="E228" s="503"/>
      <c r="F228" s="871"/>
      <c r="G228" s="3699"/>
      <c r="H228" s="3705"/>
      <c r="I228" s="3706"/>
      <c r="J228" s="3707"/>
      <c r="K228" s="3647" t="s">
        <v>2038</v>
      </c>
      <c r="L228" s="3645"/>
      <c r="M228" s="3645"/>
      <c r="N228" s="3645"/>
      <c r="O228" s="1247">
        <v>4</v>
      </c>
    </row>
    <row r="229" spans="2:15" ht="21" customHeight="1">
      <c r="B229" s="870"/>
      <c r="C229" s="870"/>
      <c r="D229" s="503"/>
      <c r="E229" s="503"/>
      <c r="F229" s="1927" t="s">
        <v>2966</v>
      </c>
      <c r="G229" s="1958">
        <f>SUM(G224:G228)</f>
        <v>0</v>
      </c>
      <c r="H229" s="1440" t="s">
        <v>1333</v>
      </c>
      <c r="I229" s="713"/>
      <c r="J229" s="1957"/>
      <c r="K229" s="1959"/>
      <c r="L229" s="1957"/>
      <c r="M229" s="1959"/>
      <c r="N229" s="1953"/>
      <c r="O229" s="2203">
        <f>SUM(B224:B228)</f>
        <v>6</v>
      </c>
    </row>
    <row r="230" spans="2:15" ht="15.75">
      <c r="B230" s="870"/>
      <c r="C230" s="870"/>
      <c r="D230" s="503"/>
      <c r="E230" s="503"/>
      <c r="F230" s="871"/>
      <c r="G230"/>
      <c r="H230"/>
      <c r="I230"/>
      <c r="J230"/>
      <c r="K230"/>
      <c r="L230"/>
      <c r="M230"/>
      <c r="N230"/>
      <c r="O230"/>
    </row>
    <row r="231" spans="2:15" ht="15.75">
      <c r="D231" s="503"/>
      <c r="E231" s="503"/>
      <c r="F231" s="273" t="s">
        <v>2039</v>
      </c>
      <c r="G231"/>
      <c r="H231"/>
      <c r="I231"/>
      <c r="J231" t="str">
        <f>IF(OR(F233=0,J232=0),$L$3,"")</f>
        <v/>
      </c>
      <c r="K231"/>
      <c r="L231"/>
      <c r="M231"/>
      <c r="N231"/>
      <c r="O231"/>
    </row>
    <row r="232" spans="2:15" ht="15" thickBot="1">
      <c r="D232" s="846"/>
      <c r="E232" s="500"/>
      <c r="F232" s="630"/>
      <c r="G232" s="516"/>
      <c r="H232" s="517" t="s">
        <v>1126</v>
      </c>
      <c r="I232" s="518"/>
      <c r="J232" s="519">
        <f>重み!M191</f>
        <v>0.3</v>
      </c>
      <c r="K232" s="631"/>
      <c r="L232" s="631"/>
      <c r="M232" s="631"/>
      <c r="N232" s="631"/>
      <c r="O232" s="528"/>
    </row>
    <row r="233" spans="2:15" ht="27" customHeight="1" thickBot="1">
      <c r="D233" s="503"/>
      <c r="E233" s="503"/>
      <c r="F233" s="522">
        <v>3</v>
      </c>
      <c r="G233" s="526" t="s">
        <v>1823</v>
      </c>
      <c r="H233" s="527"/>
      <c r="I233" s="527"/>
      <c r="J233" s="527"/>
      <c r="K233" s="527"/>
      <c r="L233" s="728"/>
      <c r="M233" s="527"/>
      <c r="N233" s="527"/>
      <c r="O233" s="528"/>
    </row>
    <row r="234" spans="2:15" ht="21" customHeight="1">
      <c r="B234" s="1" t="s">
        <v>1213</v>
      </c>
      <c r="C234" s="1">
        <v>1</v>
      </c>
      <c r="D234" s="503"/>
      <c r="E234" s="503"/>
      <c r="F234" s="534" t="str">
        <f>IF(F233=$F$7,$G$2,IF(ROUNDDOWN(F233,0)=$F$2,$H$2,$G$2))</f>
        <v>　レベル　1</v>
      </c>
      <c r="G234" s="531" t="s">
        <v>1794</v>
      </c>
      <c r="H234" s="724"/>
      <c r="I234" s="724"/>
      <c r="J234" s="724"/>
      <c r="K234" s="724"/>
      <c r="L234" s="804"/>
      <c r="M234" s="724"/>
      <c r="N234" s="724"/>
      <c r="O234" s="725"/>
    </row>
    <row r="235" spans="2:15" ht="21" customHeight="1">
      <c r="B235" s="1" t="s">
        <v>1213</v>
      </c>
      <c r="C235" s="1">
        <v>2</v>
      </c>
      <c r="D235" s="503"/>
      <c r="E235" s="503"/>
      <c r="F235" s="534" t="str">
        <f>IF(F233=$F$7,$G$3,IF(ROUNDDOWN(F233,0)=$F$3,$H$3,$G$3))</f>
        <v>　レベル　2</v>
      </c>
      <c r="G235" s="537" t="s">
        <v>1794</v>
      </c>
      <c r="H235" s="627"/>
      <c r="I235" s="627"/>
      <c r="J235" s="627"/>
      <c r="K235" s="627"/>
      <c r="L235" s="805"/>
      <c r="M235" s="627"/>
      <c r="N235" s="627"/>
      <c r="O235" s="626"/>
    </row>
    <row r="236" spans="2:15" ht="21" customHeight="1">
      <c r="B236" s="1">
        <v>3</v>
      </c>
      <c r="C236" s="1">
        <v>3</v>
      </c>
      <c r="D236" s="503"/>
      <c r="E236" s="503"/>
      <c r="F236" s="534" t="str">
        <f>IF(F233=$F$7,$G$4,IF(ROUNDDOWN(F233,0)=$F$4,$H$4,$G$4))</f>
        <v>■レベル　3</v>
      </c>
      <c r="G236" s="537" t="s">
        <v>2414</v>
      </c>
      <c r="H236" s="627"/>
      <c r="I236" s="627"/>
      <c r="J236" s="627"/>
      <c r="K236" s="627"/>
      <c r="L236" s="805"/>
      <c r="M236" s="627"/>
      <c r="N236" s="627"/>
      <c r="O236" s="626"/>
    </row>
    <row r="237" spans="2:15" ht="21" customHeight="1">
      <c r="B237" s="1">
        <v>4</v>
      </c>
      <c r="C237" s="1">
        <v>4</v>
      </c>
      <c r="D237" s="503"/>
      <c r="E237" s="503"/>
      <c r="F237" s="534" t="str">
        <f>IF(F233=$F$7,$G$5,IF(ROUNDDOWN(F233,0)=$F$5,$H$5,$G$5))</f>
        <v>　レベル　4</v>
      </c>
      <c r="G237" s="537" t="s">
        <v>2415</v>
      </c>
      <c r="H237" s="627"/>
      <c r="I237" s="627"/>
      <c r="J237" s="627"/>
      <c r="K237" s="627"/>
      <c r="L237" s="805"/>
      <c r="M237" s="627"/>
      <c r="N237" s="627"/>
      <c r="O237" s="626"/>
    </row>
    <row r="238" spans="2:15" ht="21" customHeight="1">
      <c r="B238" s="1" t="s">
        <v>1213</v>
      </c>
      <c r="C238" s="1">
        <v>5</v>
      </c>
      <c r="D238" s="503"/>
      <c r="E238" s="503"/>
      <c r="F238" s="544" t="str">
        <f>IF(F233=$F$7,$G$6,IF(ROUNDDOWN(F233,0)=$F$6,$H$6,$G$6))</f>
        <v>　レベル　5</v>
      </c>
      <c r="G238" s="548" t="s">
        <v>1794</v>
      </c>
      <c r="H238" s="746"/>
      <c r="I238" s="746"/>
      <c r="J238" s="746"/>
      <c r="K238" s="746"/>
      <c r="L238" s="853"/>
      <c r="M238" s="746"/>
      <c r="N238" s="746"/>
      <c r="O238" s="747"/>
    </row>
    <row r="239" spans="2:15" ht="15.75">
      <c r="B239" s="551">
        <v>0</v>
      </c>
      <c r="C239" s="551">
        <v>0</v>
      </c>
      <c r="D239" s="503"/>
      <c r="E239" s="503"/>
      <c r="F239" s="839" t="s">
        <v>2938</v>
      </c>
      <c r="G239" s="1941"/>
      <c r="H239" s="1915"/>
      <c r="I239" s="1915"/>
      <c r="J239" s="1916"/>
      <c r="K239" s="2094" t="s">
        <v>3237</v>
      </c>
      <c r="L239"/>
      <c r="M239"/>
      <c r="N239"/>
      <c r="O239"/>
    </row>
    <row r="240" spans="2:15" ht="24" customHeight="1">
      <c r="B240" s="870"/>
      <c r="C240" s="870"/>
      <c r="D240" s="503"/>
      <c r="E240" s="503"/>
      <c r="F240"/>
      <c r="G240" s="3711" t="s">
        <v>2416</v>
      </c>
      <c r="H240" s="3711"/>
      <c r="I240" s="3711"/>
      <c r="J240" s="3711"/>
      <c r="K240" s="3711"/>
      <c r="L240" s="3711"/>
      <c r="M240" s="3711"/>
      <c r="N240" s="3711"/>
      <c r="O240" s="3711"/>
    </row>
    <row r="241" spans="2:15" ht="15.75">
      <c r="D241" s="503"/>
      <c r="E241" s="503"/>
      <c r="F241" s="871"/>
      <c r="G241"/>
      <c r="H241"/>
      <c r="I241"/>
      <c r="J241"/>
      <c r="K241"/>
      <c r="L241"/>
      <c r="M241"/>
      <c r="N241"/>
      <c r="O241"/>
    </row>
    <row r="242" spans="2:15" ht="14.25">
      <c r="D242" s="846">
        <v>3.3</v>
      </c>
      <c r="E242" s="510" t="s">
        <v>2040</v>
      </c>
      <c r="F242" s="510"/>
      <c r="G242"/>
      <c r="H242"/>
      <c r="I242"/>
      <c r="J242"/>
      <c r="K242"/>
      <c r="L242"/>
      <c r="M242"/>
      <c r="N242"/>
      <c r="O242"/>
    </row>
    <row r="243" spans="2:15" ht="14.25">
      <c r="D243" s="846"/>
      <c r="E243" s="510"/>
      <c r="F243" s="273" t="s">
        <v>2417</v>
      </c>
      <c r="G243"/>
      <c r="H243"/>
      <c r="I243"/>
      <c r="K243"/>
      <c r="L243"/>
      <c r="M243"/>
      <c r="N243"/>
      <c r="O243" t="str">
        <f>IF(OR(F245=0,J244=0),$L$3,"")</f>
        <v/>
      </c>
    </row>
    <row r="244" spans="2:15" ht="14.25" thickBot="1">
      <c r="D244" s="500"/>
      <c r="E244" s="500"/>
      <c r="F244" s="630"/>
      <c r="G244" s="516"/>
      <c r="H244" s="517" t="s">
        <v>1126</v>
      </c>
      <c r="I244" s="518"/>
      <c r="J244" s="519">
        <f>重み!M193</f>
        <v>0.7</v>
      </c>
      <c r="K244" s="631"/>
      <c r="L244" s="631"/>
      <c r="M244" s="631"/>
      <c r="N244" s="631"/>
      <c r="O244" s="528"/>
    </row>
    <row r="245" spans="2:15" ht="27" customHeight="1" thickBot="1">
      <c r="B245" t="s">
        <v>2967</v>
      </c>
      <c r="D245" s="503"/>
      <c r="E245" s="500"/>
      <c r="F245" s="1777">
        <f>G253</f>
        <v>3</v>
      </c>
      <c r="G245" s="526" t="s">
        <v>407</v>
      </c>
      <c r="H245" s="527"/>
      <c r="I245" s="527"/>
      <c r="J245" s="527"/>
      <c r="K245" s="527"/>
      <c r="L245" s="728"/>
      <c r="M245" s="527"/>
      <c r="N245" s="527"/>
      <c r="O245" s="528"/>
    </row>
    <row r="246" spans="2:15" ht="21" customHeight="1">
      <c r="B246">
        <v>0</v>
      </c>
      <c r="D246" s="503"/>
      <c r="E246" s="500"/>
      <c r="F246" s="534" t="str">
        <f>IF(F245=$F$7,$G$2,IF(ROUNDDOWN(F245,0)=$F$2,$H$2,$G$2))</f>
        <v>　レベル　1</v>
      </c>
      <c r="G246" s="531" t="s">
        <v>996</v>
      </c>
      <c r="H246" s="724"/>
      <c r="I246" s="724"/>
      <c r="J246" s="724"/>
      <c r="K246" s="724"/>
      <c r="L246" s="804"/>
      <c r="M246" s="724"/>
      <c r="N246" s="724"/>
      <c r="O246" s="725"/>
    </row>
    <row r="247" spans="2:15" ht="21" customHeight="1">
      <c r="B247">
        <v>1</v>
      </c>
      <c r="D247" s="503"/>
      <c r="E247" s="500"/>
      <c r="F247" s="534" t="str">
        <f>IF(F245=$F$7,$G$3,IF(ROUNDDOWN(F245,0)=$F$3,$H$3,$G$3))</f>
        <v>　レベル　2</v>
      </c>
      <c r="G247" s="537" t="s">
        <v>1346</v>
      </c>
      <c r="H247" s="627"/>
      <c r="I247" s="627"/>
      <c r="J247" s="627"/>
      <c r="K247" s="627"/>
      <c r="L247" s="805"/>
      <c r="M247" s="627"/>
      <c r="N247" s="627"/>
      <c r="O247" s="626"/>
    </row>
    <row r="248" spans="2:15" ht="21" customHeight="1">
      <c r="B248">
        <v>2</v>
      </c>
      <c r="D248" s="503"/>
      <c r="E248" s="500"/>
      <c r="F248" s="534" t="str">
        <f>IF(F245=$F$7,$G$4,IF(ROUNDDOWN(F245,0)=$F$4,$H$4,$G$4))</f>
        <v>■レベル　3</v>
      </c>
      <c r="G248" s="537" t="s">
        <v>1347</v>
      </c>
      <c r="H248" s="627"/>
      <c r="I248" s="627"/>
      <c r="J248" s="627"/>
      <c r="K248" s="627"/>
      <c r="L248" s="805"/>
      <c r="M248" s="627"/>
      <c r="N248" s="627"/>
      <c r="O248" s="626"/>
    </row>
    <row r="249" spans="2:15" ht="21" customHeight="1">
      <c r="B249">
        <v>3</v>
      </c>
      <c r="D249" s="503"/>
      <c r="E249" s="500"/>
      <c r="F249" s="534" t="str">
        <f>IF(F245=$F$7,$G$5,IF(ROUNDDOWN(F245,0)=$F$5,$H$5,$G$5))</f>
        <v>　レベル　4</v>
      </c>
      <c r="G249" s="537" t="s">
        <v>1348</v>
      </c>
      <c r="H249" s="627"/>
      <c r="I249" s="627"/>
      <c r="J249" s="627"/>
      <c r="K249" s="627"/>
      <c r="L249" s="805"/>
      <c r="M249" s="627"/>
      <c r="N249" s="627"/>
      <c r="O249" s="626"/>
    </row>
    <row r="250" spans="2:15" ht="21" customHeight="1">
      <c r="B250">
        <v>4</v>
      </c>
      <c r="D250" s="503"/>
      <c r="E250" s="500"/>
      <c r="F250" s="544" t="str">
        <f>IF(F245=$F$7,$G$6,IF(ROUNDDOWN(F245,0)=$F$6,$H$6,$G$6))</f>
        <v>　レベル　5</v>
      </c>
      <c r="G250" s="548" t="s">
        <v>97</v>
      </c>
      <c r="H250" s="746"/>
      <c r="I250" s="746"/>
      <c r="J250" s="746"/>
      <c r="K250" s="746"/>
      <c r="L250" s="853"/>
      <c r="M250" s="746"/>
      <c r="N250" s="746"/>
      <c r="O250" s="747"/>
    </row>
    <row r="251" spans="2:15" ht="15.75">
      <c r="D251" s="503"/>
      <c r="E251" s="500"/>
      <c r="F251" s="839" t="s">
        <v>2938</v>
      </c>
      <c r="G251" s="1941"/>
      <c r="H251" s="1915"/>
      <c r="I251" s="1915"/>
      <c r="J251" s="1916"/>
      <c r="K251" s="2094" t="s">
        <v>3232</v>
      </c>
      <c r="L251"/>
      <c r="M251"/>
      <c r="N251"/>
      <c r="O251"/>
    </row>
    <row r="252" spans="2:15" ht="15.75">
      <c r="D252" s="503"/>
      <c r="E252" s="500"/>
      <c r="F252" s="507" t="s">
        <v>2229</v>
      </c>
      <c r="H252" s="500"/>
      <c r="I252" s="1244"/>
      <c r="J252" s="1244"/>
      <c r="K252" s="1232"/>
      <c r="L252" s="1232"/>
      <c r="M252" s="1232"/>
      <c r="N252" s="1232"/>
      <c r="O252" s="500"/>
    </row>
    <row r="253" spans="2:15" ht="16.5" thickBot="1">
      <c r="B253" t="s">
        <v>2968</v>
      </c>
      <c r="D253" s="503"/>
      <c r="E253" s="741"/>
      <c r="F253" s="500"/>
      <c r="G253" s="1960">
        <f>IF(G260&gt;=B250,5,IF(G260&gt;=B249,4,IF(G260&gt;=B248,3,IF(G260&gt;=B247,2,1))))</f>
        <v>3</v>
      </c>
      <c r="H253" s="3716" t="s">
        <v>921</v>
      </c>
      <c r="I253" s="3716"/>
      <c r="J253" s="3716"/>
      <c r="K253" s="3716"/>
      <c r="L253" s="3716"/>
      <c r="M253" s="3716"/>
      <c r="N253" s="3716"/>
      <c r="O253" s="649" t="s">
        <v>1432</v>
      </c>
    </row>
    <row r="254" spans="2:15" ht="15.75">
      <c r="B254">
        <v>2</v>
      </c>
      <c r="D254" s="503"/>
      <c r="E254" s="404"/>
      <c r="F254" s="1927" t="s">
        <v>2856</v>
      </c>
      <c r="G254" s="3471"/>
      <c r="H254" s="3717" t="s">
        <v>2042</v>
      </c>
      <c r="I254" s="3653"/>
      <c r="J254" s="3653"/>
      <c r="K254" s="3653"/>
      <c r="L254" s="3653"/>
      <c r="M254" s="3653"/>
      <c r="N254" s="3653"/>
      <c r="O254" s="3692" t="s">
        <v>2078</v>
      </c>
    </row>
    <row r="255" spans="2:15" ht="15.75">
      <c r="D255" s="503"/>
      <c r="E255" s="404"/>
      <c r="G255" s="3513"/>
      <c r="H255" s="3694" t="s">
        <v>2983</v>
      </c>
      <c r="I255" s="3695"/>
      <c r="J255" s="3695"/>
      <c r="K255" s="3695"/>
      <c r="L255" s="3695"/>
      <c r="M255" s="3695"/>
      <c r="N255" s="3695"/>
      <c r="O255" s="3693"/>
    </row>
    <row r="256" spans="2:15" ht="15.75">
      <c r="D256" s="503"/>
      <c r="E256" s="404"/>
      <c r="G256" s="3465"/>
      <c r="H256" s="3696" t="s">
        <v>2984</v>
      </c>
      <c r="I256" s="3662"/>
      <c r="J256" s="3662"/>
      <c r="K256" s="3662"/>
      <c r="L256" s="3662"/>
      <c r="M256" s="3662"/>
      <c r="N256" s="3662"/>
      <c r="O256" s="3693"/>
    </row>
    <row r="257" spans="2:15" ht="15.75">
      <c r="B257">
        <v>2</v>
      </c>
      <c r="D257" s="503"/>
      <c r="E257" s="404"/>
      <c r="F257" s="1927" t="s">
        <v>2857</v>
      </c>
      <c r="G257" s="3463">
        <v>2</v>
      </c>
      <c r="H257" s="3668" t="s">
        <v>2334</v>
      </c>
      <c r="I257" s="3710"/>
      <c r="J257" s="3710"/>
      <c r="K257" s="3710"/>
      <c r="L257" s="3710"/>
      <c r="M257" s="3710"/>
      <c r="N257" s="3710"/>
      <c r="O257" s="3693" t="s">
        <v>98</v>
      </c>
    </row>
    <row r="258" spans="2:15" ht="15.75">
      <c r="D258" s="503"/>
      <c r="E258" s="404"/>
      <c r="F258" s="500"/>
      <c r="G258" s="3513"/>
      <c r="H258" s="3694" t="s">
        <v>2985</v>
      </c>
      <c r="I258" s="3695"/>
      <c r="J258" s="3695"/>
      <c r="K258" s="3695"/>
      <c r="L258" s="3695"/>
      <c r="M258" s="3695"/>
      <c r="N258" s="3695"/>
      <c r="O258" s="3693"/>
    </row>
    <row r="259" spans="2:15" ht="16.5" thickBot="1">
      <c r="D259" s="503"/>
      <c r="E259" s="404"/>
      <c r="F259" s="500"/>
      <c r="G259" s="3464"/>
      <c r="H259" s="3696" t="s">
        <v>2986</v>
      </c>
      <c r="I259" s="3662"/>
      <c r="J259" s="3662"/>
      <c r="K259" s="3662"/>
      <c r="L259" s="3662"/>
      <c r="M259" s="3662"/>
      <c r="N259" s="3662"/>
      <c r="O259" s="3693"/>
    </row>
    <row r="260" spans="2:15" ht="21" customHeight="1">
      <c r="D260" s="503"/>
      <c r="E260" s="404"/>
      <c r="F260" s="1927" t="s">
        <v>2966</v>
      </c>
      <c r="G260" s="1958">
        <f>SUM(G254:G259)</f>
        <v>2</v>
      </c>
      <c r="H260" s="1440" t="s">
        <v>1333</v>
      </c>
      <c r="I260" s="713"/>
      <c r="J260" s="1957"/>
      <c r="K260" s="1959"/>
      <c r="L260" s="1957"/>
      <c r="M260" s="1959"/>
      <c r="N260" s="1953"/>
      <c r="O260" s="2203">
        <f>SUM(B254:B259)</f>
        <v>4</v>
      </c>
    </row>
    <row r="261" spans="2:15" ht="15.75">
      <c r="D261" s="503"/>
      <c r="E261" s="404"/>
      <c r="F261" s="404"/>
      <c r="G261"/>
      <c r="H261"/>
      <c r="I261"/>
      <c r="J261"/>
      <c r="K261"/>
      <c r="L261"/>
      <c r="M261"/>
      <c r="N261"/>
      <c r="O261"/>
    </row>
    <row r="262" spans="2:15" ht="15.75">
      <c r="D262" s="503"/>
      <c r="E262" s="404"/>
      <c r="F262" s="273" t="s">
        <v>99</v>
      </c>
      <c r="G262"/>
      <c r="H262"/>
      <c r="I262"/>
      <c r="J262" t="str">
        <f>IF(OR(F264=0,J263=0),$L$3,"")</f>
        <v/>
      </c>
      <c r="K262"/>
      <c r="L262"/>
      <c r="M262"/>
      <c r="N262"/>
      <c r="O262"/>
    </row>
    <row r="263" spans="2:15" ht="15" thickBot="1">
      <c r="D263" s="846"/>
      <c r="E263" s="500"/>
      <c r="F263" s="630"/>
      <c r="G263" s="516"/>
      <c r="H263" s="517" t="s">
        <v>1126</v>
      </c>
      <c r="I263" s="518"/>
      <c r="J263" s="519">
        <f>重み!M194</f>
        <v>0.3</v>
      </c>
      <c r="K263" s="631"/>
      <c r="L263" s="631"/>
      <c r="M263" s="631"/>
      <c r="N263" s="631"/>
      <c r="O263" s="528"/>
    </row>
    <row r="264" spans="2:15" ht="27" customHeight="1" thickBot="1">
      <c r="D264" s="846"/>
      <c r="E264" s="500"/>
      <c r="F264" s="522">
        <v>3</v>
      </c>
      <c r="G264" s="526" t="s">
        <v>78</v>
      </c>
      <c r="H264" s="527"/>
      <c r="I264" s="527"/>
      <c r="J264" s="527"/>
      <c r="K264" s="527"/>
      <c r="L264" s="728"/>
      <c r="M264" s="527"/>
      <c r="N264" s="527"/>
      <c r="O264" s="528"/>
    </row>
    <row r="265" spans="2:15" ht="21" customHeight="1">
      <c r="B265" s="1" t="s">
        <v>1793</v>
      </c>
      <c r="D265" s="846"/>
      <c r="E265" s="500"/>
      <c r="F265" s="534" t="str">
        <f>IF(F264=$F$7,$G$2,IF(ROUNDDOWN(F264,0)=$F$2,$H$2,$G$2))</f>
        <v>　レベル　1</v>
      </c>
      <c r="G265" s="531" t="s">
        <v>295</v>
      </c>
      <c r="H265" s="532"/>
      <c r="I265" s="532"/>
      <c r="J265" s="532"/>
      <c r="K265" s="532"/>
      <c r="L265" s="532"/>
      <c r="M265" s="532"/>
      <c r="N265" s="532"/>
      <c r="O265" s="533"/>
    </row>
    <row r="266" spans="2:15" ht="21" customHeight="1">
      <c r="B266" s="1" t="s">
        <v>1793</v>
      </c>
      <c r="D266" s="846"/>
      <c r="E266" s="500"/>
      <c r="F266" s="534" t="str">
        <f>IF(F264=$F$7,$G$3,IF(ROUNDDOWN(F264,0)=$F$3,$H$3,$G$3))</f>
        <v>　レベル　2</v>
      </c>
      <c r="G266" s="832" t="s">
        <v>295</v>
      </c>
      <c r="H266" s="872"/>
      <c r="I266" s="872"/>
      <c r="J266" s="872"/>
      <c r="K266" s="872"/>
      <c r="L266" s="872"/>
      <c r="M266" s="872"/>
      <c r="N266" s="538"/>
      <c r="O266" s="539"/>
    </row>
    <row r="267" spans="2:15" ht="21" customHeight="1">
      <c r="B267" s="1">
        <v>3</v>
      </c>
      <c r="D267" s="846"/>
      <c r="E267" s="500"/>
      <c r="F267" s="534" t="str">
        <f>IF(F264=$F$7,$G$4,IF(ROUNDDOWN(F264,0)=$F$4,$H$4,$G$4))</f>
        <v>■レベル　3</v>
      </c>
      <c r="G267" s="832" t="s">
        <v>2530</v>
      </c>
      <c r="H267" s="872"/>
      <c r="I267" s="872"/>
      <c r="J267" s="872"/>
      <c r="K267" s="872"/>
      <c r="L267" s="872"/>
      <c r="M267" s="872"/>
      <c r="N267" s="538"/>
      <c r="O267" s="539"/>
    </row>
    <row r="268" spans="2:15" ht="21" customHeight="1">
      <c r="B268" s="1">
        <v>4</v>
      </c>
      <c r="D268" s="846"/>
      <c r="E268" s="500"/>
      <c r="F268" s="534" t="str">
        <f>IF(F264=$F$7,$G$5,IF(ROUNDDOWN(F264,0)=$F$5,$H$5,$G$5))</f>
        <v>　レベル　4</v>
      </c>
      <c r="G268" s="832" t="s">
        <v>79</v>
      </c>
      <c r="H268" s="872"/>
      <c r="I268" s="872"/>
      <c r="J268" s="872"/>
      <c r="K268" s="872"/>
      <c r="L268" s="872"/>
      <c r="M268" s="872"/>
      <c r="N268" s="538"/>
      <c r="O268" s="539"/>
    </row>
    <row r="269" spans="2:15" ht="21" customHeight="1">
      <c r="B269" s="1">
        <v>5</v>
      </c>
      <c r="D269" s="846"/>
      <c r="E269" s="500"/>
      <c r="F269" s="544" t="str">
        <f>IF(F264=$F$7,$G$6,IF(ROUNDDOWN(F264,0)=$F$6,$H$6,$G$6))</f>
        <v>　レベル　5</v>
      </c>
      <c r="G269" s="833" t="s">
        <v>3238</v>
      </c>
      <c r="H269" s="873"/>
      <c r="I269" s="873"/>
      <c r="J269" s="873"/>
      <c r="K269" s="873"/>
      <c r="L269" s="873"/>
      <c r="M269" s="873"/>
      <c r="N269" s="549"/>
      <c r="O269" s="550"/>
    </row>
    <row r="270" spans="2:15">
      <c r="B270" s="551">
        <v>0</v>
      </c>
      <c r="F270" s="839" t="s">
        <v>2938</v>
      </c>
      <c r="G270" s="1941"/>
      <c r="H270" s="1915"/>
      <c r="I270" s="1915"/>
      <c r="J270" s="1916"/>
      <c r="K270" s="2094"/>
      <c r="L270"/>
      <c r="M270"/>
      <c r="N270"/>
      <c r="O270"/>
    </row>
    <row r="294"/>
    <row r="295"/>
    <row r="296"/>
    <row r="297"/>
    <row r="298"/>
    <row r="299"/>
    <row r="300"/>
    <row r="301"/>
    <row r="302"/>
    <row r="303"/>
    <row r="304"/>
    <row r="305"/>
    <row r="306"/>
  </sheetData>
  <sheetProtection password="C784" sheet="1" objects="1" scenarios="1"/>
  <mergeCells count="115">
    <mergeCell ref="G63:G64"/>
    <mergeCell ref="O61:O62"/>
    <mergeCell ref="O63:O64"/>
    <mergeCell ref="O65:O66"/>
    <mergeCell ref="O67:O68"/>
    <mergeCell ref="O71:O72"/>
    <mergeCell ref="K65:N65"/>
    <mergeCell ref="K61:N61"/>
    <mergeCell ref="K63:N63"/>
    <mergeCell ref="K62:N62"/>
    <mergeCell ref="K68:M68"/>
    <mergeCell ref="K70:M70"/>
    <mergeCell ref="K72:M72"/>
    <mergeCell ref="K66:M66"/>
    <mergeCell ref="K64:M64"/>
    <mergeCell ref="G29:O29"/>
    <mergeCell ref="G31:O31"/>
    <mergeCell ref="G32:O32"/>
    <mergeCell ref="K57:N57"/>
    <mergeCell ref="H57:J57"/>
    <mergeCell ref="O58:O59"/>
    <mergeCell ref="K58:N58"/>
    <mergeCell ref="G67:G68"/>
    <mergeCell ref="G69:G70"/>
    <mergeCell ref="I61:J66"/>
    <mergeCell ref="I67:J68"/>
    <mergeCell ref="I69:J72"/>
    <mergeCell ref="G58:G59"/>
    <mergeCell ref="G65:G66"/>
    <mergeCell ref="K59:N59"/>
    <mergeCell ref="O69:O70"/>
    <mergeCell ref="G61:G62"/>
    <mergeCell ref="H61:H76"/>
    <mergeCell ref="G71:G72"/>
    <mergeCell ref="G73:G74"/>
    <mergeCell ref="G75:G76"/>
    <mergeCell ref="H58:H60"/>
    <mergeCell ref="I58:J60"/>
    <mergeCell ref="K60:N60"/>
    <mergeCell ref="G257:G259"/>
    <mergeCell ref="H257:N257"/>
    <mergeCell ref="K137:N137"/>
    <mergeCell ref="K138:N138"/>
    <mergeCell ref="K224:N224"/>
    <mergeCell ref="K227:N227"/>
    <mergeCell ref="K226:N226"/>
    <mergeCell ref="K223:N223"/>
    <mergeCell ref="G195:M195"/>
    <mergeCell ref="G197:M197"/>
    <mergeCell ref="G240:O240"/>
    <mergeCell ref="O257:O259"/>
    <mergeCell ref="H258:N258"/>
    <mergeCell ref="H259:N259"/>
    <mergeCell ref="G156:I156"/>
    <mergeCell ref="J156:L156"/>
    <mergeCell ref="G163:I163"/>
    <mergeCell ref="J163:L163"/>
    <mergeCell ref="N174:O178"/>
    <mergeCell ref="H224:J225"/>
    <mergeCell ref="H253:N253"/>
    <mergeCell ref="K228:N228"/>
    <mergeCell ref="G254:G256"/>
    <mergeCell ref="H254:N254"/>
    <mergeCell ref="G184:I184"/>
    <mergeCell ref="J184:L184"/>
    <mergeCell ref="N195:O199"/>
    <mergeCell ref="N206:O210"/>
    <mergeCell ref="G207:M207"/>
    <mergeCell ref="N146:O150"/>
    <mergeCell ref="K136:N136"/>
    <mergeCell ref="H137:J138"/>
    <mergeCell ref="O254:O256"/>
    <mergeCell ref="H255:N255"/>
    <mergeCell ref="H256:N256"/>
    <mergeCell ref="H223:J223"/>
    <mergeCell ref="K225:N225"/>
    <mergeCell ref="G208:M208"/>
    <mergeCell ref="G209:M209"/>
    <mergeCell ref="G224:G225"/>
    <mergeCell ref="G226:G228"/>
    <mergeCell ref="H226:J228"/>
    <mergeCell ref="G210:M210"/>
    <mergeCell ref="H132:J132"/>
    <mergeCell ref="K132:N132"/>
    <mergeCell ref="H131:J131"/>
    <mergeCell ref="K131:N131"/>
    <mergeCell ref="O77:O78"/>
    <mergeCell ref="K77:N77"/>
    <mergeCell ref="H133:J135"/>
    <mergeCell ref="K133:N133"/>
    <mergeCell ref="K134:N134"/>
    <mergeCell ref="K135:N135"/>
    <mergeCell ref="H77:H78"/>
    <mergeCell ref="I77:J78"/>
    <mergeCell ref="K78:N78"/>
    <mergeCell ref="O73:O74"/>
    <mergeCell ref="O75:O76"/>
    <mergeCell ref="H115:J118"/>
    <mergeCell ref="K115:N115"/>
    <mergeCell ref="K116:N116"/>
    <mergeCell ref="K117:N117"/>
    <mergeCell ref="H112:J112"/>
    <mergeCell ref="K112:N112"/>
    <mergeCell ref="K113:N113"/>
    <mergeCell ref="G88:K88"/>
    <mergeCell ref="L88:O88"/>
    <mergeCell ref="K118:N118"/>
    <mergeCell ref="K114:N114"/>
    <mergeCell ref="H113:J114"/>
    <mergeCell ref="G77:G78"/>
    <mergeCell ref="I73:J76"/>
    <mergeCell ref="K76:N76"/>
    <mergeCell ref="K74:N74"/>
    <mergeCell ref="K75:N75"/>
    <mergeCell ref="K73:N73"/>
  </mergeCells>
  <phoneticPr fontId="27"/>
  <conditionalFormatting sqref="F28 F84 F94 F145 F173 F194 F205 F233 F264">
    <cfRule type="expression" dxfId="230" priority="18" stopIfTrue="1">
      <formula>AND(OR(F28&lt;1,F28&gt;5),F28&lt;&gt;0)</formula>
    </cfRule>
    <cfRule type="expression" dxfId="229" priority="19" stopIfTrue="1">
      <formula>$J27&gt;0</formula>
    </cfRule>
  </conditionalFormatting>
  <conditionalFormatting sqref="G224:G228">
    <cfRule type="expression" dxfId="228" priority="16" stopIfTrue="1">
      <formula>$J$214&gt;0</formula>
    </cfRule>
  </conditionalFormatting>
  <dataValidations xWindow="203" yWindow="331" count="1">
    <dataValidation type="list" allowBlank="1" showInputMessage="1" sqref="F28 F84 F94 F145 F173 F194 F205 F233 F264" xr:uid="{00000000-0002-0000-0C00-000000000000}">
      <formula1>$B29:$B34</formula1>
    </dataValidation>
  </dataValidations>
  <printOptions horizontalCentered="1"/>
  <pageMargins left="0.59055118110236227" right="0.59055118110236227" top="0.78740157480314965" bottom="0.59055118110236227" header="0.51181102362204722" footer="0.51181102362204722"/>
  <pageSetup paperSize="9" scale="80" fitToHeight="0" orientation="portrait" verticalDpi="4294967293" r:id="rId1"/>
  <headerFooter alignWithMargins="0">
    <oddHeader>&amp;L&amp;F&amp;R&amp;A</oddHeader>
    <oddFooter>&amp;C&amp;P/&amp;N</oddFooter>
  </headerFooter>
  <rowBreaks count="6" manualBreakCount="6">
    <brk id="55" min="3" max="15" man="1"/>
    <brk id="80" min="3" max="15" man="1"/>
    <brk id="120" min="3" max="15" man="1"/>
    <brk id="170" min="3" max="15" man="1"/>
    <brk id="212" min="3" max="15" man="1"/>
    <brk id="241" min="3" max="15"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A1:AN1191"/>
  <sheetViews>
    <sheetView showGridLines="0" zoomScale="70" zoomScaleNormal="70" workbookViewId="0">
      <selection activeCell="L9" sqref="L9"/>
    </sheetView>
  </sheetViews>
  <sheetFormatPr defaultColWidth="9" defaultRowHeight="15.75" zeroHeight="1"/>
  <cols>
    <col min="1" max="1" width="10.25" style="2557" customWidth="1"/>
    <col min="2" max="2" width="5.5" style="2557" customWidth="1"/>
    <col min="3" max="3" width="16.125" style="2557" customWidth="1"/>
    <col min="4" max="4" width="7" style="2557" customWidth="1"/>
    <col min="5" max="5" width="20.875" style="2557" customWidth="1"/>
    <col min="6" max="6" width="71.375" style="2557" customWidth="1"/>
    <col min="7" max="7" width="7" style="2557" customWidth="1"/>
    <col min="8" max="8" width="16.625" style="2557" customWidth="1"/>
    <col min="9" max="11" width="9.125" style="2557" customWidth="1"/>
    <col min="12" max="12" width="32" style="2557" customWidth="1"/>
    <col min="13" max="13" width="5" style="2557" customWidth="1"/>
    <col min="14" max="14" width="5.5" style="2557" customWidth="1"/>
    <col min="15" max="15" width="1.375" style="2557" customWidth="1"/>
    <col min="16" max="16" width="2.375" style="2557" customWidth="1"/>
    <col min="17" max="25" width="4" style="2557" hidden="1" customWidth="1"/>
    <col min="26" max="26" width="6.125" style="2557" hidden="1" customWidth="1"/>
    <col min="27" max="27" width="2.375" style="2557" hidden="1" customWidth="1"/>
    <col min="28" max="28" width="9" style="2557" hidden="1" customWidth="1"/>
    <col min="29" max="29" width="2.375" style="2557" hidden="1" customWidth="1"/>
    <col min="30" max="31" width="6.875" style="2557" hidden="1" customWidth="1"/>
    <col min="32" max="33" width="6.75" style="2557" hidden="1" customWidth="1"/>
    <col min="34" max="34" width="2.375" style="2557" hidden="1" customWidth="1"/>
    <col min="35" max="35" width="7.875" style="2557" hidden="1" customWidth="1"/>
    <col min="36" max="36" width="7.125" style="2557" hidden="1" customWidth="1"/>
    <col min="37" max="38" width="7.625" style="2557" hidden="1" customWidth="1"/>
    <col min="39" max="39" width="9" style="2557" hidden="1" customWidth="1"/>
    <col min="40" max="16383" width="9" style="2557" customWidth="1"/>
    <col min="16384" max="16384" width="9" style="2557"/>
  </cols>
  <sheetData>
    <row r="1" spans="1:39" ht="35.25">
      <c r="A1" s="2598" t="s">
        <v>3321</v>
      </c>
      <c r="B1" s="2599"/>
      <c r="C1" s="2599"/>
      <c r="D1" s="2599"/>
      <c r="E1" s="2599"/>
      <c r="F1" s="2599"/>
      <c r="G1" s="2599"/>
      <c r="H1" s="2599"/>
      <c r="I1" s="2599"/>
      <c r="J1" s="2593" t="s">
        <v>2243</v>
      </c>
      <c r="K1" s="2594" t="str">
        <f>メイン!C11</f>
        <v>○○ビル</v>
      </c>
      <c r="L1" s="2595"/>
      <c r="M1" s="2596"/>
      <c r="N1" s="2597"/>
      <c r="O1" s="2599"/>
      <c r="Q1" s="2791"/>
      <c r="R1" s="2791"/>
      <c r="S1" s="2791"/>
      <c r="T1" s="2791"/>
      <c r="U1" s="2791"/>
      <c r="V1" s="2791"/>
      <c r="W1" s="2791"/>
      <c r="X1" s="2791"/>
      <c r="Y1" s="2791"/>
      <c r="AB1" s="2601"/>
      <c r="AD1" s="2602"/>
      <c r="AE1" s="2602"/>
      <c r="AF1" s="2601"/>
      <c r="AG1" s="2601"/>
      <c r="AH1" s="2601"/>
      <c r="AI1" s="2603"/>
      <c r="AJ1" s="2604"/>
      <c r="AK1" s="2604"/>
      <c r="AL1" s="2604"/>
    </row>
    <row r="2" spans="1:39" ht="11.25" customHeight="1" thickBot="1">
      <c r="A2" s="2599"/>
      <c r="B2" s="2599"/>
      <c r="C2" s="2599"/>
      <c r="D2" s="2599"/>
      <c r="E2" s="2599"/>
      <c r="F2" s="2599"/>
      <c r="G2" s="2599"/>
      <c r="H2" s="2599"/>
      <c r="I2" s="2599"/>
      <c r="J2" s="2599"/>
      <c r="K2" s="2599"/>
      <c r="L2" s="2599"/>
      <c r="M2" s="2599"/>
      <c r="N2" s="2599"/>
      <c r="O2" s="2599"/>
      <c r="Q2" s="2791"/>
      <c r="R2" s="2791"/>
      <c r="S2" s="2791"/>
      <c r="T2" s="2791"/>
      <c r="U2" s="2791"/>
      <c r="V2" s="2791"/>
      <c r="W2" s="2791"/>
      <c r="X2" s="2791"/>
      <c r="Y2" s="2791"/>
      <c r="AB2" s="2601"/>
      <c r="AD2" s="2602"/>
      <c r="AE2" s="2602"/>
      <c r="AF2" s="2601"/>
      <c r="AG2" s="2601"/>
      <c r="AH2" s="2601"/>
      <c r="AI2" s="2603"/>
      <c r="AJ2" s="2604"/>
      <c r="AK2" s="2604"/>
      <c r="AL2" s="2604"/>
    </row>
    <row r="3" spans="1:39" ht="17.25" thickBot="1">
      <c r="A3" s="2599"/>
      <c r="B3" s="2599"/>
      <c r="C3" s="2599"/>
      <c r="D3" s="2600" t="s">
        <v>3322</v>
      </c>
      <c r="E3" s="2742" t="s">
        <v>4285</v>
      </c>
      <c r="F3" s="2599"/>
      <c r="G3" s="2599"/>
      <c r="H3" s="2599"/>
      <c r="I3" s="2599"/>
      <c r="J3" s="2599"/>
      <c r="K3" s="2599"/>
      <c r="L3" s="2599"/>
      <c r="M3" s="2599"/>
      <c r="N3" s="2599"/>
      <c r="O3" s="2599"/>
      <c r="Q3" s="2601"/>
      <c r="R3" s="2601"/>
      <c r="S3" s="2601"/>
      <c r="T3" s="2601"/>
      <c r="U3" s="2601"/>
      <c r="V3" s="2601"/>
      <c r="W3" s="2601"/>
      <c r="X3" s="2601"/>
      <c r="Y3" s="2601"/>
      <c r="Z3" s="2601"/>
      <c r="AA3" s="2601"/>
      <c r="AB3" s="2601"/>
      <c r="AC3" s="2601"/>
      <c r="AD3" s="2601"/>
      <c r="AE3" s="2601"/>
      <c r="AF3" s="2601"/>
      <c r="AG3" s="2601"/>
      <c r="AH3" s="2601"/>
      <c r="AI3" s="2603"/>
      <c r="AJ3" s="2604"/>
      <c r="AK3" s="2604"/>
      <c r="AL3" s="2604"/>
    </row>
    <row r="4" spans="1:39" ht="6" customHeight="1">
      <c r="A4" s="2599"/>
      <c r="B4" s="2599"/>
      <c r="C4" s="2599"/>
      <c r="D4" s="2599"/>
      <c r="E4" s="2599"/>
      <c r="F4" s="2599"/>
      <c r="G4" s="2599"/>
      <c r="H4" s="2599"/>
      <c r="I4" s="2599"/>
      <c r="J4" s="2599"/>
      <c r="K4" s="2599"/>
      <c r="L4" s="2599"/>
      <c r="M4" s="2599"/>
      <c r="N4" s="2599"/>
      <c r="O4" s="2599"/>
      <c r="Q4" s="2583" t="str">
        <f>IF(メイン!C47=0,"","〇")</f>
        <v>〇</v>
      </c>
      <c r="R4" s="2583" t="str">
        <f>IF(メイン!C50=0,"","〇")</f>
        <v/>
      </c>
      <c r="S4" s="2583" t="str">
        <f>IF(メイン!C55=0,"","〇")</f>
        <v/>
      </c>
      <c r="T4" s="2583" t="str">
        <f>IF(メイン!C59=0,"","〇")</f>
        <v/>
      </c>
      <c r="U4" s="2583" t="str">
        <f>IF(メイン!C60=0,"","〇")</f>
        <v/>
      </c>
      <c r="V4" s="2583" t="str">
        <f>IF(メイン!C63=0,"","〇")</f>
        <v/>
      </c>
      <c r="W4" s="2583" t="str">
        <f>IF(メイン!C64=0,"","〇")</f>
        <v/>
      </c>
      <c r="X4" s="2583" t="str">
        <f>IF(メイン!C65=0,"","〇")</f>
        <v/>
      </c>
      <c r="Y4" s="2583" t="str">
        <f>IF(メイン!C67=0,"","〇")</f>
        <v>〇</v>
      </c>
      <c r="AB4" s="3790" t="s">
        <v>3739</v>
      </c>
      <c r="AD4" s="3792" t="s">
        <v>3707</v>
      </c>
      <c r="AE4" s="3792"/>
      <c r="AF4" s="3792"/>
      <c r="AG4" s="3792"/>
      <c r="AH4" s="2601"/>
      <c r="AI4" s="2603"/>
      <c r="AJ4" s="2604"/>
      <c r="AK4" s="2604"/>
      <c r="AL4" s="2604"/>
    </row>
    <row r="5" spans="1:39" ht="24" customHeight="1">
      <c r="A5" s="3777" t="s">
        <v>3323</v>
      </c>
      <c r="B5" s="3811" t="s">
        <v>3324</v>
      </c>
      <c r="C5" s="3812"/>
      <c r="D5" s="3812"/>
      <c r="E5" s="3813"/>
      <c r="F5" s="3759" t="s">
        <v>2229</v>
      </c>
      <c r="G5" s="3774" t="s">
        <v>3747</v>
      </c>
      <c r="H5" s="3777" t="s">
        <v>3746</v>
      </c>
      <c r="I5" s="3772" t="s">
        <v>3743</v>
      </c>
      <c r="J5" s="3772" t="s">
        <v>3744</v>
      </c>
      <c r="K5" s="3772" t="s">
        <v>3745</v>
      </c>
      <c r="L5" s="3759" t="s">
        <v>3742</v>
      </c>
      <c r="M5" s="3774" t="s">
        <v>3741</v>
      </c>
      <c r="N5" s="3759" t="s">
        <v>3740</v>
      </c>
      <c r="O5" s="2599"/>
      <c r="Q5" s="3793" t="s">
        <v>3708</v>
      </c>
      <c r="R5" s="3794"/>
      <c r="S5" s="3794"/>
      <c r="T5" s="3794"/>
      <c r="U5" s="3794"/>
      <c r="V5" s="3794"/>
      <c r="W5" s="3794"/>
      <c r="X5" s="3794"/>
      <c r="Y5" s="3795"/>
      <c r="Z5" s="3777" t="s">
        <v>3709</v>
      </c>
      <c r="AB5" s="3791"/>
      <c r="AC5" s="2605"/>
      <c r="AD5" s="2703" t="s">
        <v>2143</v>
      </c>
      <c r="AE5" s="2703" t="s">
        <v>2144</v>
      </c>
      <c r="AF5" s="2704" t="s">
        <v>3710</v>
      </c>
      <c r="AG5" s="2704" t="s">
        <v>3711</v>
      </c>
      <c r="AH5" s="2606"/>
      <c r="AI5" s="3743" t="s">
        <v>3712</v>
      </c>
      <c r="AJ5" s="3744"/>
      <c r="AK5" s="3777" t="s">
        <v>3713</v>
      </c>
      <c r="AL5" s="3777" t="s">
        <v>3714</v>
      </c>
      <c r="AM5" s="3777" t="s">
        <v>3715</v>
      </c>
    </row>
    <row r="6" spans="1:39" ht="24" customHeight="1">
      <c r="A6" s="3778"/>
      <c r="B6" s="3811" t="s">
        <v>3325</v>
      </c>
      <c r="C6" s="3813"/>
      <c r="D6" s="3811" t="s">
        <v>3326</v>
      </c>
      <c r="E6" s="3813"/>
      <c r="F6" s="3760"/>
      <c r="G6" s="3760"/>
      <c r="H6" s="3778"/>
      <c r="I6" s="3773"/>
      <c r="J6" s="3773"/>
      <c r="K6" s="3773"/>
      <c r="L6" s="3760"/>
      <c r="M6" s="3760"/>
      <c r="N6" s="3760"/>
      <c r="O6" s="2599"/>
      <c r="Q6" s="2607" t="s">
        <v>3716</v>
      </c>
      <c r="R6" s="2607" t="s">
        <v>1654</v>
      </c>
      <c r="S6" s="2607" t="s">
        <v>2227</v>
      </c>
      <c r="T6" s="2607" t="s">
        <v>3717</v>
      </c>
      <c r="U6" s="2607" t="s">
        <v>3718</v>
      </c>
      <c r="V6" s="2607" t="s">
        <v>3719</v>
      </c>
      <c r="W6" s="2607" t="s">
        <v>3720</v>
      </c>
      <c r="X6" s="2607" t="s">
        <v>1230</v>
      </c>
      <c r="Y6" s="2607" t="s">
        <v>3721</v>
      </c>
      <c r="Z6" s="3779"/>
      <c r="AB6" s="2608" t="s">
        <v>3722</v>
      </c>
      <c r="AC6" s="2605"/>
      <c r="AD6" s="2609">
        <f>スコア!AF6</f>
        <v>0.46666666666666667</v>
      </c>
      <c r="AE6" s="2609">
        <f>スコア!AH6</f>
        <v>0.53333333333333333</v>
      </c>
      <c r="AF6" s="2608" t="s">
        <v>3723</v>
      </c>
      <c r="AG6" s="2608" t="s">
        <v>3722</v>
      </c>
      <c r="AH6" s="2610"/>
      <c r="AI6" s="3745"/>
      <c r="AJ6" s="3746"/>
      <c r="AK6" s="3779"/>
      <c r="AL6" s="3779"/>
      <c r="AM6" s="3779"/>
    </row>
    <row r="7" spans="1:39" ht="91.5" customHeight="1">
      <c r="A7" s="2558" t="s">
        <v>3327</v>
      </c>
      <c r="B7" s="2563" t="s">
        <v>3329</v>
      </c>
      <c r="C7" s="2561"/>
      <c r="D7" s="2561"/>
      <c r="E7" s="2561"/>
      <c r="F7" s="2561"/>
      <c r="G7" s="2561"/>
      <c r="H7" s="2561"/>
      <c r="I7" s="2561"/>
      <c r="J7" s="2561"/>
      <c r="K7" s="2561"/>
      <c r="L7" s="2561"/>
      <c r="M7" s="2561"/>
      <c r="N7" s="2562"/>
      <c r="O7" s="2599"/>
      <c r="Q7" s="2792"/>
      <c r="R7" s="2793"/>
      <c r="S7" s="2793"/>
      <c r="T7" s="2793"/>
      <c r="U7" s="2793"/>
      <c r="V7" s="2793"/>
      <c r="W7" s="2793"/>
      <c r="X7" s="2793"/>
      <c r="Y7" s="2793"/>
      <c r="Z7" s="2611"/>
      <c r="AB7" s="2611"/>
      <c r="AD7" s="2612"/>
      <c r="AE7" s="2613"/>
      <c r="AF7" s="2613"/>
      <c r="AG7" s="2614"/>
      <c r="AH7" s="2615"/>
      <c r="AI7" s="2616"/>
      <c r="AJ7" s="2613"/>
      <c r="AK7" s="2617"/>
      <c r="AL7" s="2613"/>
      <c r="AM7" s="2614"/>
    </row>
    <row r="8" spans="1:39" ht="91.5" customHeight="1">
      <c r="A8" s="2559" t="s">
        <v>3328</v>
      </c>
      <c r="B8" s="2563" t="s">
        <v>3330</v>
      </c>
      <c r="C8" s="2561"/>
      <c r="D8" s="2561"/>
      <c r="E8" s="2561"/>
      <c r="F8" s="2561"/>
      <c r="G8" s="2561"/>
      <c r="H8" s="2561"/>
      <c r="I8" s="2561"/>
      <c r="J8" s="2561"/>
      <c r="K8" s="2561"/>
      <c r="L8" s="2561"/>
      <c r="M8" s="2561"/>
      <c r="N8" s="2562"/>
      <c r="O8" s="2599"/>
      <c r="Q8" s="2792"/>
      <c r="R8" s="2793"/>
      <c r="S8" s="2793"/>
      <c r="T8" s="2793"/>
      <c r="U8" s="2793"/>
      <c r="V8" s="2793"/>
      <c r="W8" s="2793"/>
      <c r="X8" s="2793"/>
      <c r="Y8" s="2793"/>
      <c r="Z8" s="2611"/>
      <c r="AB8" s="2611"/>
      <c r="AD8" s="2612"/>
      <c r="AE8" s="2613"/>
      <c r="AF8" s="2613"/>
      <c r="AG8" s="2614"/>
      <c r="AH8" s="2615"/>
      <c r="AI8" s="2616"/>
      <c r="AJ8" s="2613"/>
      <c r="AK8" s="2617"/>
      <c r="AL8" s="2613"/>
      <c r="AM8" s="2614"/>
    </row>
    <row r="9" spans="1:39" ht="32.25" customHeight="1">
      <c r="A9" s="3814" t="s">
        <v>3331</v>
      </c>
      <c r="B9" s="3771">
        <v>3.1</v>
      </c>
      <c r="C9" s="3747" t="s">
        <v>3332</v>
      </c>
      <c r="D9" s="2564" t="s">
        <v>3333</v>
      </c>
      <c r="E9" s="2565" t="s">
        <v>3334</v>
      </c>
      <c r="F9" s="2565" t="s">
        <v>3335</v>
      </c>
      <c r="G9" s="2571" t="s">
        <v>3382</v>
      </c>
      <c r="H9" s="2572" t="s">
        <v>3383</v>
      </c>
      <c r="I9" s="2573" t="str">
        <f>IF(AI9=1,"●","")</f>
        <v/>
      </c>
      <c r="J9" s="2573" t="str">
        <f>IF(AI9=2,"●","")</f>
        <v/>
      </c>
      <c r="K9" s="2573" t="str">
        <f>IF(AI9=3,"●","")</f>
        <v/>
      </c>
      <c r="L9" s="2574"/>
      <c r="M9" s="2565"/>
      <c r="N9" s="2575" t="str">
        <f>IF(Z9="対象外","対象外",AL9)</f>
        <v>対象外</v>
      </c>
      <c r="O9" s="2599"/>
      <c r="Q9" s="2576" t="s">
        <v>428</v>
      </c>
      <c r="R9" s="2576" t="s">
        <v>1465</v>
      </c>
      <c r="S9" s="2576" t="s">
        <v>1616</v>
      </c>
      <c r="T9" s="2576" t="s">
        <v>1721</v>
      </c>
      <c r="U9" s="2576" t="s">
        <v>1619</v>
      </c>
      <c r="V9" s="2576" t="s">
        <v>385</v>
      </c>
      <c r="W9" s="2576" t="s">
        <v>1620</v>
      </c>
      <c r="X9" s="2576" t="s">
        <v>383</v>
      </c>
      <c r="Y9" s="2576" t="s">
        <v>1722</v>
      </c>
      <c r="Z9" s="2618" t="str">
        <f>IF(AG9="#DIV/0!","対象外",IF(AND($Q$4="〇",Q9&lt;&gt;"")+AND($R$4="〇",R9&lt;&gt;"")+AND($S$4="〇",S9&lt;&gt;"")+AND($T$4="〇",T9&lt;&gt;"")+AND($U$4="〇",U9&lt;&gt;"")+AND($V$4="〇",V9&lt;&gt;"")+AND($W$4="〇",W9&lt;&gt;"")+AND($X$4="〇",X9&lt;&gt;"")+AND($Y$4="〇",Y9&lt;&gt;"")=0,"対象外","対象"))</f>
        <v>対象外</v>
      </c>
      <c r="AB9" s="2619"/>
      <c r="AC9" s="2605"/>
      <c r="AD9" s="2620">
        <f>スコア!$Z$22</f>
        <v>0</v>
      </c>
      <c r="AE9" s="2620">
        <f>スコア!$AB$22</f>
        <v>0</v>
      </c>
      <c r="AF9" s="2621">
        <f>IF(AE9=0,AD9,IF(AD9=0,AE9,AD9*$AD$6+AE9*$AE$6))</f>
        <v>0</v>
      </c>
      <c r="AG9" s="2622" t="str">
        <f>IF(AF9=0,"#DIV/0!",IF(AF9&lt;2,1,IF(AF9&lt;4,2,3)))</f>
        <v>#DIV/0!</v>
      </c>
      <c r="AH9" s="2623"/>
      <c r="AI9" s="2622" t="str">
        <f>IF(Z9="対象外","#DIV/0!",IF(AG9="",AB9,IF(AB9="",AG9,0)))</f>
        <v>#DIV/0!</v>
      </c>
      <c r="AJ9" s="2583" t="e">
        <f>AVERAGEIFS(AI9,AI9,"&lt;&gt;0",AI9,"&lt;&gt;#DIV/0!")</f>
        <v>#DIV/0!</v>
      </c>
      <c r="AK9" s="2624" t="b">
        <v>0</v>
      </c>
      <c r="AL9" s="2625" t="e">
        <f>IF(AK9=FALSE,AJ9,IF(AJ9=1,2,3))</f>
        <v>#DIV/0!</v>
      </c>
      <c r="AM9" s="2626">
        <f>AVERAGEIFS(AL9:AL12,AL9:AL12,"&lt;&gt;0",AL9:AL12,"&lt;&gt;#DIV/0!")</f>
        <v>2</v>
      </c>
    </row>
    <row r="10" spans="1:39" ht="32.25" customHeight="1">
      <c r="A10" s="3814"/>
      <c r="B10" s="3771"/>
      <c r="C10" s="3747"/>
      <c r="D10" s="2564" t="s">
        <v>3336</v>
      </c>
      <c r="E10" s="2565" t="s">
        <v>3337</v>
      </c>
      <c r="F10" s="2565" t="s">
        <v>3338</v>
      </c>
      <c r="G10" s="2571" t="s">
        <v>3382</v>
      </c>
      <c r="H10" s="2572" t="s">
        <v>3384</v>
      </c>
      <c r="I10" s="2573" t="str">
        <f t="shared" ref="I10:I21" si="0">IF(AI10=1,"●","")</f>
        <v/>
      </c>
      <c r="J10" s="2573" t="str">
        <f t="shared" ref="J10:J21" si="1">IF(AI10=2,"●","")</f>
        <v>●</v>
      </c>
      <c r="K10" s="2573" t="str">
        <f t="shared" ref="K10:K21" si="2">IF(AI10=3,"●","")</f>
        <v/>
      </c>
      <c r="L10" s="2574"/>
      <c r="M10" s="2565"/>
      <c r="N10" s="2575">
        <f>IF(Z10="対象外","対象外",AL10)</f>
        <v>2</v>
      </c>
      <c r="O10" s="2599"/>
      <c r="Q10" s="2576" t="s">
        <v>428</v>
      </c>
      <c r="R10" s="2576" t="s">
        <v>1465</v>
      </c>
      <c r="S10" s="2576" t="s">
        <v>1616</v>
      </c>
      <c r="T10" s="2576" t="s">
        <v>1721</v>
      </c>
      <c r="U10" s="2576" t="s">
        <v>1619</v>
      </c>
      <c r="V10" s="2576" t="s">
        <v>385</v>
      </c>
      <c r="W10" s="2576" t="s">
        <v>1620</v>
      </c>
      <c r="X10" s="2576" t="s">
        <v>383</v>
      </c>
      <c r="Y10" s="2576" t="s">
        <v>1722</v>
      </c>
      <c r="Z10" s="2618" t="str">
        <f t="shared" ref="Z10:Z72" si="3">IF(AG10="#DIV/0!","対象外",IF(AND($Q$4="〇",Q10&lt;&gt;"")+AND($R$4="〇",R10&lt;&gt;"")+AND($S$4="〇",S10&lt;&gt;"")+AND($T$4="〇",T10&lt;&gt;"")+AND($U$4="〇",U10&lt;&gt;"")+AND($V$4="〇",V10&lt;&gt;"")+AND($W$4="〇",W10&lt;&gt;"")+AND($X$4="〇",X10&lt;&gt;"")+AND($Y$4="〇",Y10&lt;&gt;"")=0,"対象外","対象"))</f>
        <v>対象</v>
      </c>
      <c r="AB10" s="2619"/>
      <c r="AC10" s="2605"/>
      <c r="AD10" s="2620">
        <f>スコア!$Z$24</f>
        <v>3</v>
      </c>
      <c r="AE10" s="2620">
        <f>スコア!$AB$24</f>
        <v>3</v>
      </c>
      <c r="AF10" s="2621">
        <f t="shared" ref="AF10:AF21" si="4">IF(AE10=0,AD10,IF(AD10=0,AE10,AD10*$AD$6+AE10*$AE$6))</f>
        <v>3</v>
      </c>
      <c r="AG10" s="2622">
        <f t="shared" ref="AG10:AG39" si="5">IF(AF10=0,"#DIV/0!",IF(AF10&lt;2,1,IF(AF10&lt;4,2,3)))</f>
        <v>2</v>
      </c>
      <c r="AH10" s="2623"/>
      <c r="AI10" s="2622">
        <f>IF(Z10="対象外","#DIV/0!",IF(AG10="",AB10,IF(AB10="",AG10,0)))</f>
        <v>2</v>
      </c>
      <c r="AJ10" s="2583">
        <f>AVERAGEIFS(AI10,AI10,"&lt;&gt;0",AI10,"&lt;&gt;#DIV/0!")</f>
        <v>2</v>
      </c>
      <c r="AK10" s="2624" t="b">
        <v>0</v>
      </c>
      <c r="AL10" s="2625">
        <f t="shared" ref="AL10:AL72" si="6">IF(AK10=FALSE,AJ10,IF(AJ10=1,2,3))</f>
        <v>2</v>
      </c>
      <c r="AM10" s="2627"/>
    </row>
    <row r="11" spans="1:39" ht="32.25" customHeight="1">
      <c r="A11" s="3814"/>
      <c r="B11" s="3771"/>
      <c r="C11" s="3747"/>
      <c r="D11" s="3775" t="s">
        <v>3339</v>
      </c>
      <c r="E11" s="3765" t="s">
        <v>3340</v>
      </c>
      <c r="F11" s="2566" t="s">
        <v>3341</v>
      </c>
      <c r="G11" s="2576" t="s">
        <v>3385</v>
      </c>
      <c r="H11" s="2572" t="s">
        <v>3386</v>
      </c>
      <c r="I11" s="2573" t="str">
        <f t="shared" si="0"/>
        <v/>
      </c>
      <c r="J11" s="2573" t="str">
        <f t="shared" si="1"/>
        <v/>
      </c>
      <c r="K11" s="2573" t="str">
        <f t="shared" si="2"/>
        <v/>
      </c>
      <c r="L11" s="3761"/>
      <c r="M11" s="3736"/>
      <c r="N11" s="3738" t="str">
        <f>IF(AND(Z11="対象外",Z12="対象外"),"対象外",AL11)</f>
        <v>対象外</v>
      </c>
      <c r="O11" s="2599"/>
      <c r="Q11" s="2576" t="s">
        <v>428</v>
      </c>
      <c r="R11" s="2576"/>
      <c r="S11" s="2576" t="s">
        <v>1616</v>
      </c>
      <c r="T11" s="2576" t="s">
        <v>1721</v>
      </c>
      <c r="U11" s="2576" t="s">
        <v>1619</v>
      </c>
      <c r="V11" s="2576" t="s">
        <v>385</v>
      </c>
      <c r="W11" s="2576" t="s">
        <v>1620</v>
      </c>
      <c r="X11" s="2576" t="s">
        <v>383</v>
      </c>
      <c r="Y11" s="2576"/>
      <c r="Z11" s="2618" t="str">
        <f t="shared" si="3"/>
        <v>対象外</v>
      </c>
      <c r="AB11" s="2619"/>
      <c r="AC11" s="2605"/>
      <c r="AD11" s="2620">
        <f>スコア!$Z$25</f>
        <v>0</v>
      </c>
      <c r="AE11" s="2620">
        <f>スコア!$AB$25</f>
        <v>0</v>
      </c>
      <c r="AF11" s="2621">
        <f t="shared" si="4"/>
        <v>0</v>
      </c>
      <c r="AG11" s="2622" t="str">
        <f t="shared" si="5"/>
        <v>#DIV/0!</v>
      </c>
      <c r="AH11" s="2623"/>
      <c r="AI11" s="2628" t="str">
        <f t="shared" ref="AI11:AI72" si="7">IF(Z11="対象外","#DIV/0!",IF(AG11="",AB11,IF(AB11="",AG11,0)))</f>
        <v>#DIV/0!</v>
      </c>
      <c r="AJ11" s="2625" t="e">
        <f>AVERAGEIFS(AI11:AI12,AI11:AI12,"&lt;&gt;0",AI11:AI12,"&lt;&gt;#DIV/0!")</f>
        <v>#DIV/0!</v>
      </c>
      <c r="AK11" s="2629" t="b">
        <v>0</v>
      </c>
      <c r="AL11" s="2625" t="e">
        <f t="shared" si="6"/>
        <v>#DIV/0!</v>
      </c>
      <c r="AM11" s="2627"/>
    </row>
    <row r="12" spans="1:39" ht="32.25" customHeight="1">
      <c r="A12" s="3814"/>
      <c r="B12" s="3771"/>
      <c r="C12" s="3747"/>
      <c r="D12" s="3775"/>
      <c r="E12" s="3765"/>
      <c r="F12" s="2567" t="s">
        <v>3342</v>
      </c>
      <c r="G12" s="2571" t="s">
        <v>3382</v>
      </c>
      <c r="H12" s="2572" t="s">
        <v>3387</v>
      </c>
      <c r="I12" s="2573" t="str">
        <f t="shared" si="0"/>
        <v/>
      </c>
      <c r="J12" s="2573" t="str">
        <f t="shared" si="1"/>
        <v/>
      </c>
      <c r="K12" s="2573" t="str">
        <f t="shared" si="2"/>
        <v/>
      </c>
      <c r="L12" s="3762"/>
      <c r="M12" s="3737"/>
      <c r="N12" s="3739"/>
      <c r="O12" s="2599"/>
      <c r="Q12" s="2576" t="s">
        <v>428</v>
      </c>
      <c r="R12" s="2576" t="s">
        <v>1465</v>
      </c>
      <c r="S12" s="2576" t="s">
        <v>1616</v>
      </c>
      <c r="T12" s="2576" t="s">
        <v>1721</v>
      </c>
      <c r="U12" s="2576" t="s">
        <v>1619</v>
      </c>
      <c r="V12" s="2576" t="s">
        <v>385</v>
      </c>
      <c r="W12" s="2576" t="s">
        <v>1620</v>
      </c>
      <c r="X12" s="2576" t="s">
        <v>383</v>
      </c>
      <c r="Y12" s="2576" t="s">
        <v>1722</v>
      </c>
      <c r="Z12" s="2618" t="str">
        <f t="shared" si="3"/>
        <v>対象外</v>
      </c>
      <c r="AB12" s="2619"/>
      <c r="AC12" s="2605"/>
      <c r="AD12" s="2620">
        <f>スコア!$Z$31</f>
        <v>0</v>
      </c>
      <c r="AE12" s="2620">
        <f>スコア!$AB$31</f>
        <v>0</v>
      </c>
      <c r="AF12" s="2621">
        <f t="shared" si="4"/>
        <v>0</v>
      </c>
      <c r="AG12" s="2622" t="str">
        <f t="shared" si="5"/>
        <v>#DIV/0!</v>
      </c>
      <c r="AH12" s="2623"/>
      <c r="AI12" s="2628" t="str">
        <f t="shared" si="7"/>
        <v>#DIV/0!</v>
      </c>
      <c r="AJ12" s="2630"/>
      <c r="AK12" s="2631"/>
      <c r="AL12" s="2630"/>
      <c r="AM12" s="2632"/>
    </row>
    <row r="13" spans="1:39" ht="32.25" customHeight="1">
      <c r="A13" s="3814"/>
      <c r="B13" s="3770" t="s">
        <v>3870</v>
      </c>
      <c r="C13" s="3740" t="s">
        <v>3348</v>
      </c>
      <c r="D13" s="2564" t="s">
        <v>3872</v>
      </c>
      <c r="E13" s="2565" t="s">
        <v>3349</v>
      </c>
      <c r="F13" s="2565" t="s">
        <v>3350</v>
      </c>
      <c r="G13" s="2571" t="s">
        <v>3382</v>
      </c>
      <c r="H13" s="2572" t="s">
        <v>3392</v>
      </c>
      <c r="I13" s="2573" t="str">
        <f>IF(AI13=1,"●","")</f>
        <v/>
      </c>
      <c r="J13" s="2573" t="str">
        <f>IF(AI13=2,"●","")</f>
        <v>●</v>
      </c>
      <c r="K13" s="2573" t="str">
        <f>IF(AI13=3,"●","")</f>
        <v/>
      </c>
      <c r="L13" s="2574"/>
      <c r="M13" s="2737"/>
      <c r="N13" s="2575">
        <f t="shared" ref="N13:N24" si="8">IF(Z13="対象外","対象外",AL13)</f>
        <v>2</v>
      </c>
      <c r="O13" s="2599"/>
      <c r="Q13" s="2576" t="s">
        <v>428</v>
      </c>
      <c r="R13" s="2576" t="s">
        <v>1465</v>
      </c>
      <c r="S13" s="2576" t="s">
        <v>1616</v>
      </c>
      <c r="T13" s="2576" t="s">
        <v>1721</v>
      </c>
      <c r="U13" s="2576" t="s">
        <v>1619</v>
      </c>
      <c r="V13" s="2576" t="s">
        <v>385</v>
      </c>
      <c r="W13" s="2576" t="s">
        <v>1620</v>
      </c>
      <c r="X13" s="2576" t="s">
        <v>383</v>
      </c>
      <c r="Y13" s="2576" t="s">
        <v>1722</v>
      </c>
      <c r="Z13" s="2618" t="str">
        <f>IF(AG13="#DIV/0!","対象外",IF(AND($Q$4="〇",Q13&lt;&gt;"")+AND($R$4="〇",R13&lt;&gt;"")+AND($S$4="〇",S13&lt;&gt;"")+AND($T$4="〇",T13&lt;&gt;"")+AND($U$4="〇",U13&lt;&gt;"")+AND($V$4="〇",V13&lt;&gt;"")+AND($W$4="〇",W13&lt;&gt;"")+AND($X$4="〇",X13&lt;&gt;"")+AND($Y$4="〇",Y13&lt;&gt;"")=0,"対象外","対象"))</f>
        <v>対象</v>
      </c>
      <c r="AB13" s="2619"/>
      <c r="AC13" s="2605"/>
      <c r="AD13" s="2620">
        <f>スコア!$Z$54</f>
        <v>3</v>
      </c>
      <c r="AE13" s="2620">
        <f>スコア!$AB$54</f>
        <v>3</v>
      </c>
      <c r="AF13" s="2621">
        <f>IF(AE13=0,AD13,IF(AD13=0,AE13,AD13*$AD$6+AE13*$AE$6))</f>
        <v>3</v>
      </c>
      <c r="AG13" s="2622">
        <f>IF(AF13=0,"#DIV/0!",IF(AF13&lt;2,1,IF(AF13&lt;4,2,3)))</f>
        <v>2</v>
      </c>
      <c r="AH13" s="2623"/>
      <c r="AI13" s="2622">
        <f>IF(Z13="対象外","#DIV/0!",IF(AG13="",AB13,IF(AB13="",AG13,0)))</f>
        <v>2</v>
      </c>
      <c r="AJ13" s="2583">
        <f t="shared" ref="AJ13:AJ18" si="9">AVERAGEIFS(AI13,AI13,"&lt;&gt;0",AI13,"&lt;&gt;#DIV/0!")</f>
        <v>2</v>
      </c>
      <c r="AK13" s="2633" t="b">
        <v>0</v>
      </c>
      <c r="AL13" s="2625">
        <f>IF(AK13=FALSE,AJ13,IF(AJ13=1,2,3))</f>
        <v>2</v>
      </c>
      <c r="AM13" s="2626">
        <f>AVERAGEIFS(AL13:AL17,AL13:AL17,"&lt;&gt;0",AL13:AL17,"&lt;&gt;#DIV/0!")</f>
        <v>2</v>
      </c>
    </row>
    <row r="14" spans="1:39" ht="32.25" customHeight="1">
      <c r="A14" s="3814"/>
      <c r="B14" s="3768"/>
      <c r="C14" s="3741"/>
      <c r="D14" s="2564" t="s">
        <v>3873</v>
      </c>
      <c r="E14" s="2565" t="s">
        <v>3351</v>
      </c>
      <c r="F14" s="2565" t="s">
        <v>3352</v>
      </c>
      <c r="G14" s="2571" t="s">
        <v>3382</v>
      </c>
      <c r="H14" s="2572" t="s">
        <v>3393</v>
      </c>
      <c r="I14" s="2573" t="str">
        <f>IF(AI14=1,"●","")</f>
        <v/>
      </c>
      <c r="J14" s="2573" t="str">
        <f>IF(AI14=2,"●","")</f>
        <v/>
      </c>
      <c r="K14" s="2573" t="str">
        <f>IF(AI14=3,"●","")</f>
        <v/>
      </c>
      <c r="L14" s="2574"/>
      <c r="M14" s="2737"/>
      <c r="N14" s="2575" t="str">
        <f t="shared" si="8"/>
        <v>対象外</v>
      </c>
      <c r="O14" s="2599"/>
      <c r="Q14" s="2576" t="s">
        <v>428</v>
      </c>
      <c r="R14" s="2576" t="s">
        <v>1465</v>
      </c>
      <c r="S14" s="2576" t="s">
        <v>1616</v>
      </c>
      <c r="T14" s="2576" t="s">
        <v>1721</v>
      </c>
      <c r="U14" s="2576" t="s">
        <v>1619</v>
      </c>
      <c r="V14" s="2576" t="s">
        <v>385</v>
      </c>
      <c r="W14" s="2576" t="s">
        <v>1620</v>
      </c>
      <c r="X14" s="2576" t="s">
        <v>383</v>
      </c>
      <c r="Y14" s="2576" t="s">
        <v>1722</v>
      </c>
      <c r="Z14" s="2618" t="str">
        <f>IF(AG14="#DIV/0!","対象外",IF(AND($Q$4="〇",Q14&lt;&gt;"")+AND($R$4="〇",R14&lt;&gt;"")+AND($S$4="〇",S14&lt;&gt;"")+AND($T$4="〇",T14&lt;&gt;"")+AND($U$4="〇",U14&lt;&gt;"")+AND($V$4="〇",V14&lt;&gt;"")+AND($W$4="〇",W14&lt;&gt;"")+AND($X$4="〇",X14&lt;&gt;"")+AND($Y$4="〇",Y14&lt;&gt;"")=0,"対象外","対象"))</f>
        <v>対象外</v>
      </c>
      <c r="AB14" s="2619"/>
      <c r="AC14" s="2605"/>
      <c r="AD14" s="2620">
        <f>スコア!$Z$30</f>
        <v>0</v>
      </c>
      <c r="AE14" s="2620">
        <f>スコア!$AB$30</f>
        <v>0</v>
      </c>
      <c r="AF14" s="2621">
        <f>IF(AE14=0,AD14,IF(AD14=0,AE14,AD14*$AD$6+AE14*$AE$6))</f>
        <v>0</v>
      </c>
      <c r="AG14" s="2622" t="str">
        <f>IF(AF14=0,"#DIV/0!",IF(AF14&lt;2,1,IF(AF14&lt;4,2,3)))</f>
        <v>#DIV/0!</v>
      </c>
      <c r="AH14" s="2623"/>
      <c r="AI14" s="2622" t="str">
        <f>IF(Z14="対象外","#DIV/0!",IF(AG14="",AB14,IF(AB14="",AG14,0)))</f>
        <v>#DIV/0!</v>
      </c>
      <c r="AJ14" s="2583" t="e">
        <f t="shared" si="9"/>
        <v>#DIV/0!</v>
      </c>
      <c r="AK14" s="2633" t="b">
        <v>0</v>
      </c>
      <c r="AL14" s="2625" t="e">
        <f>IF(AK14=FALSE,AJ14,IF(AJ14=1,2,3))</f>
        <v>#DIV/0!</v>
      </c>
      <c r="AM14" s="2634"/>
    </row>
    <row r="15" spans="1:39" ht="32.25" customHeight="1">
      <c r="A15" s="3814"/>
      <c r="B15" s="3768"/>
      <c r="C15" s="3741"/>
      <c r="D15" s="2564" t="s">
        <v>2107</v>
      </c>
      <c r="E15" s="2565" t="s">
        <v>3353</v>
      </c>
      <c r="F15" s="2565" t="s">
        <v>3354</v>
      </c>
      <c r="G15" s="2571" t="s">
        <v>3382</v>
      </c>
      <c r="H15" s="2572" t="s">
        <v>3394</v>
      </c>
      <c r="I15" s="2573" t="str">
        <f>IF(AI15=1,"●","")</f>
        <v/>
      </c>
      <c r="J15" s="2573" t="str">
        <f>IF(AI15=2,"●","")</f>
        <v>●</v>
      </c>
      <c r="K15" s="2573" t="str">
        <f>IF(AI15=3,"●","")</f>
        <v/>
      </c>
      <c r="L15" s="2574"/>
      <c r="M15" s="2737"/>
      <c r="N15" s="2575">
        <f t="shared" si="8"/>
        <v>2</v>
      </c>
      <c r="O15" s="2599"/>
      <c r="Q15" s="2576" t="s">
        <v>428</v>
      </c>
      <c r="R15" s="2576" t="s">
        <v>1465</v>
      </c>
      <c r="S15" s="2576" t="s">
        <v>1616</v>
      </c>
      <c r="T15" s="2576" t="s">
        <v>1721</v>
      </c>
      <c r="U15" s="2576" t="s">
        <v>1619</v>
      </c>
      <c r="V15" s="2576" t="s">
        <v>385</v>
      </c>
      <c r="W15" s="2576" t="s">
        <v>1620</v>
      </c>
      <c r="X15" s="2576" t="s">
        <v>383</v>
      </c>
      <c r="Y15" s="2576" t="s">
        <v>1722</v>
      </c>
      <c r="Z15" s="2618" t="str">
        <f>IF(AG15="#DIV/0!","対象外",IF(AND($Q$4="〇",Q15&lt;&gt;"")+AND($R$4="〇",R15&lt;&gt;"")+AND($S$4="〇",S15&lt;&gt;"")+AND($T$4="〇",T15&lt;&gt;"")+AND($U$4="〇",U15&lt;&gt;"")+AND($V$4="〇",V15&lt;&gt;"")+AND($W$4="〇",W15&lt;&gt;"")+AND($X$4="〇",X15&lt;&gt;"")+AND($Y$4="〇",Y15&lt;&gt;"")=0,"対象外","対象"))</f>
        <v>対象</v>
      </c>
      <c r="AB15" s="2619"/>
      <c r="AC15" s="2605"/>
      <c r="AD15" s="2620">
        <f>スコア!$Z$50</f>
        <v>3</v>
      </c>
      <c r="AE15" s="2620">
        <f>スコア!$AB$50</f>
        <v>3</v>
      </c>
      <c r="AF15" s="2621">
        <f>IF(AE15=0,AD15,IF(AD15=0,AE15,AD15*$AD$6+AE15*$AE$6))</f>
        <v>3</v>
      </c>
      <c r="AG15" s="2622">
        <f>IF(AF15=0,"#DIV/0!",IF(AF15&lt;2,1,IF(AF15&lt;4,2,3)))</f>
        <v>2</v>
      </c>
      <c r="AH15" s="2623"/>
      <c r="AI15" s="2622">
        <f>IF(Z15="対象外","#DIV/0!",IF(AG15="",AB15,IF(AB15="",AG15,0)))</f>
        <v>2</v>
      </c>
      <c r="AJ15" s="2583">
        <f t="shared" si="9"/>
        <v>2</v>
      </c>
      <c r="AK15" s="2633" t="b">
        <v>0</v>
      </c>
      <c r="AL15" s="2625">
        <f>IF(AK15=FALSE,AJ15,IF(AJ15=1,2,3))</f>
        <v>2</v>
      </c>
      <c r="AM15" s="2634"/>
    </row>
    <row r="16" spans="1:39" ht="32.25" customHeight="1">
      <c r="A16" s="3814"/>
      <c r="B16" s="3768"/>
      <c r="C16" s="3741"/>
      <c r="D16" s="2564" t="s">
        <v>3874</v>
      </c>
      <c r="E16" s="2565" t="s">
        <v>4015</v>
      </c>
      <c r="F16" s="2565" t="s">
        <v>3355</v>
      </c>
      <c r="G16" s="2576" t="s">
        <v>3807</v>
      </c>
      <c r="H16" s="2572" t="s">
        <v>3395</v>
      </c>
      <c r="I16" s="2573" t="str">
        <f>IF(AI16=1,"●","")</f>
        <v/>
      </c>
      <c r="J16" s="2573" t="str">
        <f>IF(AI16=2,"●","")</f>
        <v/>
      </c>
      <c r="K16" s="2573" t="str">
        <f>IF(AI16=3,"●","")</f>
        <v/>
      </c>
      <c r="L16" s="2574"/>
      <c r="M16" s="2737"/>
      <c r="N16" s="2575" t="str">
        <f t="shared" si="8"/>
        <v>対象外</v>
      </c>
      <c r="O16" s="2599"/>
      <c r="Q16" s="2576" t="s">
        <v>428</v>
      </c>
      <c r="R16" s="2576" t="s">
        <v>1465</v>
      </c>
      <c r="S16" s="2576" t="s">
        <v>1616</v>
      </c>
      <c r="T16" s="2576" t="s">
        <v>1721</v>
      </c>
      <c r="U16" s="2576" t="s">
        <v>1619</v>
      </c>
      <c r="V16" s="2576" t="s">
        <v>385</v>
      </c>
      <c r="W16" s="2576" t="s">
        <v>1620</v>
      </c>
      <c r="X16" s="2576" t="s">
        <v>383</v>
      </c>
      <c r="Y16" s="2576"/>
      <c r="Z16" s="2618" t="str">
        <f>IF(AG16="#DIV/0!","対象外",IF(AND($Q$4="〇",Q16&lt;&gt;"")+AND($R$4="〇",R16&lt;&gt;"")+AND($S$4="〇",S16&lt;&gt;"")+AND($T$4="〇",T16&lt;&gt;"")+AND($U$4="〇",U16&lt;&gt;"")+AND($V$4="〇",V16&lt;&gt;"")+AND($W$4="〇",W16&lt;&gt;"")+AND($X$4="〇",X16&lt;&gt;"")+AND($Y$4="〇",Y16&lt;&gt;"")=0,"対象外","対象"))</f>
        <v>対象外</v>
      </c>
      <c r="AB16" s="2619"/>
      <c r="AC16" s="2605"/>
      <c r="AD16" s="2620">
        <f>スコア!$Z$61</f>
        <v>0</v>
      </c>
      <c r="AE16" s="2620">
        <f>スコア!$AB$61</f>
        <v>0</v>
      </c>
      <c r="AF16" s="2621">
        <f>IF(AE16=0,AD16,IF(AD16=0,AE16,AD16*$AD$6+AE16*$AE$6))</f>
        <v>0</v>
      </c>
      <c r="AG16" s="2622" t="str">
        <f>IF(AF16=0,"#DIV/0!",IF(AF16&lt;2,1,IF(AF16&lt;4,2,3)))</f>
        <v>#DIV/0!</v>
      </c>
      <c r="AH16" s="2623"/>
      <c r="AI16" s="2622" t="str">
        <f>IF(Z16="対象外","#DIV/0!",IF(AG16="",AB16,IF(AB16="",AG16,0)))</f>
        <v>#DIV/0!</v>
      </c>
      <c r="AJ16" s="2583" t="e">
        <f t="shared" si="9"/>
        <v>#DIV/0!</v>
      </c>
      <c r="AK16" s="2633" t="b">
        <v>0</v>
      </c>
      <c r="AL16" s="2625" t="e">
        <f>IF(AK16=FALSE,AJ16,IF(AJ16=1,2,3))</f>
        <v>#DIV/0!</v>
      </c>
      <c r="AM16" s="2634"/>
    </row>
    <row r="17" spans="1:39" ht="32.25" customHeight="1">
      <c r="A17" s="3814"/>
      <c r="B17" s="3769"/>
      <c r="C17" s="3742"/>
      <c r="D17" s="2564" t="s">
        <v>3875</v>
      </c>
      <c r="E17" s="2565" t="s">
        <v>3356</v>
      </c>
      <c r="F17" s="2565" t="s">
        <v>3357</v>
      </c>
      <c r="G17" s="2571" t="s">
        <v>3382</v>
      </c>
      <c r="H17" s="2572" t="s">
        <v>3396</v>
      </c>
      <c r="I17" s="2573" t="str">
        <f>IF(AI17=1,"●","")</f>
        <v/>
      </c>
      <c r="J17" s="2573" t="str">
        <f>IF(AI17=2,"●","")</f>
        <v>●</v>
      </c>
      <c r="K17" s="2573" t="str">
        <f>IF(AI17=3,"●","")</f>
        <v/>
      </c>
      <c r="L17" s="2574"/>
      <c r="M17" s="2737"/>
      <c r="N17" s="2575">
        <f t="shared" si="8"/>
        <v>2</v>
      </c>
      <c r="O17" s="2599"/>
      <c r="Q17" s="2576" t="s">
        <v>428</v>
      </c>
      <c r="R17" s="2576" t="s">
        <v>1465</v>
      </c>
      <c r="S17" s="2576" t="s">
        <v>1616</v>
      </c>
      <c r="T17" s="2576" t="s">
        <v>1721</v>
      </c>
      <c r="U17" s="2576" t="s">
        <v>1619</v>
      </c>
      <c r="V17" s="2576" t="s">
        <v>385</v>
      </c>
      <c r="W17" s="2576" t="s">
        <v>1620</v>
      </c>
      <c r="X17" s="2576" t="s">
        <v>383</v>
      </c>
      <c r="Y17" s="2576" t="s">
        <v>1722</v>
      </c>
      <c r="Z17" s="2618" t="str">
        <f>IF(AG17="#DIV/0!","対象外",IF(AND($Q$4="〇",Q17&lt;&gt;"")+AND($R$4="〇",R17&lt;&gt;"")+AND($S$4="〇",S17&lt;&gt;"")+AND($T$4="〇",T17&lt;&gt;"")+AND($U$4="〇",U17&lt;&gt;"")+AND($V$4="〇",V17&lt;&gt;"")+AND($W$4="〇",W17&lt;&gt;"")+AND($X$4="〇",X17&lt;&gt;"")+AND($Y$4="〇",Y17&lt;&gt;"")=0,"対象外","対象"))</f>
        <v>対象</v>
      </c>
      <c r="AB17" s="2635"/>
      <c r="AC17" s="2605"/>
      <c r="AD17" s="2620">
        <f>スコア!$Z$76</f>
        <v>2</v>
      </c>
      <c r="AE17" s="2620">
        <f>スコア!$AB$76</f>
        <v>0</v>
      </c>
      <c r="AF17" s="2621">
        <f>IF(AE17=0,AD17,IF(AD17=0,AE17,AD17*$AD$6+AE17*$AE$6))</f>
        <v>2</v>
      </c>
      <c r="AG17" s="2622">
        <f>IF(AF17=0,"#DIV/0!",IF(AF17&lt;2,1,IF(AF17&lt;4,2,3)))</f>
        <v>2</v>
      </c>
      <c r="AH17" s="2636"/>
      <c r="AI17" s="2622">
        <f>IF(Z17="対象外","#DIV/0!",IF(AG17="",AB17,IF(AB17="",AG17,0)))</f>
        <v>2</v>
      </c>
      <c r="AJ17" s="2583">
        <f t="shared" si="9"/>
        <v>2</v>
      </c>
      <c r="AK17" s="2624" t="b">
        <v>0</v>
      </c>
      <c r="AL17" s="2625">
        <f>IF(AK17=FALSE,AJ17,IF(AJ17=1,2,3))</f>
        <v>2</v>
      </c>
      <c r="AM17" s="2637"/>
    </row>
    <row r="18" spans="1:39" ht="32.25" customHeight="1">
      <c r="A18" s="3814"/>
      <c r="B18" s="3771" t="s">
        <v>3871</v>
      </c>
      <c r="C18" s="3747" t="s">
        <v>3343</v>
      </c>
      <c r="D18" s="2564" t="s">
        <v>3876</v>
      </c>
      <c r="E18" s="2565" t="s">
        <v>4016</v>
      </c>
      <c r="F18" s="2565" t="s">
        <v>4028</v>
      </c>
      <c r="G18" s="2571" t="s">
        <v>3382</v>
      </c>
      <c r="H18" s="2572" t="s">
        <v>3388</v>
      </c>
      <c r="I18" s="2573" t="str">
        <f t="shared" si="0"/>
        <v/>
      </c>
      <c r="J18" s="2573" t="str">
        <f t="shared" si="1"/>
        <v>●</v>
      </c>
      <c r="K18" s="2573" t="str">
        <f t="shared" si="2"/>
        <v/>
      </c>
      <c r="L18" s="2574"/>
      <c r="M18" s="2565"/>
      <c r="N18" s="2575">
        <f t="shared" si="8"/>
        <v>2</v>
      </c>
      <c r="O18" s="2599"/>
      <c r="Q18" s="2576" t="s">
        <v>428</v>
      </c>
      <c r="R18" s="2576" t="s">
        <v>1465</v>
      </c>
      <c r="S18" s="2576" t="s">
        <v>1616</v>
      </c>
      <c r="T18" s="2576" t="s">
        <v>1721</v>
      </c>
      <c r="U18" s="2576" t="s">
        <v>1619</v>
      </c>
      <c r="V18" s="2576" t="s">
        <v>385</v>
      </c>
      <c r="W18" s="2576" t="s">
        <v>1620</v>
      </c>
      <c r="X18" s="2576" t="s">
        <v>383</v>
      </c>
      <c r="Y18" s="2576" t="s">
        <v>1722</v>
      </c>
      <c r="Z18" s="2618" t="str">
        <f t="shared" si="3"/>
        <v>対象</v>
      </c>
      <c r="AB18" s="2619"/>
      <c r="AC18" s="2605"/>
      <c r="AD18" s="2620">
        <f>スコア!$Z$39</f>
        <v>3</v>
      </c>
      <c r="AE18" s="2620">
        <f>スコア!$AB$39</f>
        <v>3</v>
      </c>
      <c r="AF18" s="2621">
        <f t="shared" si="4"/>
        <v>3</v>
      </c>
      <c r="AG18" s="2622">
        <f t="shared" si="5"/>
        <v>2</v>
      </c>
      <c r="AH18" s="2623"/>
      <c r="AI18" s="2622">
        <f t="shared" si="7"/>
        <v>2</v>
      </c>
      <c r="AJ18" s="2583">
        <f t="shared" si="9"/>
        <v>2</v>
      </c>
      <c r="AK18" s="2633" t="b">
        <v>0</v>
      </c>
      <c r="AL18" s="2625">
        <f t="shared" si="6"/>
        <v>2</v>
      </c>
      <c r="AM18" s="2634">
        <f>AVERAGEIFS(AL18:AL20,AL18:AL20,"&lt;&gt;0",AL18:AL20,"&lt;&gt;#DIV/0!")</f>
        <v>2</v>
      </c>
    </row>
    <row r="19" spans="1:39" ht="32.25" customHeight="1">
      <c r="A19" s="3814"/>
      <c r="B19" s="3771"/>
      <c r="C19" s="3747"/>
      <c r="D19" s="2564" t="s">
        <v>3877</v>
      </c>
      <c r="E19" s="2565" t="s">
        <v>3345</v>
      </c>
      <c r="F19" s="2565" t="s">
        <v>4027</v>
      </c>
      <c r="G19" s="2741" t="s">
        <v>3806</v>
      </c>
      <c r="H19" s="2572" t="s">
        <v>3389</v>
      </c>
      <c r="I19" s="2573" t="str">
        <f t="shared" si="0"/>
        <v/>
      </c>
      <c r="J19" s="2573" t="str">
        <f t="shared" si="1"/>
        <v>●</v>
      </c>
      <c r="K19" s="2573" t="str">
        <f t="shared" si="2"/>
        <v/>
      </c>
      <c r="L19" s="2574"/>
      <c r="M19" s="2737"/>
      <c r="N19" s="2575">
        <f t="shared" si="8"/>
        <v>2</v>
      </c>
      <c r="O19" s="2599"/>
      <c r="Q19" s="2576" t="s">
        <v>428</v>
      </c>
      <c r="R19" s="2576" t="s">
        <v>1465</v>
      </c>
      <c r="S19" s="2576"/>
      <c r="T19" s="2576"/>
      <c r="U19" s="2576"/>
      <c r="V19" s="2576" t="s">
        <v>385</v>
      </c>
      <c r="W19" s="2576" t="s">
        <v>1620</v>
      </c>
      <c r="X19" s="2576" t="s">
        <v>383</v>
      </c>
      <c r="Y19" s="2576" t="s">
        <v>1722</v>
      </c>
      <c r="Z19" s="2618" t="str">
        <f t="shared" si="3"/>
        <v>対象</v>
      </c>
      <c r="AB19" s="2619"/>
      <c r="AC19" s="2605"/>
      <c r="AD19" s="2620">
        <f>スコア!$Z$42</f>
        <v>3</v>
      </c>
      <c r="AE19" s="2620">
        <f>スコア!$AB$42</f>
        <v>3</v>
      </c>
      <c r="AF19" s="2621">
        <f t="shared" si="4"/>
        <v>3</v>
      </c>
      <c r="AG19" s="2622">
        <f t="shared" si="5"/>
        <v>2</v>
      </c>
      <c r="AH19" s="2623"/>
      <c r="AI19" s="2622">
        <f t="shared" si="7"/>
        <v>2</v>
      </c>
      <c r="AJ19" s="2583">
        <f t="shared" ref="AJ19:AJ76" si="10">AVERAGEIFS(AI19,AI19,"&lt;&gt;0",AI19,"&lt;&gt;#DIV/0!")</f>
        <v>2</v>
      </c>
      <c r="AK19" s="2633" t="b">
        <v>0</v>
      </c>
      <c r="AL19" s="2625">
        <f t="shared" si="6"/>
        <v>2</v>
      </c>
      <c r="AM19" s="2634"/>
    </row>
    <row r="20" spans="1:39" ht="32.25" customHeight="1">
      <c r="A20" s="3814"/>
      <c r="B20" s="3771"/>
      <c r="C20" s="3747"/>
      <c r="D20" s="2564" t="s">
        <v>3878</v>
      </c>
      <c r="E20" s="2565" t="s">
        <v>3346</v>
      </c>
      <c r="F20" s="2565" t="s">
        <v>3347</v>
      </c>
      <c r="G20" s="2576" t="s">
        <v>3390</v>
      </c>
      <c r="H20" s="2572" t="s">
        <v>3391</v>
      </c>
      <c r="I20" s="2573" t="str">
        <f t="shared" si="0"/>
        <v/>
      </c>
      <c r="J20" s="2573" t="str">
        <f t="shared" si="1"/>
        <v>●</v>
      </c>
      <c r="K20" s="2573" t="str">
        <f t="shared" si="2"/>
        <v/>
      </c>
      <c r="L20" s="2574"/>
      <c r="M20" s="2737"/>
      <c r="N20" s="2575">
        <f t="shared" si="8"/>
        <v>2</v>
      </c>
      <c r="O20" s="2599"/>
      <c r="Q20" s="2576" t="s">
        <v>428</v>
      </c>
      <c r="R20" s="2576" t="s">
        <v>1465</v>
      </c>
      <c r="S20" s="2576" t="s">
        <v>1616</v>
      </c>
      <c r="T20" s="2576"/>
      <c r="U20" s="2576" t="s">
        <v>1619</v>
      </c>
      <c r="V20" s="2576" t="s">
        <v>385</v>
      </c>
      <c r="W20" s="2576" t="s">
        <v>1620</v>
      </c>
      <c r="X20" s="2576" t="s">
        <v>383</v>
      </c>
      <c r="Y20" s="2576" t="s">
        <v>1722</v>
      </c>
      <c r="Z20" s="2618" t="str">
        <f t="shared" si="3"/>
        <v>対象</v>
      </c>
      <c r="AB20" s="2619"/>
      <c r="AC20" s="2605"/>
      <c r="AD20" s="2620">
        <f>スコア!$Z$47</f>
        <v>3</v>
      </c>
      <c r="AE20" s="2620">
        <f>スコア!$AB$47</f>
        <v>0</v>
      </c>
      <c r="AF20" s="2621">
        <f t="shared" si="4"/>
        <v>3</v>
      </c>
      <c r="AG20" s="2622">
        <f t="shared" si="5"/>
        <v>2</v>
      </c>
      <c r="AH20" s="2623"/>
      <c r="AI20" s="2622">
        <f t="shared" si="7"/>
        <v>2</v>
      </c>
      <c r="AJ20" s="2583">
        <f t="shared" si="10"/>
        <v>2</v>
      </c>
      <c r="AK20" s="2633" t="b">
        <v>0</v>
      </c>
      <c r="AL20" s="2625">
        <f t="shared" si="6"/>
        <v>2</v>
      </c>
      <c r="AM20" s="2634"/>
    </row>
    <row r="21" spans="1:39" ht="32.25" customHeight="1">
      <c r="A21" s="3814"/>
      <c r="B21" s="2568">
        <v>3.4</v>
      </c>
      <c r="C21" s="2569" t="s">
        <v>3879</v>
      </c>
      <c r="D21" s="2564" t="s">
        <v>3358</v>
      </c>
      <c r="E21" s="2565" t="s">
        <v>3359</v>
      </c>
      <c r="F21" s="2565" t="s">
        <v>4029</v>
      </c>
      <c r="G21" s="2571" t="s">
        <v>3382</v>
      </c>
      <c r="H21" s="2572" t="s">
        <v>3397</v>
      </c>
      <c r="I21" s="2573" t="str">
        <f t="shared" si="0"/>
        <v/>
      </c>
      <c r="J21" s="2573" t="str">
        <f t="shared" si="1"/>
        <v>●</v>
      </c>
      <c r="K21" s="2573" t="str">
        <f t="shared" si="2"/>
        <v/>
      </c>
      <c r="L21" s="2574"/>
      <c r="M21" s="2737"/>
      <c r="N21" s="2575">
        <f t="shared" si="8"/>
        <v>2</v>
      </c>
      <c r="O21" s="2599"/>
      <c r="Q21" s="2576" t="s">
        <v>428</v>
      </c>
      <c r="R21" s="2576" t="s">
        <v>1465</v>
      </c>
      <c r="S21" s="2576" t="s">
        <v>1616</v>
      </c>
      <c r="T21" s="2576" t="s">
        <v>1721</v>
      </c>
      <c r="U21" s="2576" t="s">
        <v>1619</v>
      </c>
      <c r="V21" s="2576" t="s">
        <v>385</v>
      </c>
      <c r="W21" s="2576" t="s">
        <v>1620</v>
      </c>
      <c r="X21" s="2576" t="s">
        <v>383</v>
      </c>
      <c r="Y21" s="2576" t="s">
        <v>1722</v>
      </c>
      <c r="Z21" s="2618" t="str">
        <f t="shared" si="3"/>
        <v>対象</v>
      </c>
      <c r="AB21" s="2619"/>
      <c r="AC21" s="2605"/>
      <c r="AD21" s="2620">
        <f>スコア!$Z$10</f>
        <v>3</v>
      </c>
      <c r="AE21" s="2620">
        <f>スコア!$AB$10</f>
        <v>3</v>
      </c>
      <c r="AF21" s="2621">
        <f t="shared" si="4"/>
        <v>3</v>
      </c>
      <c r="AG21" s="2622">
        <f t="shared" si="5"/>
        <v>2</v>
      </c>
      <c r="AH21" s="2623"/>
      <c r="AI21" s="2622">
        <f t="shared" si="7"/>
        <v>2</v>
      </c>
      <c r="AJ21" s="2583">
        <f t="shared" si="10"/>
        <v>2</v>
      </c>
      <c r="AK21" s="2638" t="b">
        <v>0</v>
      </c>
      <c r="AL21" s="2625">
        <f t="shared" si="6"/>
        <v>2</v>
      </c>
      <c r="AM21" s="2637">
        <f>AVERAGEIFS(AL21,AL21,"&lt;&gt;0",AL21,"&lt;&gt;#DIV/0!")</f>
        <v>2</v>
      </c>
    </row>
    <row r="22" spans="1:39" ht="102" customHeight="1">
      <c r="A22" s="3814"/>
      <c r="B22" s="2568">
        <v>3.5</v>
      </c>
      <c r="C22" s="2570" t="s">
        <v>3880</v>
      </c>
      <c r="D22" s="2564" t="s">
        <v>3360</v>
      </c>
      <c r="E22" s="2565" t="s">
        <v>3361</v>
      </c>
      <c r="F22" s="2565" t="s">
        <v>4030</v>
      </c>
      <c r="G22" s="2571" t="s">
        <v>3382</v>
      </c>
      <c r="H22" s="2577" t="s">
        <v>3398</v>
      </c>
      <c r="I22" s="2567"/>
      <c r="J22" s="2567"/>
      <c r="K22" s="2567"/>
      <c r="L22" s="2578"/>
      <c r="M22" s="2737"/>
      <c r="N22" s="2575">
        <f t="shared" si="8"/>
        <v>3</v>
      </c>
      <c r="O22" s="2599"/>
      <c r="Q22" s="2576" t="s">
        <v>428</v>
      </c>
      <c r="R22" s="2576" t="s">
        <v>1465</v>
      </c>
      <c r="S22" s="2576" t="s">
        <v>1616</v>
      </c>
      <c r="T22" s="2576" t="s">
        <v>1721</v>
      </c>
      <c r="U22" s="2576" t="s">
        <v>1619</v>
      </c>
      <c r="V22" s="2576" t="s">
        <v>385</v>
      </c>
      <c r="W22" s="2576" t="s">
        <v>1620</v>
      </c>
      <c r="X22" s="2576" t="s">
        <v>383</v>
      </c>
      <c r="Y22" s="2576" t="s">
        <v>1722</v>
      </c>
      <c r="Z22" s="2618" t="str">
        <f t="shared" si="3"/>
        <v>対象</v>
      </c>
      <c r="AB22" s="2639">
        <v>3</v>
      </c>
      <c r="AC22" s="2605"/>
      <c r="AD22" s="2640"/>
      <c r="AE22" s="2640"/>
      <c r="AF22" s="2635"/>
      <c r="AG22" s="2635"/>
      <c r="AH22" s="2623"/>
      <c r="AI22" s="2622">
        <f t="shared" si="7"/>
        <v>3</v>
      </c>
      <c r="AJ22" s="2583">
        <f t="shared" si="10"/>
        <v>3</v>
      </c>
      <c r="AK22" s="2638" t="b">
        <v>0</v>
      </c>
      <c r="AL22" s="2625">
        <f t="shared" si="6"/>
        <v>3</v>
      </c>
      <c r="AM22" s="2641">
        <f>AVERAGEIFS(AL22,AL22,"&lt;&gt;0",AL22,"&lt;&gt;#DIV/0!")</f>
        <v>3</v>
      </c>
    </row>
    <row r="23" spans="1:39" ht="32.25" customHeight="1">
      <c r="A23" s="3814"/>
      <c r="B23" s="2568">
        <v>3.6</v>
      </c>
      <c r="C23" s="2569" t="s">
        <v>3881</v>
      </c>
      <c r="D23" s="2564" t="s">
        <v>3362</v>
      </c>
      <c r="E23" s="2565" t="s">
        <v>3363</v>
      </c>
      <c r="F23" s="2565" t="s">
        <v>3364</v>
      </c>
      <c r="G23" s="2571" t="s">
        <v>3382</v>
      </c>
      <c r="H23" s="2572" t="s">
        <v>3399</v>
      </c>
      <c r="I23" s="2573" t="str">
        <f>IF(AI23=1,"●","")</f>
        <v/>
      </c>
      <c r="J23" s="2573" t="str">
        <f>IF(AI23=2,"●","")</f>
        <v>●</v>
      </c>
      <c r="K23" s="2573" t="str">
        <f>IF(AI23=3,"●","")</f>
        <v/>
      </c>
      <c r="L23" s="2574"/>
      <c r="M23" s="2737"/>
      <c r="N23" s="2575">
        <f t="shared" si="8"/>
        <v>2</v>
      </c>
      <c r="O23" s="2599"/>
      <c r="Q23" s="2576" t="s">
        <v>428</v>
      </c>
      <c r="R23" s="2576" t="s">
        <v>1465</v>
      </c>
      <c r="S23" s="2576" t="s">
        <v>1616</v>
      </c>
      <c r="T23" s="2576" t="s">
        <v>1721</v>
      </c>
      <c r="U23" s="2576" t="s">
        <v>1619</v>
      </c>
      <c r="V23" s="2576" t="s">
        <v>385</v>
      </c>
      <c r="W23" s="2576" t="s">
        <v>1620</v>
      </c>
      <c r="X23" s="2576" t="s">
        <v>383</v>
      </c>
      <c r="Y23" s="2576" t="s">
        <v>1722</v>
      </c>
      <c r="Z23" s="2618" t="str">
        <f t="shared" si="3"/>
        <v>対象</v>
      </c>
      <c r="AB23" s="2619"/>
      <c r="AC23" s="2605"/>
      <c r="AD23" s="2620">
        <f>スコア!$Z$67</f>
        <v>3</v>
      </c>
      <c r="AE23" s="2620">
        <f>スコア!$AB$67</f>
        <v>0</v>
      </c>
      <c r="AF23" s="2621">
        <f>IF(AE23=0,AD23,IF(AD23=0,AE23,AD23*$AD$6+AE23*$AE$6))</f>
        <v>3</v>
      </c>
      <c r="AG23" s="2622">
        <f t="shared" si="5"/>
        <v>2</v>
      </c>
      <c r="AH23" s="2636"/>
      <c r="AI23" s="2622">
        <f t="shared" si="7"/>
        <v>2</v>
      </c>
      <c r="AJ23" s="2583">
        <f t="shared" si="10"/>
        <v>2</v>
      </c>
      <c r="AK23" s="2638" t="b">
        <v>0</v>
      </c>
      <c r="AL23" s="2625">
        <f t="shared" si="6"/>
        <v>2</v>
      </c>
      <c r="AM23" s="2641">
        <f>AVERAGEIFS(AL23,AL23,"&lt;&gt;0",AL23,"&lt;&gt;#DIV/0!")</f>
        <v>2</v>
      </c>
    </row>
    <row r="24" spans="1:39" ht="85.5" customHeight="1">
      <c r="A24" s="3814"/>
      <c r="B24" s="2568">
        <v>3.7</v>
      </c>
      <c r="C24" s="2569" t="s">
        <v>3365</v>
      </c>
      <c r="D24" s="2564" t="s">
        <v>3366</v>
      </c>
      <c r="E24" s="2565" t="s">
        <v>4014</v>
      </c>
      <c r="F24" s="2565" t="s">
        <v>4031</v>
      </c>
      <c r="G24" s="2571" t="s">
        <v>3400</v>
      </c>
      <c r="H24" s="2577" t="s">
        <v>3398</v>
      </c>
      <c r="I24" s="2579"/>
      <c r="J24" s="2567"/>
      <c r="K24" s="2579"/>
      <c r="L24" s="2578"/>
      <c r="M24" s="2737"/>
      <c r="N24" s="2575" t="str">
        <f t="shared" si="8"/>
        <v>対象外</v>
      </c>
      <c r="O24" s="2599"/>
      <c r="Q24" s="2576"/>
      <c r="R24" s="2576"/>
      <c r="S24" s="2576"/>
      <c r="T24" s="2576"/>
      <c r="U24" s="2576"/>
      <c r="V24" s="2576"/>
      <c r="W24" s="2576" t="s">
        <v>1620</v>
      </c>
      <c r="X24" s="2576"/>
      <c r="Y24" s="2576"/>
      <c r="Z24" s="2618" t="str">
        <f t="shared" si="3"/>
        <v>対象外</v>
      </c>
      <c r="AB24" s="2639">
        <v>1</v>
      </c>
      <c r="AC24" s="2605"/>
      <c r="AD24" s="2640"/>
      <c r="AE24" s="2640"/>
      <c r="AF24" s="2635"/>
      <c r="AG24" s="2635"/>
      <c r="AH24" s="2636"/>
      <c r="AI24" s="2622" t="str">
        <f>IF(Z24="対象外","#DIV/0!",IF(AG24="",AB24,IF(AB24="",AG24,0)))</f>
        <v>#DIV/0!</v>
      </c>
      <c r="AJ24" s="2642" t="e">
        <f>AVERAGEIFS(AI24,AI24,"&lt;&gt;0",AI24,"&lt;&gt;#DIV/0!")</f>
        <v>#DIV/0!</v>
      </c>
      <c r="AK24" s="2629" t="b">
        <v>0</v>
      </c>
      <c r="AL24" s="2625" t="e">
        <f>IF(AK24=FALSE,AJ24,IF(AJ24=1,2,3))</f>
        <v>#DIV/0!</v>
      </c>
      <c r="AM24" s="2643" t="e">
        <f>AVERAGEIFS(AL24,AL24,"&lt;&gt;0",AL24,"&lt;&gt;#DIV/0!")</f>
        <v>#DIV/0!</v>
      </c>
    </row>
    <row r="25" spans="1:39" ht="32.25" customHeight="1">
      <c r="A25" s="3814"/>
      <c r="B25" s="3771">
        <v>3.8</v>
      </c>
      <c r="C25" s="3747" t="s">
        <v>3882</v>
      </c>
      <c r="D25" s="3775" t="s">
        <v>3367</v>
      </c>
      <c r="E25" s="3765" t="s">
        <v>3368</v>
      </c>
      <c r="F25" s="2565" t="s">
        <v>3369</v>
      </c>
      <c r="G25" s="2571" t="s">
        <v>3382</v>
      </c>
      <c r="H25" s="2572" t="s">
        <v>3401</v>
      </c>
      <c r="I25" s="2573" t="str">
        <f>IF(AI25=1,"●","")</f>
        <v/>
      </c>
      <c r="J25" s="2573" t="str">
        <f>IF(AI25=2,"●","")</f>
        <v/>
      </c>
      <c r="K25" s="2573" t="str">
        <f>IF(AI25=3,"●","")</f>
        <v/>
      </c>
      <c r="L25" s="3761"/>
      <c r="M25" s="2625"/>
      <c r="N25" s="3738" t="str">
        <f>IF(AND(Z25="対象外",Z26="対象外",Z27="対象外"),"対象外",AL25)</f>
        <v>対象外</v>
      </c>
      <c r="O25" s="2599"/>
      <c r="Q25" s="2576" t="s">
        <v>428</v>
      </c>
      <c r="R25" s="2576" t="s">
        <v>1465</v>
      </c>
      <c r="S25" s="2576" t="s">
        <v>1616</v>
      </c>
      <c r="T25" s="2576" t="s">
        <v>1721</v>
      </c>
      <c r="U25" s="2576" t="s">
        <v>1619</v>
      </c>
      <c r="V25" s="2576" t="s">
        <v>385</v>
      </c>
      <c r="W25" s="2576" t="s">
        <v>1620</v>
      </c>
      <c r="X25" s="2576" t="s">
        <v>383</v>
      </c>
      <c r="Y25" s="2576" t="s">
        <v>1722</v>
      </c>
      <c r="Z25" s="2618" t="str">
        <f t="shared" si="3"/>
        <v>対象外</v>
      </c>
      <c r="AB25" s="3780"/>
      <c r="AD25" s="2644">
        <f>スコア!$Z$185</f>
        <v>0</v>
      </c>
      <c r="AE25" s="2645">
        <f>スコア!$AB$185</f>
        <v>0</v>
      </c>
      <c r="AF25" s="2621">
        <f>IF(AE25=0,AD25,IF(AD25=0,AE25,AD25*$AD$6+AE25*$AE$6))</f>
        <v>0</v>
      </c>
      <c r="AG25" s="2622" t="str">
        <f t="shared" si="5"/>
        <v>#DIV/0!</v>
      </c>
      <c r="AH25" s="2623"/>
      <c r="AI25" s="2647" t="str">
        <f t="shared" si="7"/>
        <v>#DIV/0!</v>
      </c>
      <c r="AJ25" s="2648" t="e">
        <f>AVERAGEIFS(AI25:AI27,AI25:AI27,"&lt;&gt;0",AI25:AI27,"&lt;&gt;#DIV/0!")</f>
        <v>#DIV/0!</v>
      </c>
      <c r="AK25" s="2649" t="b">
        <v>0</v>
      </c>
      <c r="AL25" s="2648" t="e">
        <f>IF(AK25=FALSE,AJ25,IF(AJ25=1,2,3))</f>
        <v>#DIV/0!</v>
      </c>
      <c r="AM25" s="2650">
        <f>AVERAGEIFS(AL25:AL32,AL25:AL32,"&lt;&gt;0",AL25:AL32,"&lt;&gt;#DIV/0!")</f>
        <v>2</v>
      </c>
    </row>
    <row r="26" spans="1:39" ht="32.25" customHeight="1">
      <c r="A26" s="3814"/>
      <c r="B26" s="3771"/>
      <c r="C26" s="3747"/>
      <c r="D26" s="3775"/>
      <c r="E26" s="3765"/>
      <c r="F26" s="2565" t="s">
        <v>3370</v>
      </c>
      <c r="G26" s="2571" t="s">
        <v>3382</v>
      </c>
      <c r="H26" s="2572" t="s">
        <v>3402</v>
      </c>
      <c r="I26" s="2573" t="str">
        <f t="shared" ref="I26:I32" si="11">IF(AI26=1,"●","")</f>
        <v/>
      </c>
      <c r="J26" s="2573" t="str">
        <f t="shared" ref="J26:J32" si="12">IF(AI26=2,"●","")</f>
        <v/>
      </c>
      <c r="K26" s="2573" t="str">
        <f t="shared" ref="K26:K32" si="13">IF(AI26=3,"●","")</f>
        <v/>
      </c>
      <c r="L26" s="3783"/>
      <c r="M26" s="2651"/>
      <c r="N26" s="3754"/>
      <c r="O26" s="2599"/>
      <c r="Q26" s="2576" t="s">
        <v>428</v>
      </c>
      <c r="R26" s="2576" t="s">
        <v>1465</v>
      </c>
      <c r="S26" s="2576" t="s">
        <v>1616</v>
      </c>
      <c r="T26" s="2576" t="s">
        <v>1721</v>
      </c>
      <c r="U26" s="2576" t="s">
        <v>1619</v>
      </c>
      <c r="V26" s="2576" t="s">
        <v>385</v>
      </c>
      <c r="W26" s="2576" t="s">
        <v>1620</v>
      </c>
      <c r="X26" s="2576" t="s">
        <v>383</v>
      </c>
      <c r="Y26" s="2576" t="s">
        <v>1722</v>
      </c>
      <c r="Z26" s="2618" t="str">
        <f t="shared" si="3"/>
        <v>対象外</v>
      </c>
      <c r="AB26" s="3781"/>
      <c r="AD26" s="2644">
        <f>スコア!$Z$186</f>
        <v>0</v>
      </c>
      <c r="AE26" s="2645">
        <f>スコア!$AB$186</f>
        <v>0</v>
      </c>
      <c r="AF26" s="2621">
        <f t="shared" ref="AF26:AF32" si="14">IF(AE26=0,AD26,IF(AD26=0,AE26,AD26*$AD$6+AE26*$AE$6))</f>
        <v>0</v>
      </c>
      <c r="AG26" s="2622" t="str">
        <f t="shared" si="5"/>
        <v>#DIV/0!</v>
      </c>
      <c r="AH26" s="2623"/>
      <c r="AI26" s="2647" t="str">
        <f t="shared" si="7"/>
        <v>#DIV/0!</v>
      </c>
      <c r="AJ26" s="2651"/>
      <c r="AK26" s="2652"/>
      <c r="AL26" s="2651"/>
      <c r="AM26" s="2653"/>
    </row>
    <row r="27" spans="1:39" ht="32.25" customHeight="1">
      <c r="A27" s="3814"/>
      <c r="B27" s="3771"/>
      <c r="C27" s="3747"/>
      <c r="D27" s="3775"/>
      <c r="E27" s="3765"/>
      <c r="F27" s="2565" t="s">
        <v>3371</v>
      </c>
      <c r="G27" s="2571" t="s">
        <v>3382</v>
      </c>
      <c r="H27" s="2572" t="s">
        <v>3403</v>
      </c>
      <c r="I27" s="2573" t="str">
        <f t="shared" si="11"/>
        <v/>
      </c>
      <c r="J27" s="2573" t="str">
        <f t="shared" si="12"/>
        <v/>
      </c>
      <c r="K27" s="2573" t="str">
        <f t="shared" si="13"/>
        <v/>
      </c>
      <c r="L27" s="3762"/>
      <c r="M27" s="2630"/>
      <c r="N27" s="3739"/>
      <c r="O27" s="2599"/>
      <c r="Q27" s="2576" t="s">
        <v>428</v>
      </c>
      <c r="R27" s="2576" t="s">
        <v>1465</v>
      </c>
      <c r="S27" s="2576" t="s">
        <v>1616</v>
      </c>
      <c r="T27" s="2576" t="s">
        <v>1721</v>
      </c>
      <c r="U27" s="2576" t="s">
        <v>1619</v>
      </c>
      <c r="V27" s="2576" t="s">
        <v>385</v>
      </c>
      <c r="W27" s="2576" t="s">
        <v>1620</v>
      </c>
      <c r="X27" s="2576" t="s">
        <v>383</v>
      </c>
      <c r="Y27" s="2576" t="s">
        <v>1722</v>
      </c>
      <c r="Z27" s="2618" t="str">
        <f t="shared" si="3"/>
        <v>対象外</v>
      </c>
      <c r="AB27" s="3782"/>
      <c r="AD27" s="2644">
        <f>スコア!$Z$187</f>
        <v>0</v>
      </c>
      <c r="AE27" s="2645">
        <f>スコア!$AB$187</f>
        <v>0</v>
      </c>
      <c r="AF27" s="2621">
        <f t="shared" si="14"/>
        <v>0</v>
      </c>
      <c r="AG27" s="2622" t="str">
        <f t="shared" si="5"/>
        <v>#DIV/0!</v>
      </c>
      <c r="AH27" s="2623"/>
      <c r="AI27" s="2647" t="str">
        <f t="shared" si="7"/>
        <v>#DIV/0!</v>
      </c>
      <c r="AJ27" s="2630"/>
      <c r="AK27" s="2654"/>
      <c r="AL27" s="2630"/>
      <c r="AM27" s="2653"/>
    </row>
    <row r="28" spans="1:39" ht="32.25" customHeight="1">
      <c r="A28" s="3814"/>
      <c r="B28" s="3771"/>
      <c r="C28" s="3747"/>
      <c r="D28" s="3775" t="s">
        <v>3372</v>
      </c>
      <c r="E28" s="3765" t="s">
        <v>3373</v>
      </c>
      <c r="F28" s="2565" t="s">
        <v>3374</v>
      </c>
      <c r="G28" s="2571" t="s">
        <v>3382</v>
      </c>
      <c r="H28" s="2572" t="s">
        <v>3404</v>
      </c>
      <c r="I28" s="2573" t="str">
        <f t="shared" si="11"/>
        <v/>
      </c>
      <c r="J28" s="2573" t="str">
        <f t="shared" si="12"/>
        <v>●</v>
      </c>
      <c r="K28" s="2573" t="str">
        <f t="shared" si="13"/>
        <v/>
      </c>
      <c r="L28" s="3761"/>
      <c r="M28" s="2625"/>
      <c r="N28" s="3738">
        <f>IF(AND(Z28="対象外",Z29="対象外"),"対象外",AL28)</f>
        <v>2</v>
      </c>
      <c r="O28" s="2599"/>
      <c r="Q28" s="2576" t="s">
        <v>428</v>
      </c>
      <c r="R28" s="2576" t="s">
        <v>1465</v>
      </c>
      <c r="S28" s="2576" t="s">
        <v>1616</v>
      </c>
      <c r="T28" s="2576" t="s">
        <v>1721</v>
      </c>
      <c r="U28" s="2576" t="s">
        <v>1619</v>
      </c>
      <c r="V28" s="2576" t="s">
        <v>385</v>
      </c>
      <c r="W28" s="2576" t="s">
        <v>1620</v>
      </c>
      <c r="X28" s="2576" t="s">
        <v>383</v>
      </c>
      <c r="Y28" s="2576" t="s">
        <v>1722</v>
      </c>
      <c r="Z28" s="2618" t="str">
        <f t="shared" si="3"/>
        <v>対象</v>
      </c>
      <c r="AB28" s="3780"/>
      <c r="AD28" s="2644">
        <f>スコア!$Z$189</f>
        <v>3</v>
      </c>
      <c r="AE28" s="2645">
        <f>スコア!$AB$189</f>
        <v>0</v>
      </c>
      <c r="AF28" s="2621">
        <f t="shared" si="14"/>
        <v>3</v>
      </c>
      <c r="AG28" s="2622">
        <f t="shared" si="5"/>
        <v>2</v>
      </c>
      <c r="AH28" s="2623"/>
      <c r="AI28" s="2647">
        <f t="shared" si="7"/>
        <v>2</v>
      </c>
      <c r="AJ28" s="2648">
        <f>AVERAGEIFS(AI28:AI29,AI28:AI29,"&lt;&gt;0",AI28:AI29,"&lt;&gt;#DIV/0!")</f>
        <v>2</v>
      </c>
      <c r="AK28" s="2649" t="b">
        <v>0</v>
      </c>
      <c r="AL28" s="2625">
        <f>IF(AK28=FALSE,AJ28,IF(AJ28=1,2,3))</f>
        <v>2</v>
      </c>
      <c r="AM28" s="2653"/>
    </row>
    <row r="29" spans="1:39" ht="32.25" customHeight="1">
      <c r="A29" s="3814"/>
      <c r="B29" s="3771"/>
      <c r="C29" s="3747"/>
      <c r="D29" s="3775"/>
      <c r="E29" s="3765"/>
      <c r="F29" s="2565" t="s">
        <v>3375</v>
      </c>
      <c r="G29" s="2571" t="s">
        <v>3382</v>
      </c>
      <c r="H29" s="2572" t="s">
        <v>3405</v>
      </c>
      <c r="I29" s="2573" t="str">
        <f t="shared" si="11"/>
        <v/>
      </c>
      <c r="J29" s="2573" t="str">
        <f t="shared" si="12"/>
        <v>●</v>
      </c>
      <c r="K29" s="2573" t="str">
        <f t="shared" si="13"/>
        <v/>
      </c>
      <c r="L29" s="3762"/>
      <c r="M29" s="2630"/>
      <c r="N29" s="3739"/>
      <c r="O29" s="2599"/>
      <c r="Q29" s="2576" t="s">
        <v>428</v>
      </c>
      <c r="R29" s="2576" t="s">
        <v>1465</v>
      </c>
      <c r="S29" s="2576" t="s">
        <v>1616</v>
      </c>
      <c r="T29" s="2576" t="s">
        <v>1721</v>
      </c>
      <c r="U29" s="2576" t="s">
        <v>1619</v>
      </c>
      <c r="V29" s="2576" t="s">
        <v>385</v>
      </c>
      <c r="W29" s="2576" t="s">
        <v>1620</v>
      </c>
      <c r="X29" s="2576" t="s">
        <v>383</v>
      </c>
      <c r="Y29" s="2576" t="s">
        <v>1722</v>
      </c>
      <c r="Z29" s="2618" t="str">
        <f t="shared" si="3"/>
        <v>対象</v>
      </c>
      <c r="AB29" s="3782"/>
      <c r="AD29" s="2620">
        <f>スコア!$Z$191</f>
        <v>3</v>
      </c>
      <c r="AE29" s="2620">
        <f>スコア!$AB$191</f>
        <v>0</v>
      </c>
      <c r="AF29" s="2621">
        <f t="shared" si="14"/>
        <v>3</v>
      </c>
      <c r="AG29" s="2622">
        <f t="shared" si="5"/>
        <v>2</v>
      </c>
      <c r="AH29" s="2623"/>
      <c r="AI29" s="2647">
        <f t="shared" si="7"/>
        <v>2</v>
      </c>
      <c r="AJ29" s="2630"/>
      <c r="AK29" s="2654"/>
      <c r="AL29" s="2630"/>
      <c r="AM29" s="2653"/>
    </row>
    <row r="30" spans="1:39" ht="32.25" customHeight="1">
      <c r="A30" s="3814"/>
      <c r="B30" s="3771"/>
      <c r="C30" s="3747"/>
      <c r="D30" s="2564" t="s">
        <v>3376</v>
      </c>
      <c r="E30" s="2567" t="s">
        <v>3377</v>
      </c>
      <c r="F30" s="2565" t="s">
        <v>4092</v>
      </c>
      <c r="G30" s="2571" t="s">
        <v>3382</v>
      </c>
      <c r="H30" s="2572" t="s">
        <v>3406</v>
      </c>
      <c r="I30" s="2573" t="str">
        <f t="shared" si="11"/>
        <v/>
      </c>
      <c r="J30" s="2573" t="str">
        <f t="shared" si="12"/>
        <v>●</v>
      </c>
      <c r="K30" s="2573" t="str">
        <f t="shared" si="13"/>
        <v/>
      </c>
      <c r="L30" s="2574"/>
      <c r="M30" s="2737"/>
      <c r="N30" s="2575">
        <f t="shared" ref="N30:N96" si="15">IF(Z30="対象外","対象外",AL30)</f>
        <v>2</v>
      </c>
      <c r="O30" s="2599"/>
      <c r="Q30" s="2576" t="s">
        <v>428</v>
      </c>
      <c r="R30" s="2576" t="s">
        <v>1465</v>
      </c>
      <c r="S30" s="2576" t="s">
        <v>1616</v>
      </c>
      <c r="T30" s="2576" t="s">
        <v>1721</v>
      </c>
      <c r="U30" s="2576" t="s">
        <v>1619</v>
      </c>
      <c r="V30" s="2576" t="s">
        <v>385</v>
      </c>
      <c r="W30" s="2576" t="s">
        <v>1620</v>
      </c>
      <c r="X30" s="2576" t="s">
        <v>383</v>
      </c>
      <c r="Y30" s="2576" t="s">
        <v>1722</v>
      </c>
      <c r="Z30" s="2618" t="str">
        <f t="shared" si="3"/>
        <v>対象</v>
      </c>
      <c r="AB30" s="2619"/>
      <c r="AC30" s="2605"/>
      <c r="AD30" s="2655">
        <f>スコア!$Z$192</f>
        <v>2.9999999999999996</v>
      </c>
      <c r="AE30" s="2655">
        <f>スコア!$AB$192</f>
        <v>0</v>
      </c>
      <c r="AF30" s="2621">
        <f t="shared" si="14"/>
        <v>2.9999999999999996</v>
      </c>
      <c r="AG30" s="2622">
        <f t="shared" si="5"/>
        <v>2</v>
      </c>
      <c r="AH30" s="2623"/>
      <c r="AI30" s="2622">
        <f t="shared" si="7"/>
        <v>2</v>
      </c>
      <c r="AJ30" s="2656">
        <f t="shared" si="10"/>
        <v>2</v>
      </c>
      <c r="AK30" s="2657" t="b">
        <v>0</v>
      </c>
      <c r="AL30" s="2651">
        <f t="shared" si="6"/>
        <v>2</v>
      </c>
      <c r="AM30" s="2634"/>
    </row>
    <row r="31" spans="1:39" ht="32.25" customHeight="1">
      <c r="A31" s="3814"/>
      <c r="B31" s="3771"/>
      <c r="C31" s="3747"/>
      <c r="D31" s="2564" t="s">
        <v>3378</v>
      </c>
      <c r="E31" s="2565" t="s">
        <v>3883</v>
      </c>
      <c r="F31" s="2565" t="s">
        <v>3379</v>
      </c>
      <c r="G31" s="2571" t="s">
        <v>3382</v>
      </c>
      <c r="H31" s="2572" t="s">
        <v>3407</v>
      </c>
      <c r="I31" s="2573" t="str">
        <f t="shared" si="11"/>
        <v/>
      </c>
      <c r="J31" s="2573" t="str">
        <f t="shared" si="12"/>
        <v>●</v>
      </c>
      <c r="K31" s="2573" t="str">
        <f t="shared" si="13"/>
        <v/>
      </c>
      <c r="L31" s="2574"/>
      <c r="M31" s="2737"/>
      <c r="N31" s="2575">
        <f t="shared" si="15"/>
        <v>2</v>
      </c>
      <c r="O31" s="2599"/>
      <c r="Q31" s="2576" t="s">
        <v>428</v>
      </c>
      <c r="R31" s="2576" t="s">
        <v>1465</v>
      </c>
      <c r="S31" s="2576" t="s">
        <v>1616</v>
      </c>
      <c r="T31" s="2576" t="s">
        <v>1721</v>
      </c>
      <c r="U31" s="2576" t="s">
        <v>1619</v>
      </c>
      <c r="V31" s="2576" t="s">
        <v>385</v>
      </c>
      <c r="W31" s="2576" t="s">
        <v>1620</v>
      </c>
      <c r="X31" s="2576" t="s">
        <v>383</v>
      </c>
      <c r="Y31" s="2576" t="s">
        <v>1722</v>
      </c>
      <c r="Z31" s="2618" t="str">
        <f t="shared" si="3"/>
        <v>対象</v>
      </c>
      <c r="AB31" s="2619"/>
      <c r="AC31" s="2605"/>
      <c r="AD31" s="2620">
        <f>スコア!$Z$176</f>
        <v>3</v>
      </c>
      <c r="AE31" s="2620">
        <f>スコア!$AB$176</f>
        <v>0</v>
      </c>
      <c r="AF31" s="2621">
        <f t="shared" si="14"/>
        <v>3</v>
      </c>
      <c r="AG31" s="2622">
        <f t="shared" si="5"/>
        <v>2</v>
      </c>
      <c r="AH31" s="2623"/>
      <c r="AI31" s="2622">
        <f t="shared" si="7"/>
        <v>2</v>
      </c>
      <c r="AJ31" s="2583">
        <f t="shared" si="10"/>
        <v>2</v>
      </c>
      <c r="AK31" s="2633" t="b">
        <v>0</v>
      </c>
      <c r="AL31" s="2625">
        <f t="shared" si="6"/>
        <v>2</v>
      </c>
      <c r="AM31" s="2634"/>
    </row>
    <row r="32" spans="1:39" ht="32.25" customHeight="1">
      <c r="A32" s="3814"/>
      <c r="B32" s="3771"/>
      <c r="C32" s="3747"/>
      <c r="D32" s="2564" t="s">
        <v>3380</v>
      </c>
      <c r="E32" s="2567" t="s">
        <v>3381</v>
      </c>
      <c r="F32" s="2565" t="s">
        <v>4033</v>
      </c>
      <c r="G32" s="2571" t="s">
        <v>3382</v>
      </c>
      <c r="H32" s="2572" t="s">
        <v>3408</v>
      </c>
      <c r="I32" s="2573" t="str">
        <f t="shared" si="11"/>
        <v/>
      </c>
      <c r="J32" s="2573" t="str">
        <f t="shared" si="12"/>
        <v>●</v>
      </c>
      <c r="K32" s="2573" t="str">
        <f t="shared" si="13"/>
        <v/>
      </c>
      <c r="L32" s="2574"/>
      <c r="M32" s="2737"/>
      <c r="N32" s="2575">
        <f t="shared" si="15"/>
        <v>2</v>
      </c>
      <c r="O32" s="2599"/>
      <c r="Q32" s="2576" t="s">
        <v>428</v>
      </c>
      <c r="R32" s="2576" t="s">
        <v>1465</v>
      </c>
      <c r="S32" s="2576" t="s">
        <v>1616</v>
      </c>
      <c r="T32" s="2576" t="s">
        <v>1721</v>
      </c>
      <c r="U32" s="2576" t="s">
        <v>1619</v>
      </c>
      <c r="V32" s="2576" t="s">
        <v>385</v>
      </c>
      <c r="W32" s="2576" t="s">
        <v>1620</v>
      </c>
      <c r="X32" s="2576" t="s">
        <v>383</v>
      </c>
      <c r="Y32" s="2576" t="s">
        <v>1722</v>
      </c>
      <c r="Z32" s="2618" t="str">
        <f t="shared" si="3"/>
        <v>対象</v>
      </c>
      <c r="AB32" s="2619"/>
      <c r="AC32" s="2605"/>
      <c r="AD32" s="2620">
        <f>スコア!$Z$167</f>
        <v>3</v>
      </c>
      <c r="AE32" s="2620">
        <f>スコア!$AB$167</f>
        <v>0</v>
      </c>
      <c r="AF32" s="2621">
        <f t="shared" si="14"/>
        <v>3</v>
      </c>
      <c r="AG32" s="2622">
        <f t="shared" si="5"/>
        <v>2</v>
      </c>
      <c r="AH32" s="2623"/>
      <c r="AI32" s="2622">
        <f t="shared" si="7"/>
        <v>2</v>
      </c>
      <c r="AJ32" s="2583">
        <f t="shared" si="10"/>
        <v>2</v>
      </c>
      <c r="AK32" s="2633" t="b">
        <v>0</v>
      </c>
      <c r="AL32" s="2625">
        <f t="shared" si="6"/>
        <v>2</v>
      </c>
      <c r="AM32" s="2658"/>
    </row>
    <row r="33" spans="1:39" ht="112.5" customHeight="1">
      <c r="A33" s="3810" t="s">
        <v>3542</v>
      </c>
      <c r="B33" s="2568">
        <v>4.0999999999999996</v>
      </c>
      <c r="C33" s="2569" t="s">
        <v>3409</v>
      </c>
      <c r="D33" s="2564" t="s">
        <v>1316</v>
      </c>
      <c r="E33" s="2567" t="s">
        <v>3410</v>
      </c>
      <c r="F33" s="2567" t="s">
        <v>3411</v>
      </c>
      <c r="G33" s="2571" t="s">
        <v>384</v>
      </c>
      <c r="H33" s="2577" t="s">
        <v>3398</v>
      </c>
      <c r="I33" s="2579"/>
      <c r="J33" s="2579"/>
      <c r="K33" s="2579"/>
      <c r="L33" s="2578"/>
      <c r="M33" s="2737"/>
      <c r="N33" s="2575">
        <f t="shared" si="15"/>
        <v>1</v>
      </c>
      <c r="O33" s="2599"/>
      <c r="Q33" s="2576"/>
      <c r="R33" s="2576"/>
      <c r="S33" s="2576"/>
      <c r="T33" s="2576"/>
      <c r="U33" s="2576"/>
      <c r="V33" s="2576"/>
      <c r="W33" s="2576"/>
      <c r="X33" s="2576"/>
      <c r="Y33" s="2576" t="s">
        <v>1722</v>
      </c>
      <c r="Z33" s="2618" t="str">
        <f t="shared" si="3"/>
        <v>対象</v>
      </c>
      <c r="AB33" s="2639">
        <v>1</v>
      </c>
      <c r="AC33" s="2605"/>
      <c r="AD33" s="2635"/>
      <c r="AE33" s="2635"/>
      <c r="AF33" s="2635"/>
      <c r="AG33" s="2635"/>
      <c r="AH33" s="2636"/>
      <c r="AI33" s="2622">
        <f t="shared" si="7"/>
        <v>1</v>
      </c>
      <c r="AJ33" s="2583">
        <f t="shared" si="10"/>
        <v>1</v>
      </c>
      <c r="AK33" s="2638" t="b">
        <v>0</v>
      </c>
      <c r="AL33" s="2625">
        <f t="shared" si="6"/>
        <v>1</v>
      </c>
      <c r="AM33" s="2659">
        <f>AVERAGEIFS(AL33,AL33,"&lt;&gt;0",AL33,"&lt;&gt;#DIV/0!")</f>
        <v>1</v>
      </c>
    </row>
    <row r="34" spans="1:39" ht="23.25" customHeight="1">
      <c r="A34" s="3810"/>
      <c r="B34" s="3775">
        <v>4.2</v>
      </c>
      <c r="C34" s="3765" t="s">
        <v>3412</v>
      </c>
      <c r="D34" s="2564" t="s">
        <v>1318</v>
      </c>
      <c r="E34" s="2565" t="s">
        <v>3334</v>
      </c>
      <c r="F34" s="2565" t="s">
        <v>3413</v>
      </c>
      <c r="G34" s="2571" t="s">
        <v>3382</v>
      </c>
      <c r="H34" s="2572" t="s">
        <v>3383</v>
      </c>
      <c r="I34" s="2573" t="str">
        <f t="shared" ref="I34:I39" si="16">IF(AI34=1,"●","")</f>
        <v/>
      </c>
      <c r="J34" s="2573" t="str">
        <f t="shared" ref="J34:J39" si="17">IF(AI34=2,"●","")</f>
        <v/>
      </c>
      <c r="K34" s="2573" t="str">
        <f t="shared" ref="K34:K39" si="18">IF(AI34=3,"●","")</f>
        <v/>
      </c>
      <c r="L34" s="2580" t="str">
        <f>IF(L9="","（3.1.1の採点により自動転記）",L9)</f>
        <v>（3.1.1の採点により自動転記）</v>
      </c>
      <c r="M34" s="2737"/>
      <c r="N34" s="2575" t="str">
        <f t="shared" si="15"/>
        <v>対象外</v>
      </c>
      <c r="O34" s="2599"/>
      <c r="Q34" s="2576" t="s">
        <v>428</v>
      </c>
      <c r="R34" s="2576" t="s">
        <v>1465</v>
      </c>
      <c r="S34" s="2576" t="s">
        <v>1616</v>
      </c>
      <c r="T34" s="2576" t="s">
        <v>1721</v>
      </c>
      <c r="U34" s="2576" t="s">
        <v>1619</v>
      </c>
      <c r="V34" s="2576" t="s">
        <v>385</v>
      </c>
      <c r="W34" s="2576" t="s">
        <v>1620</v>
      </c>
      <c r="X34" s="2576" t="s">
        <v>383</v>
      </c>
      <c r="Y34" s="2576" t="s">
        <v>1722</v>
      </c>
      <c r="Z34" s="2618" t="str">
        <f t="shared" si="3"/>
        <v>対象外</v>
      </c>
      <c r="AB34" s="2619"/>
      <c r="AC34" s="2605"/>
      <c r="AD34" s="2620">
        <f>スコア!$Z$22</f>
        <v>0</v>
      </c>
      <c r="AE34" s="2620">
        <f>スコア!$AB$22</f>
        <v>0</v>
      </c>
      <c r="AF34" s="2621">
        <f t="shared" ref="AF34:AF39" si="19">IF(AE34=0,AD34,IF(AD34=0,AE34,AD34*$AD$6+AE34*$AE$6))</f>
        <v>0</v>
      </c>
      <c r="AG34" s="2622" t="str">
        <f t="shared" si="5"/>
        <v>#DIV/0!</v>
      </c>
      <c r="AH34" s="2623"/>
      <c r="AI34" s="2622" t="str">
        <f t="shared" si="7"/>
        <v>#DIV/0!</v>
      </c>
      <c r="AJ34" s="2583" t="e">
        <f t="shared" si="10"/>
        <v>#DIV/0!</v>
      </c>
      <c r="AK34" s="2633" t="b">
        <v>0</v>
      </c>
      <c r="AL34" s="2625" t="e">
        <f t="shared" si="6"/>
        <v>#DIV/0!</v>
      </c>
      <c r="AM34" s="2660">
        <f>AVERAGEIFS(AL34:AL39,AL34:AL39,"&lt;&gt;0",AL34:AL39,"&lt;&gt;#DIV/0!")</f>
        <v>2</v>
      </c>
    </row>
    <row r="35" spans="1:39" ht="23.25" customHeight="1">
      <c r="A35" s="3810"/>
      <c r="B35" s="3775"/>
      <c r="C35" s="3765"/>
      <c r="D35" s="2564" t="s">
        <v>1319</v>
      </c>
      <c r="E35" s="2565" t="s">
        <v>3337</v>
      </c>
      <c r="F35" s="2565" t="s">
        <v>3338</v>
      </c>
      <c r="G35" s="2571" t="s">
        <v>3382</v>
      </c>
      <c r="H35" s="2572" t="s">
        <v>3384</v>
      </c>
      <c r="I35" s="2573" t="str">
        <f t="shared" si="16"/>
        <v/>
      </c>
      <c r="J35" s="2573" t="str">
        <f t="shared" si="17"/>
        <v>●</v>
      </c>
      <c r="K35" s="2573" t="str">
        <f t="shared" si="18"/>
        <v/>
      </c>
      <c r="L35" s="2580" t="str">
        <f>IF(L10="","（3.1.2の採点により自動転記）",L10)</f>
        <v>（3.1.2の採点により自動転記）</v>
      </c>
      <c r="M35" s="2737"/>
      <c r="N35" s="2575">
        <f t="shared" si="15"/>
        <v>2</v>
      </c>
      <c r="O35" s="2599"/>
      <c r="Q35" s="2576" t="s">
        <v>428</v>
      </c>
      <c r="R35" s="2576" t="s">
        <v>1465</v>
      </c>
      <c r="S35" s="2576" t="s">
        <v>1616</v>
      </c>
      <c r="T35" s="2576" t="s">
        <v>1721</v>
      </c>
      <c r="U35" s="2576" t="s">
        <v>1619</v>
      </c>
      <c r="V35" s="2576" t="s">
        <v>385</v>
      </c>
      <c r="W35" s="2576" t="s">
        <v>1620</v>
      </c>
      <c r="X35" s="2576" t="s">
        <v>383</v>
      </c>
      <c r="Y35" s="2576" t="s">
        <v>1722</v>
      </c>
      <c r="Z35" s="2618" t="str">
        <f t="shared" si="3"/>
        <v>対象</v>
      </c>
      <c r="AB35" s="2619"/>
      <c r="AC35" s="2605"/>
      <c r="AD35" s="2620">
        <f>スコア!$Z$24</f>
        <v>3</v>
      </c>
      <c r="AE35" s="2620">
        <f>スコア!$AB$24</f>
        <v>3</v>
      </c>
      <c r="AF35" s="2621">
        <f t="shared" si="19"/>
        <v>3</v>
      </c>
      <c r="AG35" s="2622">
        <f t="shared" si="5"/>
        <v>2</v>
      </c>
      <c r="AH35" s="2623"/>
      <c r="AI35" s="2622">
        <f t="shared" si="7"/>
        <v>2</v>
      </c>
      <c r="AJ35" s="2583">
        <f t="shared" si="10"/>
        <v>2</v>
      </c>
      <c r="AK35" s="2633" t="b">
        <v>0</v>
      </c>
      <c r="AL35" s="2625">
        <f t="shared" si="6"/>
        <v>2</v>
      </c>
      <c r="AM35" s="2659"/>
    </row>
    <row r="36" spans="1:39" ht="31.5">
      <c r="A36" s="3810"/>
      <c r="B36" s="3775"/>
      <c r="C36" s="3765"/>
      <c r="D36" s="2564" t="s">
        <v>2253</v>
      </c>
      <c r="E36" s="2565" t="s">
        <v>4016</v>
      </c>
      <c r="F36" s="2565" t="s">
        <v>3344</v>
      </c>
      <c r="G36" s="2571" t="s">
        <v>3382</v>
      </c>
      <c r="H36" s="2572" t="s">
        <v>3388</v>
      </c>
      <c r="I36" s="2573" t="str">
        <f t="shared" si="16"/>
        <v/>
      </c>
      <c r="J36" s="2573" t="str">
        <f t="shared" si="17"/>
        <v>●</v>
      </c>
      <c r="K36" s="2573" t="str">
        <f t="shared" si="18"/>
        <v/>
      </c>
      <c r="L36" s="2580" t="str">
        <f>IF(L18="","（3.3.1の採点により自動転記）",L18)</f>
        <v>（3.3.1の採点により自動転記）</v>
      </c>
      <c r="M36" s="2737"/>
      <c r="N36" s="2575">
        <f t="shared" si="15"/>
        <v>2</v>
      </c>
      <c r="O36" s="2599"/>
      <c r="Q36" s="2576" t="s">
        <v>428</v>
      </c>
      <c r="R36" s="2576" t="s">
        <v>1465</v>
      </c>
      <c r="S36" s="2576" t="s">
        <v>1616</v>
      </c>
      <c r="T36" s="2576" t="s">
        <v>1721</v>
      </c>
      <c r="U36" s="2576" t="s">
        <v>1619</v>
      </c>
      <c r="V36" s="2576" t="s">
        <v>385</v>
      </c>
      <c r="W36" s="2576" t="s">
        <v>1620</v>
      </c>
      <c r="X36" s="2576" t="s">
        <v>383</v>
      </c>
      <c r="Y36" s="2576" t="s">
        <v>1722</v>
      </c>
      <c r="Z36" s="2618" t="str">
        <f t="shared" si="3"/>
        <v>対象</v>
      </c>
      <c r="AB36" s="2619"/>
      <c r="AC36" s="2605"/>
      <c r="AD36" s="2620">
        <f>スコア!$Z$39</f>
        <v>3</v>
      </c>
      <c r="AE36" s="2620">
        <f>スコア!$AB$39</f>
        <v>3</v>
      </c>
      <c r="AF36" s="2621">
        <f t="shared" si="19"/>
        <v>3</v>
      </c>
      <c r="AG36" s="2622">
        <f t="shared" si="5"/>
        <v>2</v>
      </c>
      <c r="AH36" s="2623"/>
      <c r="AI36" s="2622">
        <f t="shared" si="7"/>
        <v>2</v>
      </c>
      <c r="AJ36" s="2583">
        <f t="shared" si="10"/>
        <v>2</v>
      </c>
      <c r="AK36" s="2633" t="b">
        <v>0</v>
      </c>
      <c r="AL36" s="2625">
        <f t="shared" si="6"/>
        <v>2</v>
      </c>
      <c r="AM36" s="2659"/>
    </row>
    <row r="37" spans="1:39" ht="27.75" customHeight="1">
      <c r="A37" s="3810"/>
      <c r="B37" s="3775"/>
      <c r="C37" s="3765"/>
      <c r="D37" s="2564" t="s">
        <v>2254</v>
      </c>
      <c r="E37" s="2565" t="s">
        <v>3349</v>
      </c>
      <c r="F37" s="2565" t="s">
        <v>3350</v>
      </c>
      <c r="G37" s="2571" t="s">
        <v>3382</v>
      </c>
      <c r="H37" s="2572" t="s">
        <v>3414</v>
      </c>
      <c r="I37" s="2573" t="str">
        <f t="shared" si="16"/>
        <v/>
      </c>
      <c r="J37" s="2573" t="str">
        <f t="shared" si="17"/>
        <v>●</v>
      </c>
      <c r="K37" s="2573" t="str">
        <f t="shared" si="18"/>
        <v/>
      </c>
      <c r="L37" s="2580" t="str">
        <f>IF(L13="","（3.2.1の採点により自動転記）",L13)</f>
        <v>（3.2.1の採点により自動転記）</v>
      </c>
      <c r="M37" s="2737"/>
      <c r="N37" s="2575">
        <f t="shared" si="15"/>
        <v>2</v>
      </c>
      <c r="O37" s="2599"/>
      <c r="Q37" s="2576" t="s">
        <v>428</v>
      </c>
      <c r="R37" s="2576" t="s">
        <v>1465</v>
      </c>
      <c r="S37" s="2576" t="s">
        <v>1616</v>
      </c>
      <c r="T37" s="2576" t="s">
        <v>1721</v>
      </c>
      <c r="U37" s="2576" t="s">
        <v>1619</v>
      </c>
      <c r="V37" s="2576" t="s">
        <v>385</v>
      </c>
      <c r="W37" s="2576" t="s">
        <v>1620</v>
      </c>
      <c r="X37" s="2576" t="s">
        <v>383</v>
      </c>
      <c r="Y37" s="2576" t="s">
        <v>1722</v>
      </c>
      <c r="Z37" s="2618" t="str">
        <f t="shared" si="3"/>
        <v>対象</v>
      </c>
      <c r="AB37" s="2619"/>
      <c r="AC37" s="2605"/>
      <c r="AD37" s="2620">
        <f>スコア!$Z$54</f>
        <v>3</v>
      </c>
      <c r="AE37" s="2620">
        <f>スコア!$AB$54</f>
        <v>3</v>
      </c>
      <c r="AF37" s="2621">
        <f t="shared" si="19"/>
        <v>3</v>
      </c>
      <c r="AG37" s="2622">
        <f t="shared" si="5"/>
        <v>2</v>
      </c>
      <c r="AH37" s="2623"/>
      <c r="AI37" s="2622">
        <f t="shared" si="7"/>
        <v>2</v>
      </c>
      <c r="AJ37" s="2583">
        <f t="shared" si="10"/>
        <v>2</v>
      </c>
      <c r="AK37" s="2633" t="b">
        <v>0</v>
      </c>
      <c r="AL37" s="2625">
        <f t="shared" si="6"/>
        <v>2</v>
      </c>
      <c r="AM37" s="2659"/>
    </row>
    <row r="38" spans="1:39" ht="27.75" customHeight="1">
      <c r="A38" s="3810"/>
      <c r="B38" s="3775"/>
      <c r="C38" s="3765"/>
      <c r="D38" s="2564" t="s">
        <v>3415</v>
      </c>
      <c r="E38" s="2565" t="s">
        <v>3353</v>
      </c>
      <c r="F38" s="2565" t="s">
        <v>3748</v>
      </c>
      <c r="G38" s="2571" t="s">
        <v>3382</v>
      </c>
      <c r="H38" s="2572" t="s">
        <v>3394</v>
      </c>
      <c r="I38" s="2573" t="str">
        <f t="shared" si="16"/>
        <v/>
      </c>
      <c r="J38" s="2573" t="str">
        <f t="shared" si="17"/>
        <v>●</v>
      </c>
      <c r="K38" s="2573" t="str">
        <f t="shared" si="18"/>
        <v/>
      </c>
      <c r="L38" s="2580" t="str">
        <f>IF(L15="","（3.2.3の採点により自動転記）",L15)</f>
        <v>（3.2.3の採点により自動転記）</v>
      </c>
      <c r="M38" s="2737"/>
      <c r="N38" s="2575">
        <f t="shared" si="15"/>
        <v>2</v>
      </c>
      <c r="O38" s="2599"/>
      <c r="Q38" s="2576" t="s">
        <v>428</v>
      </c>
      <c r="R38" s="2576" t="s">
        <v>1465</v>
      </c>
      <c r="S38" s="2576" t="s">
        <v>1616</v>
      </c>
      <c r="T38" s="2576" t="s">
        <v>1721</v>
      </c>
      <c r="U38" s="2576" t="s">
        <v>1619</v>
      </c>
      <c r="V38" s="2576" t="s">
        <v>385</v>
      </c>
      <c r="W38" s="2576" t="s">
        <v>1620</v>
      </c>
      <c r="X38" s="2576" t="s">
        <v>383</v>
      </c>
      <c r="Y38" s="2576" t="s">
        <v>1722</v>
      </c>
      <c r="Z38" s="2618" t="str">
        <f t="shared" si="3"/>
        <v>対象</v>
      </c>
      <c r="AB38" s="2619"/>
      <c r="AC38" s="2605"/>
      <c r="AD38" s="2620">
        <f>スコア!$Z$50</f>
        <v>3</v>
      </c>
      <c r="AE38" s="2620">
        <f>スコア!$AB$50</f>
        <v>3</v>
      </c>
      <c r="AF38" s="2621">
        <f t="shared" si="19"/>
        <v>3</v>
      </c>
      <c r="AG38" s="2622">
        <f t="shared" si="5"/>
        <v>2</v>
      </c>
      <c r="AH38" s="2623"/>
      <c r="AI38" s="2622">
        <f t="shared" si="7"/>
        <v>2</v>
      </c>
      <c r="AJ38" s="2583">
        <f t="shared" si="10"/>
        <v>2</v>
      </c>
      <c r="AK38" s="2633" t="b">
        <v>0</v>
      </c>
      <c r="AL38" s="2625">
        <f t="shared" si="6"/>
        <v>2</v>
      </c>
      <c r="AM38" s="2659"/>
    </row>
    <row r="39" spans="1:39" ht="27.75" customHeight="1">
      <c r="A39" s="3810"/>
      <c r="B39" s="3775"/>
      <c r="C39" s="3765"/>
      <c r="D39" s="2564" t="s">
        <v>3416</v>
      </c>
      <c r="E39" s="2565" t="s">
        <v>3359</v>
      </c>
      <c r="F39" s="2565" t="s">
        <v>4029</v>
      </c>
      <c r="G39" s="2571" t="s">
        <v>3382</v>
      </c>
      <c r="H39" s="2572" t="s">
        <v>3397</v>
      </c>
      <c r="I39" s="2573" t="str">
        <f t="shared" si="16"/>
        <v/>
      </c>
      <c r="J39" s="2573" t="str">
        <f t="shared" si="17"/>
        <v>●</v>
      </c>
      <c r="K39" s="2573" t="str">
        <f t="shared" si="18"/>
        <v/>
      </c>
      <c r="L39" s="2580" t="str">
        <f>IF(L21="","（3.4.1の採点により自動転記）",L21)</f>
        <v>（3.4.1の採点により自動転記）</v>
      </c>
      <c r="M39" s="2737"/>
      <c r="N39" s="2575">
        <f t="shared" si="15"/>
        <v>2</v>
      </c>
      <c r="O39" s="2599"/>
      <c r="Q39" s="2576" t="s">
        <v>428</v>
      </c>
      <c r="R39" s="2576" t="s">
        <v>1465</v>
      </c>
      <c r="S39" s="2576" t="s">
        <v>1616</v>
      </c>
      <c r="T39" s="2576" t="s">
        <v>1721</v>
      </c>
      <c r="U39" s="2576" t="s">
        <v>1619</v>
      </c>
      <c r="V39" s="2576" t="s">
        <v>385</v>
      </c>
      <c r="W39" s="2576" t="s">
        <v>1620</v>
      </c>
      <c r="X39" s="2576" t="s">
        <v>383</v>
      </c>
      <c r="Y39" s="2576" t="s">
        <v>1722</v>
      </c>
      <c r="Z39" s="2618" t="str">
        <f t="shared" si="3"/>
        <v>対象</v>
      </c>
      <c r="AB39" s="2619"/>
      <c r="AC39" s="2605"/>
      <c r="AD39" s="2620">
        <f>スコア!$Z$10</f>
        <v>3</v>
      </c>
      <c r="AE39" s="2620">
        <f>スコア!$AB$10</f>
        <v>3</v>
      </c>
      <c r="AF39" s="2621">
        <f t="shared" si="19"/>
        <v>3</v>
      </c>
      <c r="AG39" s="2622">
        <f t="shared" si="5"/>
        <v>2</v>
      </c>
      <c r="AH39" s="2623"/>
      <c r="AI39" s="2622">
        <f t="shared" si="7"/>
        <v>2</v>
      </c>
      <c r="AJ39" s="2583">
        <f t="shared" si="10"/>
        <v>2</v>
      </c>
      <c r="AK39" s="2633" t="b">
        <v>0</v>
      </c>
      <c r="AL39" s="2625">
        <f t="shared" si="6"/>
        <v>2</v>
      </c>
      <c r="AM39" s="2659"/>
    </row>
    <row r="40" spans="1:39" ht="47.25" customHeight="1">
      <c r="A40" s="3810"/>
      <c r="B40" s="3771">
        <v>4.3</v>
      </c>
      <c r="C40" s="3747" t="s">
        <v>3417</v>
      </c>
      <c r="D40" s="2564" t="s">
        <v>2256</v>
      </c>
      <c r="E40" s="2565" t="s">
        <v>3418</v>
      </c>
      <c r="F40" s="2565" t="s">
        <v>4034</v>
      </c>
      <c r="G40" s="2571" t="s">
        <v>1465</v>
      </c>
      <c r="H40" s="2577" t="s">
        <v>3398</v>
      </c>
      <c r="I40" s="2567"/>
      <c r="J40" s="2567"/>
      <c r="K40" s="2567"/>
      <c r="L40" s="2578"/>
      <c r="M40" s="2737"/>
      <c r="N40" s="2575" t="str">
        <f t="shared" si="15"/>
        <v>対象外</v>
      </c>
      <c r="O40" s="2599"/>
      <c r="Q40" s="2576"/>
      <c r="R40" s="2576" t="s">
        <v>1465</v>
      </c>
      <c r="S40" s="2576"/>
      <c r="T40" s="2576"/>
      <c r="U40" s="2576"/>
      <c r="V40" s="2576"/>
      <c r="W40" s="2576"/>
      <c r="X40" s="2576"/>
      <c r="Y40" s="2576"/>
      <c r="Z40" s="2618" t="str">
        <f t="shared" si="3"/>
        <v>対象外</v>
      </c>
      <c r="AB40" s="2639">
        <v>1</v>
      </c>
      <c r="AC40" s="2605"/>
      <c r="AD40" s="2635"/>
      <c r="AE40" s="2635"/>
      <c r="AF40" s="2635"/>
      <c r="AG40" s="2635"/>
      <c r="AH40" s="2636"/>
      <c r="AI40" s="2622" t="str">
        <f t="shared" si="7"/>
        <v>#DIV/0!</v>
      </c>
      <c r="AJ40" s="2583" t="e">
        <f t="shared" si="10"/>
        <v>#DIV/0!</v>
      </c>
      <c r="AK40" s="2633" t="b">
        <v>0</v>
      </c>
      <c r="AL40" s="2625" t="e">
        <f t="shared" si="6"/>
        <v>#DIV/0!</v>
      </c>
      <c r="AM40" s="2660" t="e">
        <f>AVERAGEIFS(AL40:AL41,AL40:AL41,"&lt;&gt;0",AL40:AL41,"&lt;&gt;#DIV/0!")</f>
        <v>#DIV/0!</v>
      </c>
    </row>
    <row r="41" spans="1:39" ht="153.75" customHeight="1">
      <c r="A41" s="3810"/>
      <c r="B41" s="3771"/>
      <c r="C41" s="3747"/>
      <c r="D41" s="2564" t="s">
        <v>2258</v>
      </c>
      <c r="E41" s="2565" t="s">
        <v>4035</v>
      </c>
      <c r="F41" s="2565" t="s">
        <v>4036</v>
      </c>
      <c r="G41" s="2571" t="s">
        <v>1465</v>
      </c>
      <c r="H41" s="2577" t="s">
        <v>3398</v>
      </c>
      <c r="I41" s="2567"/>
      <c r="J41" s="2567"/>
      <c r="K41" s="2567"/>
      <c r="L41" s="2578"/>
      <c r="M41" s="2737"/>
      <c r="N41" s="2575" t="str">
        <f t="shared" si="15"/>
        <v>対象外</v>
      </c>
      <c r="O41" s="2599"/>
      <c r="Q41" s="2576"/>
      <c r="R41" s="2576" t="s">
        <v>1465</v>
      </c>
      <c r="S41" s="2576"/>
      <c r="T41" s="2576"/>
      <c r="U41" s="2576"/>
      <c r="V41" s="2576"/>
      <c r="W41" s="2576"/>
      <c r="X41" s="2576"/>
      <c r="Y41" s="2576"/>
      <c r="Z41" s="2618" t="str">
        <f t="shared" si="3"/>
        <v>対象外</v>
      </c>
      <c r="AB41" s="2639">
        <v>2</v>
      </c>
      <c r="AC41" s="2605"/>
      <c r="AD41" s="2635"/>
      <c r="AE41" s="2635"/>
      <c r="AF41" s="2635"/>
      <c r="AG41" s="2635"/>
      <c r="AH41" s="2636"/>
      <c r="AI41" s="2622" t="str">
        <f t="shared" si="7"/>
        <v>#DIV/0!</v>
      </c>
      <c r="AJ41" s="2583" t="e">
        <f t="shared" si="10"/>
        <v>#DIV/0!</v>
      </c>
      <c r="AK41" s="2633" t="b">
        <v>0</v>
      </c>
      <c r="AL41" s="2625" t="e">
        <f t="shared" si="6"/>
        <v>#DIV/0!</v>
      </c>
      <c r="AM41" s="2659"/>
    </row>
    <row r="42" spans="1:39" ht="117" customHeight="1">
      <c r="A42" s="3810"/>
      <c r="B42" s="2568">
        <v>4.4000000000000004</v>
      </c>
      <c r="C42" s="2569" t="s">
        <v>3419</v>
      </c>
      <c r="D42" s="2564" t="s">
        <v>3420</v>
      </c>
      <c r="E42" s="2565" t="s">
        <v>4081</v>
      </c>
      <c r="F42" s="2565" t="s">
        <v>4037</v>
      </c>
      <c r="G42" s="2571" t="s">
        <v>1465</v>
      </c>
      <c r="H42" s="2577" t="s">
        <v>3398</v>
      </c>
      <c r="I42" s="2567"/>
      <c r="J42" s="2567"/>
      <c r="K42" s="2567"/>
      <c r="L42" s="2578"/>
      <c r="M42" s="2737"/>
      <c r="N42" s="2575" t="str">
        <f t="shared" si="15"/>
        <v>対象外</v>
      </c>
      <c r="O42" s="2599"/>
      <c r="Q42" s="2576"/>
      <c r="R42" s="2576" t="s">
        <v>1465</v>
      </c>
      <c r="S42" s="2576"/>
      <c r="T42" s="2576"/>
      <c r="U42" s="2576"/>
      <c r="V42" s="2576"/>
      <c r="W42" s="2576"/>
      <c r="X42" s="2576"/>
      <c r="Y42" s="2576"/>
      <c r="Z42" s="2618" t="str">
        <f t="shared" si="3"/>
        <v>対象外</v>
      </c>
      <c r="AB42" s="2639">
        <v>1</v>
      </c>
      <c r="AC42" s="2605"/>
      <c r="AD42" s="2635"/>
      <c r="AE42" s="2635"/>
      <c r="AF42" s="2635"/>
      <c r="AG42" s="2635"/>
      <c r="AH42" s="2636"/>
      <c r="AI42" s="2622" t="str">
        <f t="shared" si="7"/>
        <v>#DIV/0!</v>
      </c>
      <c r="AJ42" s="2583" t="e">
        <f t="shared" si="10"/>
        <v>#DIV/0!</v>
      </c>
      <c r="AK42" s="2638" t="b">
        <v>0</v>
      </c>
      <c r="AL42" s="2625" t="e">
        <f t="shared" si="6"/>
        <v>#DIV/0!</v>
      </c>
      <c r="AM42" s="2661" t="e">
        <f>AVERAGEIFS(AL42,AL42,"&lt;&gt;0",AL42,"&lt;&gt;#DIV/0!")</f>
        <v>#DIV/0!</v>
      </c>
    </row>
    <row r="43" spans="1:39" ht="19.5">
      <c r="A43" s="3815" t="s">
        <v>3543</v>
      </c>
      <c r="B43" s="2568">
        <v>5.0999999999999996</v>
      </c>
      <c r="C43" s="2570" t="s">
        <v>3885</v>
      </c>
      <c r="D43" s="2564" t="s">
        <v>3421</v>
      </c>
      <c r="E43" s="2565" t="s">
        <v>3422</v>
      </c>
      <c r="F43" s="2565" t="s">
        <v>4093</v>
      </c>
      <c r="G43" s="2576" t="s">
        <v>3423</v>
      </c>
      <c r="H43" s="2572" t="s">
        <v>3424</v>
      </c>
      <c r="I43" s="2573" t="str">
        <f>IF(AI43=1,"●","")</f>
        <v>●</v>
      </c>
      <c r="J43" s="2573" t="str">
        <f>IF(AI43=2,"●","")</f>
        <v/>
      </c>
      <c r="K43" s="2573" t="str">
        <f>IF(AI43=3,"●","")</f>
        <v/>
      </c>
      <c r="L43" s="2578"/>
      <c r="M43" s="2737"/>
      <c r="N43" s="2575">
        <f t="shared" si="15"/>
        <v>1</v>
      </c>
      <c r="O43" s="2599"/>
      <c r="Q43" s="2576" t="s">
        <v>428</v>
      </c>
      <c r="R43" s="2576" t="s">
        <v>1465</v>
      </c>
      <c r="S43" s="2576" t="s">
        <v>1616</v>
      </c>
      <c r="T43" s="2576" t="s">
        <v>1721</v>
      </c>
      <c r="U43" s="2576"/>
      <c r="V43" s="2576" t="s">
        <v>385</v>
      </c>
      <c r="W43" s="2576" t="s">
        <v>1620</v>
      </c>
      <c r="X43" s="2576" t="s">
        <v>383</v>
      </c>
      <c r="Y43" s="2576" t="s">
        <v>1722</v>
      </c>
      <c r="Z43" s="2618" t="str">
        <f t="shared" si="3"/>
        <v>対象</v>
      </c>
      <c r="AB43" s="2635"/>
      <c r="AC43" s="2605"/>
      <c r="AD43" s="2620">
        <f>スコア!$Z$101</f>
        <v>0</v>
      </c>
      <c r="AE43" s="2620">
        <f>スコア!$AB$101</f>
        <v>1.6</v>
      </c>
      <c r="AF43" s="2621">
        <f>IF(AE43=0,AD43,IF(AD43=0,AE43,AD43*$AD$6+AE43*$AE$6))</f>
        <v>1.6</v>
      </c>
      <c r="AG43" s="2622">
        <f>IF(AF43=0,"#DIV/0!",IF(AF43&lt;2,1,IF(AF43&lt;4,2,3)))</f>
        <v>1</v>
      </c>
      <c r="AH43" s="2623"/>
      <c r="AI43" s="2622">
        <f t="shared" si="7"/>
        <v>1</v>
      </c>
      <c r="AJ43" s="2583">
        <f t="shared" si="10"/>
        <v>1</v>
      </c>
      <c r="AK43" s="2633" t="b">
        <v>0</v>
      </c>
      <c r="AL43" s="2625">
        <f t="shared" si="6"/>
        <v>1</v>
      </c>
      <c r="AM43" s="2660">
        <f>AVERAGEIFS(AL43:AL43,AL43:AL43,"&lt;&gt;0",AL43:AL43,"&lt;&gt;#DIV/0!")</f>
        <v>1</v>
      </c>
    </row>
    <row r="44" spans="1:39" ht="81.75" customHeight="1">
      <c r="A44" s="3815"/>
      <c r="B44" s="3770">
        <v>5.2</v>
      </c>
      <c r="C44" s="3752" t="s">
        <v>3886</v>
      </c>
      <c r="D44" s="2564" t="s">
        <v>3426</v>
      </c>
      <c r="E44" s="2567" t="s">
        <v>4082</v>
      </c>
      <c r="F44" s="2567" t="s">
        <v>4038</v>
      </c>
      <c r="G44" s="2571" t="s">
        <v>3427</v>
      </c>
      <c r="H44" s="2577" t="s">
        <v>3398</v>
      </c>
      <c r="I44" s="2567"/>
      <c r="J44" s="2567"/>
      <c r="K44" s="2567"/>
      <c r="L44" s="2578"/>
      <c r="M44" s="2565"/>
      <c r="N44" s="2575">
        <f t="shared" si="15"/>
        <v>2</v>
      </c>
      <c r="O44" s="2599"/>
      <c r="Q44" s="2576"/>
      <c r="R44" s="2576"/>
      <c r="S44" s="2576"/>
      <c r="T44" s="2576"/>
      <c r="U44" s="2576"/>
      <c r="V44" s="2576"/>
      <c r="W44" s="2576"/>
      <c r="X44" s="2576"/>
      <c r="Y44" s="2576" t="s">
        <v>1722</v>
      </c>
      <c r="Z44" s="2618" t="str">
        <f t="shared" si="3"/>
        <v>対象</v>
      </c>
      <c r="AB44" s="2639">
        <v>2</v>
      </c>
      <c r="AC44" s="2605"/>
      <c r="AD44" s="2635"/>
      <c r="AE44" s="2635"/>
      <c r="AF44" s="2635"/>
      <c r="AG44" s="2635"/>
      <c r="AH44" s="2636"/>
      <c r="AI44" s="2622">
        <f t="shared" si="7"/>
        <v>2</v>
      </c>
      <c r="AJ44" s="2583">
        <f t="shared" si="10"/>
        <v>2</v>
      </c>
      <c r="AK44" s="2638" t="b">
        <v>0</v>
      </c>
      <c r="AL44" s="2625">
        <f t="shared" si="6"/>
        <v>2</v>
      </c>
      <c r="AM44" s="2662">
        <f>AVERAGEIFS(AL44:AL44,AL44:AL44,"&lt;&gt;0",AL44:AL44,"&lt;&gt;#DIV/0!")</f>
        <v>2</v>
      </c>
    </row>
    <row r="45" spans="1:39" ht="28.5" customHeight="1">
      <c r="A45" s="3815"/>
      <c r="B45" s="3769"/>
      <c r="C45" s="3753"/>
      <c r="D45" s="2564" t="s">
        <v>3884</v>
      </c>
      <c r="E45" s="2565" t="s">
        <v>3425</v>
      </c>
      <c r="F45" s="2565" t="s">
        <v>3364</v>
      </c>
      <c r="G45" s="2571" t="s">
        <v>3382</v>
      </c>
      <c r="H45" s="2572" t="s">
        <v>3399</v>
      </c>
      <c r="I45" s="2573" t="str">
        <f>IF(AI45=1,"●","")</f>
        <v/>
      </c>
      <c r="J45" s="2573" t="str">
        <f>IF(AI45=2,"●","")</f>
        <v>●</v>
      </c>
      <c r="K45" s="2573" t="str">
        <f>IF(AI45=3,"●","")</f>
        <v/>
      </c>
      <c r="L45" s="2580" t="str">
        <f>IF(L23="","（3.6.1の採点により自動転記）",L23)</f>
        <v>（3.6.1の採点により自動転記）</v>
      </c>
      <c r="M45" s="2737"/>
      <c r="N45" s="2575">
        <f>IF(Z45="対象外","対象外",AL45)</f>
        <v>2</v>
      </c>
      <c r="O45" s="2599"/>
      <c r="Q45" s="2576" t="s">
        <v>428</v>
      </c>
      <c r="R45" s="2576" t="s">
        <v>1465</v>
      </c>
      <c r="S45" s="2576" t="s">
        <v>1616</v>
      </c>
      <c r="T45" s="2576" t="s">
        <v>1721</v>
      </c>
      <c r="U45" s="2576" t="s">
        <v>1619</v>
      </c>
      <c r="V45" s="2576" t="s">
        <v>385</v>
      </c>
      <c r="W45" s="2576" t="s">
        <v>1620</v>
      </c>
      <c r="X45" s="2576" t="s">
        <v>383</v>
      </c>
      <c r="Y45" s="2576" t="s">
        <v>1722</v>
      </c>
      <c r="Z45" s="2618" t="str">
        <f>IF(AG45="#DIV/0!","対象外",IF(AND($Q$4="〇",Q45&lt;&gt;"")+AND($R$4="〇",R45&lt;&gt;"")+AND($S$4="〇",S45&lt;&gt;"")+AND($T$4="〇",T45&lt;&gt;"")+AND($U$4="〇",U45&lt;&gt;"")+AND($V$4="〇",V45&lt;&gt;"")+AND($W$4="〇",W45&lt;&gt;"")+AND($X$4="〇",X45&lt;&gt;"")+AND($Y$4="〇",Y45&lt;&gt;"")=0,"対象外","対象"))</f>
        <v>対象</v>
      </c>
      <c r="AB45" s="2635"/>
      <c r="AC45" s="2605"/>
      <c r="AD45" s="2620">
        <f>スコア!$Z$67</f>
        <v>3</v>
      </c>
      <c r="AE45" s="2620">
        <f>スコア!$AB$67</f>
        <v>0</v>
      </c>
      <c r="AF45" s="2621">
        <f>IF(AE45=0,AD45,IF(AD45=0,AE45,AD45*$AD$6+AE45*$AE$6))</f>
        <v>3</v>
      </c>
      <c r="AG45" s="2622">
        <f>IF(AF45=0,"#DIV/0!",IF(AF45&lt;2,1,IF(AF45&lt;4,2,3)))</f>
        <v>2</v>
      </c>
      <c r="AH45" s="2623"/>
      <c r="AI45" s="2622">
        <f>IF(Z45="対象外","#DIV/0!",IF(AG45="",AB45,IF(AB45="",AG45,0)))</f>
        <v>2</v>
      </c>
      <c r="AJ45" s="2583">
        <f>AVERAGEIFS(AI45,AI45,"&lt;&gt;0",AI45,"&lt;&gt;#DIV/0!")</f>
        <v>2</v>
      </c>
      <c r="AK45" s="2633" t="b">
        <v>0</v>
      </c>
      <c r="AL45" s="2625">
        <f>IF(AK45=FALSE,AJ45,IF(AJ45=1,2,3))</f>
        <v>2</v>
      </c>
      <c r="AM45" s="2661"/>
    </row>
    <row r="46" spans="1:39" ht="67.5" customHeight="1">
      <c r="A46" s="3815"/>
      <c r="B46" s="2568" t="s">
        <v>3887</v>
      </c>
      <c r="C46" s="2582" t="s">
        <v>3431</v>
      </c>
      <c r="D46" s="2564" t="s">
        <v>3429</v>
      </c>
      <c r="E46" s="2565" t="s">
        <v>4083</v>
      </c>
      <c r="F46" s="2565" t="s">
        <v>4039</v>
      </c>
      <c r="G46" s="2571" t="s">
        <v>3433</v>
      </c>
      <c r="H46" s="2577" t="s">
        <v>3398</v>
      </c>
      <c r="I46" s="2567"/>
      <c r="J46" s="2567"/>
      <c r="K46" s="2567"/>
      <c r="L46" s="2578"/>
      <c r="M46" s="2565"/>
      <c r="N46" s="2575">
        <f>IF(Z46="対象外","対象外",AL46)</f>
        <v>3</v>
      </c>
      <c r="O46" s="2599"/>
      <c r="Q46" s="2576" t="s">
        <v>428</v>
      </c>
      <c r="R46" s="2576"/>
      <c r="S46" s="2576"/>
      <c r="T46" s="2576"/>
      <c r="U46" s="2576"/>
      <c r="V46" s="2576"/>
      <c r="W46" s="2576"/>
      <c r="X46" s="2576"/>
      <c r="Y46" s="2576"/>
      <c r="Z46" s="2618" t="str">
        <f>IF(AG46="#DIV/0!","対象外",IF(AND($Q$4="〇",Q46&lt;&gt;"")+AND($R$4="〇",R46&lt;&gt;"")+AND($S$4="〇",S46&lt;&gt;"")+AND($T$4="〇",T46&lt;&gt;"")+AND($U$4="〇",U46&lt;&gt;"")+AND($V$4="〇",V46&lt;&gt;"")+AND($W$4="〇",W46&lt;&gt;"")+AND($X$4="〇",X46&lt;&gt;"")+AND($Y$4="〇",Y46&lt;&gt;"")=0,"対象外","対象"))</f>
        <v>対象</v>
      </c>
      <c r="AB46" s="2639">
        <v>3</v>
      </c>
      <c r="AC46" s="2605"/>
      <c r="AD46" s="2635"/>
      <c r="AE46" s="2635"/>
      <c r="AF46" s="2635"/>
      <c r="AG46" s="2635"/>
      <c r="AH46" s="2636"/>
      <c r="AI46" s="2622">
        <f>IF(Z46="対象外","#DIV/0!",IF(AG46="",AB46,IF(AB46="",AG46,0)))</f>
        <v>3</v>
      </c>
      <c r="AJ46" s="2583">
        <f>AVERAGEIFS(AI46,AI46,"&lt;&gt;0",AI46,"&lt;&gt;#DIV/0!")</f>
        <v>3</v>
      </c>
      <c r="AK46" s="2638" t="b">
        <v>0</v>
      </c>
      <c r="AL46" s="2625">
        <f>IF(AK46=FALSE,AJ46,IF(AJ46=1,2,3))</f>
        <v>3</v>
      </c>
      <c r="AM46" s="2646">
        <f>AVERAGEIFS(AL46,AL46,"&lt;&gt;0",AL46,"&lt;&gt;#DIV/0!")</f>
        <v>3</v>
      </c>
    </row>
    <row r="47" spans="1:39" ht="47.25" customHeight="1">
      <c r="A47" s="3815"/>
      <c r="B47" s="2564" t="s">
        <v>3888</v>
      </c>
      <c r="C47" s="2567" t="s">
        <v>3428</v>
      </c>
      <c r="D47" s="2564" t="s">
        <v>3432</v>
      </c>
      <c r="E47" s="2565" t="s">
        <v>3430</v>
      </c>
      <c r="F47" s="2565" t="s">
        <v>4084</v>
      </c>
      <c r="G47" s="2571" t="s">
        <v>3382</v>
      </c>
      <c r="H47" s="2577" t="s">
        <v>3398</v>
      </c>
      <c r="I47" s="2567"/>
      <c r="J47" s="2567"/>
      <c r="K47" s="2567"/>
      <c r="L47" s="2578"/>
      <c r="M47" s="2565"/>
      <c r="N47" s="2575">
        <f t="shared" si="15"/>
        <v>1</v>
      </c>
      <c r="O47" s="2599"/>
      <c r="Q47" s="2576" t="s">
        <v>428</v>
      </c>
      <c r="R47" s="2576" t="s">
        <v>1465</v>
      </c>
      <c r="S47" s="2576" t="s">
        <v>1616</v>
      </c>
      <c r="T47" s="2576" t="s">
        <v>1721</v>
      </c>
      <c r="U47" s="2576" t="s">
        <v>1619</v>
      </c>
      <c r="V47" s="2576" t="s">
        <v>385</v>
      </c>
      <c r="W47" s="2576" t="s">
        <v>1620</v>
      </c>
      <c r="X47" s="2576" t="s">
        <v>383</v>
      </c>
      <c r="Y47" s="2576" t="s">
        <v>1722</v>
      </c>
      <c r="Z47" s="2618" t="str">
        <f t="shared" si="3"/>
        <v>対象</v>
      </c>
      <c r="AB47" s="2639">
        <v>1</v>
      </c>
      <c r="AC47" s="2605"/>
      <c r="AD47" s="2635"/>
      <c r="AE47" s="2635"/>
      <c r="AF47" s="2635"/>
      <c r="AG47" s="2635"/>
      <c r="AH47" s="2636"/>
      <c r="AI47" s="2622">
        <f t="shared" si="7"/>
        <v>1</v>
      </c>
      <c r="AJ47" s="2583">
        <f t="shared" si="10"/>
        <v>1</v>
      </c>
      <c r="AK47" s="2638" t="b">
        <v>0</v>
      </c>
      <c r="AL47" s="2625">
        <f t="shared" si="6"/>
        <v>1</v>
      </c>
      <c r="AM47" s="2621">
        <f>AVERAGEIFS(AL47,AL47,"&lt;&gt;0",AL47,"&lt;&gt;#DIV/0!")</f>
        <v>1</v>
      </c>
    </row>
    <row r="48" spans="1:39" ht="24.75" customHeight="1">
      <c r="A48" s="3816" t="s">
        <v>3544</v>
      </c>
      <c r="B48" s="2568">
        <v>6.1</v>
      </c>
      <c r="C48" s="2569" t="s">
        <v>3434</v>
      </c>
      <c r="D48" s="2564" t="s">
        <v>3435</v>
      </c>
      <c r="E48" s="2565" t="s">
        <v>3749</v>
      </c>
      <c r="F48" s="2565" t="s">
        <v>3750</v>
      </c>
      <c r="G48" s="2571" t="s">
        <v>3382</v>
      </c>
      <c r="H48" s="2572" t="s">
        <v>3436</v>
      </c>
      <c r="I48" s="2573" t="str">
        <f>IF(AI48=1,"●","")</f>
        <v/>
      </c>
      <c r="J48" s="2573" t="str">
        <f>IF(AI48=2,"●","")</f>
        <v>●</v>
      </c>
      <c r="K48" s="2573" t="str">
        <f>IF(AI48=3,"●","")</f>
        <v/>
      </c>
      <c r="L48" s="2574"/>
      <c r="M48" s="2565"/>
      <c r="N48" s="2575">
        <f t="shared" si="15"/>
        <v>2</v>
      </c>
      <c r="O48" s="2599"/>
      <c r="Q48" s="2576" t="s">
        <v>428</v>
      </c>
      <c r="R48" s="2576" t="s">
        <v>1465</v>
      </c>
      <c r="S48" s="2576" t="s">
        <v>1616</v>
      </c>
      <c r="T48" s="2576" t="s">
        <v>1721</v>
      </c>
      <c r="U48" s="2576" t="s">
        <v>1619</v>
      </c>
      <c r="V48" s="2576" t="s">
        <v>385</v>
      </c>
      <c r="W48" s="2576" t="s">
        <v>1620</v>
      </c>
      <c r="X48" s="2576" t="s">
        <v>383</v>
      </c>
      <c r="Y48" s="2576" t="s">
        <v>1722</v>
      </c>
      <c r="Z48" s="2618" t="str">
        <f t="shared" si="3"/>
        <v>対象</v>
      </c>
      <c r="AB48" s="2635"/>
      <c r="AC48" s="2605"/>
      <c r="AD48" s="2620">
        <f>スコア!$Z$147</f>
        <v>3</v>
      </c>
      <c r="AE48" s="2620">
        <f>スコア!$AB$147</f>
        <v>0</v>
      </c>
      <c r="AF48" s="2621">
        <f>IF(AE48=0,AD48,IF(AD48=0,AE48,AD48*$AD$6+AE48*$AE$6))</f>
        <v>3</v>
      </c>
      <c r="AG48" s="2622">
        <f>IF(AF48=0,"#DIV/0!",IF(AF48&lt;2,1,IF(AF48&lt;4,2,3)))</f>
        <v>2</v>
      </c>
      <c r="AH48" s="2623"/>
      <c r="AI48" s="2622">
        <f t="shared" si="7"/>
        <v>2</v>
      </c>
      <c r="AJ48" s="2583">
        <f t="shared" si="10"/>
        <v>2</v>
      </c>
      <c r="AK48" s="2633" t="b">
        <v>0</v>
      </c>
      <c r="AL48" s="2625">
        <f t="shared" si="6"/>
        <v>2</v>
      </c>
      <c r="AM48" s="2660">
        <f>AVERAGEIFS(AL48,AL48,"&lt;&gt;0",AL48,"&lt;&gt;#DIV/0!")</f>
        <v>2</v>
      </c>
    </row>
    <row r="49" spans="1:39" ht="24.75" customHeight="1">
      <c r="A49" s="3816"/>
      <c r="B49" s="2568">
        <v>6.2</v>
      </c>
      <c r="C49" s="2569" t="s">
        <v>3437</v>
      </c>
      <c r="D49" s="2564" t="s">
        <v>3438</v>
      </c>
      <c r="E49" s="2565" t="s">
        <v>4017</v>
      </c>
      <c r="F49" s="2565" t="s">
        <v>3439</v>
      </c>
      <c r="G49" s="2571" t="s">
        <v>3382</v>
      </c>
      <c r="H49" s="2572" t="s">
        <v>3440</v>
      </c>
      <c r="I49" s="2573" t="str">
        <f>IF(AI49=1,"●","")</f>
        <v/>
      </c>
      <c r="J49" s="2573" t="str">
        <f>IF(AI49=2,"●","")</f>
        <v>●</v>
      </c>
      <c r="K49" s="2573" t="str">
        <f>IF(AI49=3,"●","")</f>
        <v/>
      </c>
      <c r="L49" s="2574"/>
      <c r="M49" s="2565"/>
      <c r="N49" s="2575">
        <f t="shared" si="15"/>
        <v>2</v>
      </c>
      <c r="O49" s="2599"/>
      <c r="Q49" s="2576" t="s">
        <v>428</v>
      </c>
      <c r="R49" s="2576" t="s">
        <v>1465</v>
      </c>
      <c r="S49" s="2576" t="s">
        <v>1616</v>
      </c>
      <c r="T49" s="2576" t="s">
        <v>1721</v>
      </c>
      <c r="U49" s="2576" t="s">
        <v>1619</v>
      </c>
      <c r="V49" s="2576" t="s">
        <v>385</v>
      </c>
      <c r="W49" s="2576" t="s">
        <v>1620</v>
      </c>
      <c r="X49" s="2576" t="s">
        <v>383</v>
      </c>
      <c r="Y49" s="2576" t="s">
        <v>1722</v>
      </c>
      <c r="Z49" s="2618" t="str">
        <f t="shared" si="3"/>
        <v>対象</v>
      </c>
      <c r="AB49" s="2635"/>
      <c r="AC49" s="2605"/>
      <c r="AD49" s="2620">
        <f>スコア!$Z$148</f>
        <v>3</v>
      </c>
      <c r="AE49" s="2620">
        <f>スコア!$AB$148</f>
        <v>0</v>
      </c>
      <c r="AF49" s="2621">
        <f>IF(AE49=0,AD49,IF(AD49=0,AE49,AD49*$AD$6+AE49*$AE$6))</f>
        <v>3</v>
      </c>
      <c r="AG49" s="2622">
        <f>IF(AF49=0,"#DIV/0!",IF(AF49&lt;2,1,IF(AF49&lt;4,2,3)))</f>
        <v>2</v>
      </c>
      <c r="AH49" s="2623"/>
      <c r="AI49" s="2622">
        <f t="shared" si="7"/>
        <v>2</v>
      </c>
      <c r="AJ49" s="2583">
        <f t="shared" si="10"/>
        <v>2</v>
      </c>
      <c r="AK49" s="2633" t="b">
        <v>0</v>
      </c>
      <c r="AL49" s="2625">
        <f t="shared" si="6"/>
        <v>2</v>
      </c>
      <c r="AM49" s="2663">
        <f>AVERAGEIFS(AL49,AL49,"&lt;&gt;0",AL49,"&lt;&gt;#DIV/0!")</f>
        <v>2</v>
      </c>
    </row>
    <row r="50" spans="1:39" ht="27.75" customHeight="1">
      <c r="A50" s="3816"/>
      <c r="B50" s="3771" t="s">
        <v>3892</v>
      </c>
      <c r="C50" s="3747" t="s">
        <v>3894</v>
      </c>
      <c r="D50" s="2564" t="s">
        <v>3441</v>
      </c>
      <c r="E50" s="2565" t="s">
        <v>3889</v>
      </c>
      <c r="F50" s="2567" t="s">
        <v>3444</v>
      </c>
      <c r="G50" s="2571" t="s">
        <v>3382</v>
      </c>
      <c r="H50" s="2572" t="s">
        <v>4040</v>
      </c>
      <c r="I50" s="2573" t="str">
        <f>IF(AI50=1,"●","")</f>
        <v/>
      </c>
      <c r="J50" s="2573" t="str">
        <f>IF(AI50=2,"●","")</f>
        <v>●</v>
      </c>
      <c r="K50" s="2573" t="str">
        <f>IF(AI50=3,"●","")</f>
        <v/>
      </c>
      <c r="L50" s="2578"/>
      <c r="M50" s="2565"/>
      <c r="N50" s="2575">
        <f t="shared" si="15"/>
        <v>2</v>
      </c>
      <c r="O50" s="2599"/>
      <c r="Q50" s="2576" t="s">
        <v>428</v>
      </c>
      <c r="R50" s="2576" t="s">
        <v>1465</v>
      </c>
      <c r="S50" s="2576" t="s">
        <v>1616</v>
      </c>
      <c r="T50" s="2576" t="s">
        <v>1721</v>
      </c>
      <c r="U50" s="2576" t="s">
        <v>1619</v>
      </c>
      <c r="V50" s="2576" t="s">
        <v>385</v>
      </c>
      <c r="W50" s="2576" t="s">
        <v>1620</v>
      </c>
      <c r="X50" s="2576" t="s">
        <v>383</v>
      </c>
      <c r="Y50" s="2576" t="s">
        <v>1722</v>
      </c>
      <c r="Z50" s="2618" t="str">
        <f t="shared" si="3"/>
        <v>対象</v>
      </c>
      <c r="AB50" s="2635"/>
      <c r="AC50" s="2605"/>
      <c r="AD50" s="2620">
        <f>スコア!$Z$178</f>
        <v>3</v>
      </c>
      <c r="AE50" s="2620">
        <f>スコア!$AB$178</f>
        <v>0</v>
      </c>
      <c r="AF50" s="2621">
        <f>IF(AE50=0,AD50,IF(AD50=0,AE50,AD50*$AD$6+AE50*$AE$6))</f>
        <v>3</v>
      </c>
      <c r="AG50" s="2622">
        <f>IF(AF50=0,"#DIV/0!",IF(AF50&lt;2,1,IF(AF50&lt;4,2,3)))</f>
        <v>2</v>
      </c>
      <c r="AH50" s="2623"/>
      <c r="AI50" s="2622">
        <f t="shared" si="7"/>
        <v>2</v>
      </c>
      <c r="AJ50" s="2583">
        <f t="shared" si="10"/>
        <v>2</v>
      </c>
      <c r="AK50" s="2633" t="b">
        <v>0</v>
      </c>
      <c r="AL50" s="2625">
        <f t="shared" si="6"/>
        <v>2</v>
      </c>
      <c r="AM50" s="2660">
        <f>AVERAGEIFS(AL50:AL51,AL50:AL51,"&lt;&gt;0",AL50:AL51,"&lt;&gt;#DIV/0!")</f>
        <v>1.5</v>
      </c>
    </row>
    <row r="51" spans="1:39" ht="47.25">
      <c r="A51" s="3816"/>
      <c r="B51" s="3771"/>
      <c r="C51" s="3747"/>
      <c r="D51" s="2564" t="s">
        <v>3893</v>
      </c>
      <c r="E51" s="2565" t="s">
        <v>3442</v>
      </c>
      <c r="F51" s="2565" t="s">
        <v>4087</v>
      </c>
      <c r="G51" s="2571" t="s">
        <v>3382</v>
      </c>
      <c r="H51" s="2577" t="s">
        <v>3398</v>
      </c>
      <c r="I51" s="2567"/>
      <c r="J51" s="2567"/>
      <c r="K51" s="2567"/>
      <c r="L51" s="2578"/>
      <c r="M51" s="2565"/>
      <c r="N51" s="2575">
        <f>IF(Z51="対象外","対象外",AL51)</f>
        <v>1</v>
      </c>
      <c r="O51" s="2599"/>
      <c r="Q51" s="2576" t="s">
        <v>428</v>
      </c>
      <c r="R51" s="2576" t="s">
        <v>1465</v>
      </c>
      <c r="S51" s="2576" t="s">
        <v>1616</v>
      </c>
      <c r="T51" s="2576" t="s">
        <v>1721</v>
      </c>
      <c r="U51" s="2576" t="s">
        <v>1619</v>
      </c>
      <c r="V51" s="2576" t="s">
        <v>385</v>
      </c>
      <c r="W51" s="2576" t="s">
        <v>1620</v>
      </c>
      <c r="X51" s="2576" t="s">
        <v>383</v>
      </c>
      <c r="Y51" s="2576" t="s">
        <v>1722</v>
      </c>
      <c r="Z51" s="2618" t="str">
        <f>IF(AG51="#DIV/0!","対象外",IF(AND($Q$4="〇",Q51&lt;&gt;"")+AND($R$4="〇",R51&lt;&gt;"")+AND($S$4="〇",S51&lt;&gt;"")+AND($T$4="〇",T51&lt;&gt;"")+AND($U$4="〇",U51&lt;&gt;"")+AND($V$4="〇",V51&lt;&gt;"")+AND($W$4="〇",W51&lt;&gt;"")+AND($X$4="〇",X51&lt;&gt;"")+AND($Y$4="〇",Y51&lt;&gt;"")=0,"対象外","対象"))</f>
        <v>対象</v>
      </c>
      <c r="AB51" s="2639">
        <v>1</v>
      </c>
      <c r="AC51" s="2605"/>
      <c r="AD51" s="2635"/>
      <c r="AE51" s="2635"/>
      <c r="AF51" s="2635"/>
      <c r="AG51" s="2635"/>
      <c r="AH51" s="2636"/>
      <c r="AI51" s="2622">
        <f>IF(Z51="対象外","#DIV/0!",IF(AG51="",AB51,IF(AB51="",AG51,0)))</f>
        <v>1</v>
      </c>
      <c r="AJ51" s="2583">
        <f>AVERAGEIFS(AI51,AI51,"&lt;&gt;0",AI51,"&lt;&gt;#DIV/0!")</f>
        <v>1</v>
      </c>
      <c r="AK51" s="2638" t="b">
        <v>0</v>
      </c>
      <c r="AL51" s="2625">
        <f>IF(AK51=FALSE,AJ51,IF(AJ51=1,2,3))</f>
        <v>1</v>
      </c>
      <c r="AM51" s="2621"/>
    </row>
    <row r="52" spans="1:39" ht="47.25">
      <c r="A52" s="3816"/>
      <c r="B52" s="2568" t="s">
        <v>3890</v>
      </c>
      <c r="C52" s="2570" t="s">
        <v>3891</v>
      </c>
      <c r="D52" s="2564" t="s">
        <v>3443</v>
      </c>
      <c r="E52" s="2565" t="s">
        <v>3445</v>
      </c>
      <c r="F52" s="2565" t="s">
        <v>4060</v>
      </c>
      <c r="G52" s="2571" t="s">
        <v>3382</v>
      </c>
      <c r="H52" s="2577" t="s">
        <v>3398</v>
      </c>
      <c r="I52" s="2567"/>
      <c r="J52" s="2567"/>
      <c r="K52" s="2567"/>
      <c r="L52" s="2578"/>
      <c r="M52" s="2565"/>
      <c r="N52" s="2575">
        <f>IF(Z52="対象外","対象外",AL52)</f>
        <v>1</v>
      </c>
      <c r="O52" s="2599"/>
      <c r="Q52" s="2576" t="s">
        <v>428</v>
      </c>
      <c r="R52" s="2576" t="s">
        <v>1465</v>
      </c>
      <c r="S52" s="2576" t="s">
        <v>1616</v>
      </c>
      <c r="T52" s="2576" t="s">
        <v>1721</v>
      </c>
      <c r="U52" s="2576" t="s">
        <v>1619</v>
      </c>
      <c r="V52" s="2576" t="s">
        <v>385</v>
      </c>
      <c r="W52" s="2576" t="s">
        <v>1620</v>
      </c>
      <c r="X52" s="2576" t="s">
        <v>383</v>
      </c>
      <c r="Y52" s="2576" t="s">
        <v>1722</v>
      </c>
      <c r="Z52" s="2618" t="str">
        <f>IF(AG52="#DIV/0!","対象外",IF(AND($Q$4="〇",Q52&lt;&gt;"")+AND($R$4="〇",R52&lt;&gt;"")+AND($S$4="〇",S52&lt;&gt;"")+AND($T$4="〇",T52&lt;&gt;"")+AND($U$4="〇",U52&lt;&gt;"")+AND($V$4="〇",V52&lt;&gt;"")+AND($W$4="〇",W52&lt;&gt;"")+AND($X$4="〇",X52&lt;&gt;"")+AND($Y$4="〇",Y52&lt;&gt;"")=0,"対象外","対象"))</f>
        <v>対象</v>
      </c>
      <c r="AB52" s="2639">
        <v>1</v>
      </c>
      <c r="AC52" s="2605"/>
      <c r="AD52" s="2635"/>
      <c r="AE52" s="2635"/>
      <c r="AF52" s="2635"/>
      <c r="AG52" s="2635"/>
      <c r="AH52" s="2636"/>
      <c r="AI52" s="2622">
        <f>IF(Z52="対象外","#DIV/0!",IF(AG52="",AB52,IF(AB52="",AG52,0)))</f>
        <v>1</v>
      </c>
      <c r="AJ52" s="2583">
        <f>AVERAGEIFS(AI52,AI52,"&lt;&gt;0",AI52,"&lt;&gt;#DIV/0!")</f>
        <v>1</v>
      </c>
      <c r="AK52" s="2683" t="b">
        <v>0</v>
      </c>
      <c r="AL52" s="2625">
        <f>IF(AK52=FALSE,AJ52,IF(AJ52=1,2,3))</f>
        <v>1</v>
      </c>
      <c r="AM52" s="2646">
        <f>AVERAGEIFS(AL52,AL52,"&lt;&gt;0",AL52,"&lt;&gt;#DIV/0!")</f>
        <v>1</v>
      </c>
    </row>
    <row r="53" spans="1:39" ht="27.75" customHeight="1">
      <c r="A53" s="3816"/>
      <c r="B53" s="2568">
        <v>6.5</v>
      </c>
      <c r="C53" s="2570" t="s">
        <v>3446</v>
      </c>
      <c r="D53" s="2564" t="s">
        <v>3447</v>
      </c>
      <c r="E53" s="2565" t="s">
        <v>3895</v>
      </c>
      <c r="F53" s="2565" t="s">
        <v>4041</v>
      </c>
      <c r="G53" s="2571" t="s">
        <v>3382</v>
      </c>
      <c r="H53" s="2572" t="s">
        <v>3448</v>
      </c>
      <c r="I53" s="2573" t="str">
        <f t="shared" ref="I53:I58" si="20">IF(AI53=1,"●","")</f>
        <v/>
      </c>
      <c r="J53" s="2573" t="str">
        <f t="shared" ref="J53:J58" si="21">IF(AI53=2,"●","")</f>
        <v>●</v>
      </c>
      <c r="K53" s="2573" t="str">
        <f t="shared" ref="K53:K58" si="22">IF(AI53=3,"●","")</f>
        <v/>
      </c>
      <c r="L53" s="2574"/>
      <c r="M53" s="2565"/>
      <c r="N53" s="2575">
        <f>IF(Z53="対象外","対象外",AL53)</f>
        <v>2</v>
      </c>
      <c r="O53" s="2599"/>
      <c r="Q53" s="2576" t="s">
        <v>428</v>
      </c>
      <c r="R53" s="2576" t="s">
        <v>1465</v>
      </c>
      <c r="S53" s="2576" t="s">
        <v>1616</v>
      </c>
      <c r="T53" s="2576" t="s">
        <v>1721</v>
      </c>
      <c r="U53" s="2576" t="s">
        <v>1619</v>
      </c>
      <c r="V53" s="2576" t="s">
        <v>385</v>
      </c>
      <c r="W53" s="2576" t="s">
        <v>1620</v>
      </c>
      <c r="X53" s="2576" t="s">
        <v>383</v>
      </c>
      <c r="Y53" s="2576" t="s">
        <v>1722</v>
      </c>
      <c r="Z53" s="2618" t="str">
        <f>IF(AG53="#DIV/0!","対象外",IF(AND($Q$4="〇",Q53&lt;&gt;"")+AND($R$4="〇",R53&lt;&gt;"")+AND($S$4="〇",S53&lt;&gt;"")+AND($T$4="〇",T53&lt;&gt;"")+AND($U$4="〇",U53&lt;&gt;"")+AND($V$4="〇",V53&lt;&gt;"")+AND($W$4="〇",W53&lt;&gt;"")+AND($X$4="〇",X53&lt;&gt;"")+AND($Y$4="〇",Y53&lt;&gt;"")=0,"対象外","対象"))</f>
        <v>対象</v>
      </c>
      <c r="AB53" s="2635"/>
      <c r="AC53" s="2605"/>
      <c r="AD53" s="2620">
        <f>スコア!$Z$179</f>
        <v>3</v>
      </c>
      <c r="AE53" s="2620">
        <f>スコア!$AB$179</f>
        <v>0</v>
      </c>
      <c r="AF53" s="2621">
        <f t="shared" ref="AF53:AF58" si="23">IF(AE53=0,AD53,IF(AD53=0,AE53,AD53*$AD$6+AE53*$AE$6))</f>
        <v>3</v>
      </c>
      <c r="AG53" s="2622">
        <f t="shared" ref="AG53:AG58" si="24">IF(AF53=0,"#DIV/0!",IF(AF53&lt;2,1,IF(AF53&lt;4,2,3)))</f>
        <v>2</v>
      </c>
      <c r="AH53" s="2623"/>
      <c r="AI53" s="2622">
        <f>IF(Z53="対象外","#DIV/0!",IF(AG53="",AB53,IF(AB53="",AG53,0)))</f>
        <v>2</v>
      </c>
      <c r="AJ53" s="2583">
        <f>AVERAGEIFS(AI53,AI53,"&lt;&gt;0",AI53,"&lt;&gt;#DIV/0!")</f>
        <v>2</v>
      </c>
      <c r="AK53" s="2638" t="b">
        <v>0</v>
      </c>
      <c r="AL53" s="2625">
        <f>IF(AK53=FALSE,AJ53,IF(AJ53=1,2,3))</f>
        <v>2</v>
      </c>
      <c r="AM53" s="2661">
        <f>AVERAGEIFS(AL53:AL53,AL53:AL53,"&lt;&gt;0",AL53:AL53,"&lt;&gt;#DIV/0!")</f>
        <v>2</v>
      </c>
    </row>
    <row r="54" spans="1:39" ht="38.25">
      <c r="A54" s="3816"/>
      <c r="B54" s="2568">
        <v>6.6</v>
      </c>
      <c r="C54" s="2582" t="s">
        <v>3449</v>
      </c>
      <c r="D54" s="2564" t="s">
        <v>3450</v>
      </c>
      <c r="E54" s="2565" t="s">
        <v>3356</v>
      </c>
      <c r="F54" s="2565" t="s">
        <v>3357</v>
      </c>
      <c r="G54" s="2571" t="s">
        <v>3382</v>
      </c>
      <c r="H54" s="2572" t="s">
        <v>3396</v>
      </c>
      <c r="I54" s="2573" t="str">
        <f t="shared" si="20"/>
        <v/>
      </c>
      <c r="J54" s="2573" t="str">
        <f t="shared" si="21"/>
        <v>●</v>
      </c>
      <c r="K54" s="2573" t="str">
        <f t="shared" si="22"/>
        <v/>
      </c>
      <c r="L54" s="2580" t="str">
        <f>IF(L17="","（3.2.5の採点により自動転記）",L17)</f>
        <v>（3.2.5の採点により自動転記）</v>
      </c>
      <c r="M54" s="2565"/>
      <c r="N54" s="2575">
        <f t="shared" si="15"/>
        <v>2</v>
      </c>
      <c r="O54" s="2599"/>
      <c r="Q54" s="2576" t="s">
        <v>428</v>
      </c>
      <c r="R54" s="2576" t="s">
        <v>1465</v>
      </c>
      <c r="S54" s="2576" t="s">
        <v>1616</v>
      </c>
      <c r="T54" s="2576" t="s">
        <v>1721</v>
      </c>
      <c r="U54" s="2576" t="s">
        <v>1619</v>
      </c>
      <c r="V54" s="2576" t="s">
        <v>385</v>
      </c>
      <c r="W54" s="2576" t="s">
        <v>1620</v>
      </c>
      <c r="X54" s="2576" t="s">
        <v>383</v>
      </c>
      <c r="Y54" s="2576" t="s">
        <v>1722</v>
      </c>
      <c r="Z54" s="2618" t="str">
        <f t="shared" si="3"/>
        <v>対象</v>
      </c>
      <c r="AB54" s="2635"/>
      <c r="AC54" s="2605"/>
      <c r="AD54" s="2664">
        <f>スコア!$Z$76</f>
        <v>2</v>
      </c>
      <c r="AE54" s="2664">
        <f>スコア!$AB$76</f>
        <v>0</v>
      </c>
      <c r="AF54" s="2621">
        <f t="shared" si="23"/>
        <v>2</v>
      </c>
      <c r="AG54" s="2622">
        <f t="shared" si="24"/>
        <v>2</v>
      </c>
      <c r="AH54" s="2636"/>
      <c r="AI54" s="2622">
        <f t="shared" si="7"/>
        <v>2</v>
      </c>
      <c r="AJ54" s="2583">
        <f t="shared" si="10"/>
        <v>2</v>
      </c>
      <c r="AK54" s="2638" t="b">
        <v>0</v>
      </c>
      <c r="AL54" s="2625">
        <f t="shared" si="6"/>
        <v>2</v>
      </c>
      <c r="AM54" s="2661">
        <f>AVERAGEIFS(AL54:AL54,AL54:AL54,"&lt;&gt;0",AL54:AL54,"&lt;&gt;#DIV/0!")</f>
        <v>2</v>
      </c>
    </row>
    <row r="55" spans="1:39" ht="33.75" customHeight="1">
      <c r="A55" s="3816"/>
      <c r="B55" s="2568">
        <v>6.7</v>
      </c>
      <c r="C55" s="2569" t="s">
        <v>4018</v>
      </c>
      <c r="D55" s="2564" t="s">
        <v>3451</v>
      </c>
      <c r="E55" s="2565" t="s">
        <v>4019</v>
      </c>
      <c r="F55" s="2565" t="s">
        <v>3452</v>
      </c>
      <c r="G55" s="2571" t="s">
        <v>3382</v>
      </c>
      <c r="H55" s="2572" t="s">
        <v>3453</v>
      </c>
      <c r="I55" s="2573" t="str">
        <f t="shared" si="20"/>
        <v/>
      </c>
      <c r="J55" s="2573" t="str">
        <f t="shared" si="21"/>
        <v>●</v>
      </c>
      <c r="K55" s="2573" t="str">
        <f t="shared" si="22"/>
        <v/>
      </c>
      <c r="L55" s="2578"/>
      <c r="M55" s="2565"/>
      <c r="N55" s="2575">
        <f t="shared" si="15"/>
        <v>2</v>
      </c>
      <c r="O55" s="2599"/>
      <c r="Q55" s="2576" t="s">
        <v>428</v>
      </c>
      <c r="R55" s="2576" t="s">
        <v>1465</v>
      </c>
      <c r="S55" s="2576" t="s">
        <v>1616</v>
      </c>
      <c r="T55" s="2576" t="s">
        <v>1721</v>
      </c>
      <c r="U55" s="2576" t="s">
        <v>1619</v>
      </c>
      <c r="V55" s="2576" t="s">
        <v>385</v>
      </c>
      <c r="W55" s="2576" t="s">
        <v>1620</v>
      </c>
      <c r="X55" s="2576" t="s">
        <v>383</v>
      </c>
      <c r="Y55" s="2576" t="s">
        <v>1722</v>
      </c>
      <c r="Z55" s="2618" t="str">
        <f t="shared" si="3"/>
        <v>対象</v>
      </c>
      <c r="AB55" s="2635"/>
      <c r="AC55" s="2605"/>
      <c r="AD55" s="2620">
        <f>スコア!$Z$95</f>
        <v>2</v>
      </c>
      <c r="AE55" s="2620">
        <f>スコア!$AB$95</f>
        <v>0</v>
      </c>
      <c r="AF55" s="2621">
        <f t="shared" si="23"/>
        <v>2</v>
      </c>
      <c r="AG55" s="2622">
        <f t="shared" si="24"/>
        <v>2</v>
      </c>
      <c r="AH55" s="2623"/>
      <c r="AI55" s="2622">
        <f t="shared" si="7"/>
        <v>2</v>
      </c>
      <c r="AJ55" s="2583">
        <f t="shared" si="10"/>
        <v>2</v>
      </c>
      <c r="AK55" s="2638" t="b">
        <v>0</v>
      </c>
      <c r="AL55" s="2625">
        <f t="shared" si="6"/>
        <v>2</v>
      </c>
      <c r="AM55" s="2621">
        <f>AVERAGEIFS(AL55,AL55,"&lt;&gt;0",AL55,"&lt;&gt;#DIV/0!")</f>
        <v>2</v>
      </c>
    </row>
    <row r="56" spans="1:39" ht="27" customHeight="1">
      <c r="A56" s="3805" t="s">
        <v>3545</v>
      </c>
      <c r="B56" s="3771">
        <v>7.1</v>
      </c>
      <c r="C56" s="3747" t="s">
        <v>3454</v>
      </c>
      <c r="D56" s="2564" t="s">
        <v>3455</v>
      </c>
      <c r="E56" s="2567" t="s">
        <v>3456</v>
      </c>
      <c r="F56" s="2567" t="s">
        <v>3457</v>
      </c>
      <c r="G56" s="2571" t="s">
        <v>3382</v>
      </c>
      <c r="H56" s="2572" t="s">
        <v>3458</v>
      </c>
      <c r="I56" s="2573" t="str">
        <f t="shared" si="20"/>
        <v/>
      </c>
      <c r="J56" s="2573" t="str">
        <f t="shared" si="21"/>
        <v>●</v>
      </c>
      <c r="K56" s="2573" t="str">
        <f t="shared" si="22"/>
        <v/>
      </c>
      <c r="L56" s="2578"/>
      <c r="M56" s="2565"/>
      <c r="N56" s="2575">
        <f t="shared" si="15"/>
        <v>2</v>
      </c>
      <c r="O56" s="2599"/>
      <c r="Q56" s="2576" t="s">
        <v>428</v>
      </c>
      <c r="R56" s="2576" t="s">
        <v>1465</v>
      </c>
      <c r="S56" s="2576" t="s">
        <v>1616</v>
      </c>
      <c r="T56" s="2576" t="s">
        <v>1721</v>
      </c>
      <c r="U56" s="2576" t="s">
        <v>1619</v>
      </c>
      <c r="V56" s="2576" t="s">
        <v>385</v>
      </c>
      <c r="W56" s="2576" t="s">
        <v>1620</v>
      </c>
      <c r="X56" s="2576" t="s">
        <v>383</v>
      </c>
      <c r="Y56" s="2576" t="s">
        <v>1722</v>
      </c>
      <c r="Z56" s="2618" t="str">
        <f t="shared" si="3"/>
        <v>対象</v>
      </c>
      <c r="AB56" s="2635"/>
      <c r="AC56" s="2605"/>
      <c r="AD56" s="2620">
        <f>スコア!$Z$123</f>
        <v>3.6</v>
      </c>
      <c r="AE56" s="2620">
        <f>スコア!$AB$123</f>
        <v>0</v>
      </c>
      <c r="AF56" s="2621">
        <f t="shared" si="23"/>
        <v>3.6</v>
      </c>
      <c r="AG56" s="2622">
        <f t="shared" si="24"/>
        <v>2</v>
      </c>
      <c r="AH56" s="2623"/>
      <c r="AI56" s="2622">
        <f t="shared" si="7"/>
        <v>2</v>
      </c>
      <c r="AJ56" s="2583">
        <f t="shared" si="10"/>
        <v>2</v>
      </c>
      <c r="AK56" s="2638" t="b">
        <v>0</v>
      </c>
      <c r="AL56" s="2625">
        <f t="shared" si="6"/>
        <v>2</v>
      </c>
      <c r="AM56" s="2660">
        <f>AVERAGEIFS(AL56:AL58,AL56:AL58,"&lt;&gt;0",AL56:AL58,"&lt;&gt;#DIV/0!")</f>
        <v>1.6666666666666667</v>
      </c>
    </row>
    <row r="57" spans="1:39" ht="31.5" customHeight="1">
      <c r="A57" s="3805"/>
      <c r="B57" s="3771"/>
      <c r="C57" s="3747"/>
      <c r="D57" s="2564" t="s">
        <v>3459</v>
      </c>
      <c r="E57" s="2567" t="s">
        <v>3460</v>
      </c>
      <c r="F57" s="2567" t="s">
        <v>4042</v>
      </c>
      <c r="G57" s="2571" t="s">
        <v>3382</v>
      </c>
      <c r="H57" s="2572" t="s">
        <v>3809</v>
      </c>
      <c r="I57" s="2573" t="str">
        <f t="shared" si="20"/>
        <v/>
      </c>
      <c r="J57" s="2573" t="str">
        <f t="shared" si="21"/>
        <v>●</v>
      </c>
      <c r="K57" s="2573" t="str">
        <f t="shared" si="22"/>
        <v/>
      </c>
      <c r="L57" s="2578"/>
      <c r="M57" s="2565"/>
      <c r="N57" s="2575">
        <f t="shared" si="15"/>
        <v>2</v>
      </c>
      <c r="O57" s="2599"/>
      <c r="Q57" s="2576" t="s">
        <v>428</v>
      </c>
      <c r="R57" s="2576" t="s">
        <v>1465</v>
      </c>
      <c r="S57" s="2576" t="s">
        <v>1616</v>
      </c>
      <c r="T57" s="2576" t="s">
        <v>1721</v>
      </c>
      <c r="U57" s="2576" t="s">
        <v>1619</v>
      </c>
      <c r="V57" s="2576" t="s">
        <v>385</v>
      </c>
      <c r="W57" s="2576" t="s">
        <v>1620</v>
      </c>
      <c r="X57" s="2576" t="s">
        <v>383</v>
      </c>
      <c r="Y57" s="2576" t="s">
        <v>1722</v>
      </c>
      <c r="Z57" s="2618" t="str">
        <f t="shared" si="3"/>
        <v>対象</v>
      </c>
      <c r="AB57" s="2635"/>
      <c r="AC57" s="2605"/>
      <c r="AD57" s="2620">
        <f>スコア!$Z$124</f>
        <v>2.333333333333333</v>
      </c>
      <c r="AE57" s="2620">
        <f>スコア!$AB$124</f>
        <v>0</v>
      </c>
      <c r="AF57" s="2621">
        <f t="shared" si="23"/>
        <v>2.333333333333333</v>
      </c>
      <c r="AG57" s="2622">
        <f t="shared" si="24"/>
        <v>2</v>
      </c>
      <c r="AH57" s="2623"/>
      <c r="AI57" s="2622">
        <f t="shared" si="7"/>
        <v>2</v>
      </c>
      <c r="AJ57" s="2583">
        <f t="shared" si="10"/>
        <v>2</v>
      </c>
      <c r="AK57" s="2638" t="b">
        <v>0</v>
      </c>
      <c r="AL57" s="2625">
        <f t="shared" si="6"/>
        <v>2</v>
      </c>
      <c r="AM57" s="2659"/>
    </row>
    <row r="58" spans="1:39" ht="27" customHeight="1">
      <c r="A58" s="3805"/>
      <c r="B58" s="3771"/>
      <c r="C58" s="3747"/>
      <c r="D58" s="2564" t="s">
        <v>3461</v>
      </c>
      <c r="E58" s="2567" t="s">
        <v>3462</v>
      </c>
      <c r="F58" s="2567" t="s">
        <v>3463</v>
      </c>
      <c r="G58" s="2571" t="s">
        <v>3382</v>
      </c>
      <c r="H58" s="2572" t="s">
        <v>3464</v>
      </c>
      <c r="I58" s="2573" t="str">
        <f t="shared" si="20"/>
        <v>●</v>
      </c>
      <c r="J58" s="2573" t="str">
        <f t="shared" si="21"/>
        <v/>
      </c>
      <c r="K58" s="2573" t="str">
        <f t="shared" si="22"/>
        <v/>
      </c>
      <c r="L58" s="2578"/>
      <c r="M58" s="2565"/>
      <c r="N58" s="2575">
        <f t="shared" si="15"/>
        <v>1</v>
      </c>
      <c r="O58" s="2599"/>
      <c r="Q58" s="2576" t="s">
        <v>428</v>
      </c>
      <c r="R58" s="2576" t="s">
        <v>1465</v>
      </c>
      <c r="S58" s="2576" t="s">
        <v>1616</v>
      </c>
      <c r="T58" s="2576" t="s">
        <v>1721</v>
      </c>
      <c r="U58" s="2576" t="s">
        <v>1619</v>
      </c>
      <c r="V58" s="2576" t="s">
        <v>385</v>
      </c>
      <c r="W58" s="2576" t="s">
        <v>1620</v>
      </c>
      <c r="X58" s="2576" t="s">
        <v>383</v>
      </c>
      <c r="Y58" s="2576" t="s">
        <v>1722</v>
      </c>
      <c r="Z58" s="2618" t="str">
        <f t="shared" si="3"/>
        <v>対象</v>
      </c>
      <c r="AB58" s="2635"/>
      <c r="AC58" s="2605"/>
      <c r="AD58" s="2620">
        <f>スコア!$Z$129</f>
        <v>1.3</v>
      </c>
      <c r="AE58" s="2620">
        <f>スコア!$AB$129</f>
        <v>0</v>
      </c>
      <c r="AF58" s="2621">
        <f t="shared" si="23"/>
        <v>1.3</v>
      </c>
      <c r="AG58" s="2622">
        <f t="shared" si="24"/>
        <v>1</v>
      </c>
      <c r="AH58" s="2623"/>
      <c r="AI58" s="2622">
        <f t="shared" si="7"/>
        <v>1</v>
      </c>
      <c r="AJ58" s="2583">
        <f t="shared" si="10"/>
        <v>1</v>
      </c>
      <c r="AK58" s="2638" t="b">
        <v>0</v>
      </c>
      <c r="AL58" s="2625">
        <f t="shared" si="6"/>
        <v>1</v>
      </c>
      <c r="AM58" s="2661"/>
    </row>
    <row r="59" spans="1:39" ht="101.25" customHeight="1">
      <c r="A59" s="3805"/>
      <c r="B59" s="2568">
        <v>7.2</v>
      </c>
      <c r="C59" s="2569" t="s">
        <v>3465</v>
      </c>
      <c r="D59" s="2564" t="s">
        <v>3466</v>
      </c>
      <c r="E59" s="2567" t="s">
        <v>3467</v>
      </c>
      <c r="F59" s="2567" t="s">
        <v>3468</v>
      </c>
      <c r="G59" s="2571" t="s">
        <v>3382</v>
      </c>
      <c r="H59" s="2577" t="s">
        <v>3398</v>
      </c>
      <c r="I59" s="2567"/>
      <c r="J59" s="2567"/>
      <c r="K59" s="2567"/>
      <c r="L59" s="2578"/>
      <c r="M59" s="2565"/>
      <c r="N59" s="2575">
        <f t="shared" si="15"/>
        <v>2</v>
      </c>
      <c r="O59" s="2599"/>
      <c r="Q59" s="2576" t="s">
        <v>428</v>
      </c>
      <c r="R59" s="2576" t="s">
        <v>1465</v>
      </c>
      <c r="S59" s="2576" t="s">
        <v>1616</v>
      </c>
      <c r="T59" s="2576" t="s">
        <v>1721</v>
      </c>
      <c r="U59" s="2576" t="s">
        <v>1619</v>
      </c>
      <c r="V59" s="2576" t="s">
        <v>385</v>
      </c>
      <c r="W59" s="2576" t="s">
        <v>1620</v>
      </c>
      <c r="X59" s="2576" t="s">
        <v>383</v>
      </c>
      <c r="Y59" s="2576" t="s">
        <v>1722</v>
      </c>
      <c r="Z59" s="2618" t="str">
        <f t="shared" si="3"/>
        <v>対象</v>
      </c>
      <c r="AB59" s="2639">
        <v>2</v>
      </c>
      <c r="AC59" s="2605"/>
      <c r="AD59" s="2635"/>
      <c r="AE59" s="2635"/>
      <c r="AF59" s="2635"/>
      <c r="AG59" s="2635"/>
      <c r="AH59" s="2636"/>
      <c r="AI59" s="2622">
        <f t="shared" si="7"/>
        <v>2</v>
      </c>
      <c r="AJ59" s="2583">
        <f t="shared" si="10"/>
        <v>2</v>
      </c>
      <c r="AK59" s="2638" t="b">
        <v>0</v>
      </c>
      <c r="AL59" s="2625">
        <f t="shared" si="6"/>
        <v>2</v>
      </c>
      <c r="AM59" s="2621">
        <f t="shared" ref="AM59:AM65" si="25">AVERAGEIFS(AL59,AL59,"&lt;&gt;0",AL59,"&lt;&gt;#DIV/0!")</f>
        <v>2</v>
      </c>
    </row>
    <row r="60" spans="1:39" ht="80.25" customHeight="1">
      <c r="A60" s="3805"/>
      <c r="B60" s="2568">
        <v>7.3</v>
      </c>
      <c r="C60" s="2569" t="s">
        <v>3469</v>
      </c>
      <c r="D60" s="2564" t="s">
        <v>3470</v>
      </c>
      <c r="E60" s="2567" t="s">
        <v>3759</v>
      </c>
      <c r="F60" s="2567" t="s">
        <v>4043</v>
      </c>
      <c r="G60" s="2571" t="s">
        <v>3382</v>
      </c>
      <c r="H60" s="2577" t="s">
        <v>3398</v>
      </c>
      <c r="I60" s="2567"/>
      <c r="J60" s="2567"/>
      <c r="K60" s="2567"/>
      <c r="L60" s="2578"/>
      <c r="M60" s="2565"/>
      <c r="N60" s="2575">
        <f t="shared" si="15"/>
        <v>2</v>
      </c>
      <c r="O60" s="2599"/>
      <c r="Q60" s="2576" t="s">
        <v>428</v>
      </c>
      <c r="R60" s="2576" t="s">
        <v>1465</v>
      </c>
      <c r="S60" s="2576" t="s">
        <v>1616</v>
      </c>
      <c r="T60" s="2576" t="s">
        <v>1721</v>
      </c>
      <c r="U60" s="2576" t="s">
        <v>1619</v>
      </c>
      <c r="V60" s="2576" t="s">
        <v>385</v>
      </c>
      <c r="W60" s="2576" t="s">
        <v>1620</v>
      </c>
      <c r="X60" s="2576" t="s">
        <v>383</v>
      </c>
      <c r="Y60" s="2576" t="s">
        <v>1722</v>
      </c>
      <c r="Z60" s="2618" t="str">
        <f t="shared" si="3"/>
        <v>対象</v>
      </c>
      <c r="AB60" s="2639">
        <v>2</v>
      </c>
      <c r="AC60" s="2605"/>
      <c r="AD60" s="2635"/>
      <c r="AE60" s="2635"/>
      <c r="AF60" s="2635"/>
      <c r="AG60" s="2635"/>
      <c r="AH60" s="2636"/>
      <c r="AI60" s="2622">
        <f t="shared" si="7"/>
        <v>2</v>
      </c>
      <c r="AJ60" s="2583">
        <f t="shared" si="10"/>
        <v>2</v>
      </c>
      <c r="AK60" s="2638" t="b">
        <v>0</v>
      </c>
      <c r="AL60" s="2625">
        <f t="shared" si="6"/>
        <v>2</v>
      </c>
      <c r="AM60" s="2621">
        <f t="shared" si="25"/>
        <v>2</v>
      </c>
    </row>
    <row r="61" spans="1:39" ht="97.5" customHeight="1">
      <c r="A61" s="3805"/>
      <c r="B61" s="2568">
        <v>7.4</v>
      </c>
      <c r="C61" s="2569" t="s">
        <v>3471</v>
      </c>
      <c r="D61" s="2564" t="s">
        <v>3472</v>
      </c>
      <c r="E61" s="2567" t="s">
        <v>4085</v>
      </c>
      <c r="F61" s="2567" t="s">
        <v>4094</v>
      </c>
      <c r="G61" s="2571" t="s">
        <v>3382</v>
      </c>
      <c r="H61" s="2577" t="s">
        <v>3398</v>
      </c>
      <c r="I61" s="2567"/>
      <c r="J61" s="2567"/>
      <c r="K61" s="2567"/>
      <c r="L61" s="2578"/>
      <c r="M61" s="2565"/>
      <c r="N61" s="2575">
        <f t="shared" si="15"/>
        <v>2</v>
      </c>
      <c r="O61" s="2599"/>
      <c r="Q61" s="2576" t="s">
        <v>428</v>
      </c>
      <c r="R61" s="2576" t="s">
        <v>1465</v>
      </c>
      <c r="S61" s="2576" t="s">
        <v>1616</v>
      </c>
      <c r="T61" s="2576" t="s">
        <v>1721</v>
      </c>
      <c r="U61" s="2576" t="s">
        <v>1619</v>
      </c>
      <c r="V61" s="2576" t="s">
        <v>385</v>
      </c>
      <c r="W61" s="2576" t="s">
        <v>1620</v>
      </c>
      <c r="X61" s="2576" t="s">
        <v>383</v>
      </c>
      <c r="Y61" s="2576" t="s">
        <v>1722</v>
      </c>
      <c r="Z61" s="2618" t="str">
        <f t="shared" si="3"/>
        <v>対象</v>
      </c>
      <c r="AB61" s="2639">
        <v>2</v>
      </c>
      <c r="AC61" s="2605"/>
      <c r="AD61" s="2635"/>
      <c r="AE61" s="2635"/>
      <c r="AF61" s="2635"/>
      <c r="AG61" s="2635"/>
      <c r="AH61" s="2636"/>
      <c r="AI61" s="2622">
        <f t="shared" si="7"/>
        <v>2</v>
      </c>
      <c r="AJ61" s="2583">
        <f t="shared" si="10"/>
        <v>2</v>
      </c>
      <c r="AK61" s="2638" t="b">
        <v>0</v>
      </c>
      <c r="AL61" s="2625">
        <f t="shared" si="6"/>
        <v>2</v>
      </c>
      <c r="AM61" s="2621">
        <f t="shared" si="25"/>
        <v>2</v>
      </c>
    </row>
    <row r="62" spans="1:39" ht="27.75" customHeight="1">
      <c r="A62" s="3805"/>
      <c r="B62" s="2568">
        <v>7.5</v>
      </c>
      <c r="C62" s="2569" t="s">
        <v>3473</v>
      </c>
      <c r="D62" s="2564" t="s">
        <v>3474</v>
      </c>
      <c r="E62" s="2567" t="s">
        <v>3760</v>
      </c>
      <c r="F62" s="2567" t="s">
        <v>4044</v>
      </c>
      <c r="G62" s="2571" t="s">
        <v>3382</v>
      </c>
      <c r="H62" s="2572" t="s">
        <v>3475</v>
      </c>
      <c r="I62" s="2573" t="str">
        <f t="shared" ref="I62:I72" si="26">IF(AI62=1,"●","")</f>
        <v/>
      </c>
      <c r="J62" s="2573" t="str">
        <f t="shared" ref="J62:J72" si="27">IF(AI62=2,"●","")</f>
        <v>●</v>
      </c>
      <c r="K62" s="2573" t="str">
        <f t="shared" ref="K62:K72" si="28">IF(AI62=3,"●","")</f>
        <v/>
      </c>
      <c r="L62" s="2574"/>
      <c r="M62" s="2565"/>
      <c r="N62" s="2575">
        <f t="shared" si="15"/>
        <v>2</v>
      </c>
      <c r="O62" s="2599"/>
      <c r="Q62" s="2576" t="s">
        <v>428</v>
      </c>
      <c r="R62" s="2576" t="s">
        <v>1465</v>
      </c>
      <c r="S62" s="2576" t="s">
        <v>1616</v>
      </c>
      <c r="T62" s="2576" t="s">
        <v>1721</v>
      </c>
      <c r="U62" s="2576" t="s">
        <v>1619</v>
      </c>
      <c r="V62" s="2576" t="s">
        <v>385</v>
      </c>
      <c r="W62" s="2576" t="s">
        <v>1620</v>
      </c>
      <c r="X62" s="2576" t="s">
        <v>383</v>
      </c>
      <c r="Y62" s="2576" t="s">
        <v>1722</v>
      </c>
      <c r="Z62" s="2618" t="str">
        <f t="shared" si="3"/>
        <v>対象</v>
      </c>
      <c r="AB62" s="2635"/>
      <c r="AC62" s="2605"/>
      <c r="AD62" s="2620">
        <f>スコア!$Z$138</f>
        <v>3</v>
      </c>
      <c r="AE62" s="2620">
        <f>スコア!$AB$138</f>
        <v>0</v>
      </c>
      <c r="AF62" s="2621">
        <f>IF(AE62=0,AD62,IF(AD62=0,AE62,AD62*$AD$6+AE62*$AE$6))</f>
        <v>3</v>
      </c>
      <c r="AG62" s="2622">
        <f t="shared" ref="AG62:AG84" si="29">IF(AF62=0,"#DIV/0!",IF(AF62&lt;2,1,IF(AF62&lt;4,2,3)))</f>
        <v>2</v>
      </c>
      <c r="AH62" s="2636"/>
      <c r="AI62" s="2622">
        <f t="shared" si="7"/>
        <v>2</v>
      </c>
      <c r="AJ62" s="2583">
        <f t="shared" si="10"/>
        <v>2</v>
      </c>
      <c r="AK62" s="2638" t="b">
        <v>0</v>
      </c>
      <c r="AL62" s="2625">
        <f t="shared" si="6"/>
        <v>2</v>
      </c>
      <c r="AM62" s="2621">
        <f t="shared" si="25"/>
        <v>2</v>
      </c>
    </row>
    <row r="63" spans="1:39" ht="30" customHeight="1">
      <c r="A63" s="3805"/>
      <c r="B63" s="2568">
        <v>7.6</v>
      </c>
      <c r="C63" s="2569" t="s">
        <v>3476</v>
      </c>
      <c r="D63" s="2564" t="s">
        <v>3477</v>
      </c>
      <c r="E63" s="2567" t="s">
        <v>4086</v>
      </c>
      <c r="F63" s="2567" t="s">
        <v>3478</v>
      </c>
      <c r="G63" s="2571" t="s">
        <v>3382</v>
      </c>
      <c r="H63" s="2572" t="s">
        <v>3479</v>
      </c>
      <c r="I63" s="2573" t="str">
        <f t="shared" si="26"/>
        <v/>
      </c>
      <c r="J63" s="2573" t="str">
        <f t="shared" si="27"/>
        <v>●</v>
      </c>
      <c r="K63" s="2573" t="str">
        <f t="shared" si="28"/>
        <v/>
      </c>
      <c r="L63" s="2578"/>
      <c r="M63" s="2565"/>
      <c r="N63" s="2575">
        <f t="shared" si="15"/>
        <v>2</v>
      </c>
      <c r="O63" s="2599"/>
      <c r="Q63" s="2576" t="s">
        <v>428</v>
      </c>
      <c r="R63" s="2576" t="s">
        <v>1465</v>
      </c>
      <c r="S63" s="2576" t="s">
        <v>1616</v>
      </c>
      <c r="T63" s="2576" t="s">
        <v>1721</v>
      </c>
      <c r="U63" s="2576" t="s">
        <v>1619</v>
      </c>
      <c r="V63" s="2576" t="s">
        <v>385</v>
      </c>
      <c r="W63" s="2576" t="s">
        <v>1620</v>
      </c>
      <c r="X63" s="2576" t="s">
        <v>383</v>
      </c>
      <c r="Y63" s="2576" t="s">
        <v>1722</v>
      </c>
      <c r="Z63" s="2618" t="str">
        <f t="shared" si="3"/>
        <v>対象</v>
      </c>
      <c r="AB63" s="2635"/>
      <c r="AC63" s="2605"/>
      <c r="AD63" s="2620">
        <f>スコア!$Z$96</f>
        <v>3</v>
      </c>
      <c r="AE63" s="2620">
        <f>スコア!$AB$96</f>
        <v>0</v>
      </c>
      <c r="AF63" s="2621">
        <f t="shared" ref="AF63:AF72" si="30">IF(AE63=0,AD63,IF(AD63=0,AE63,AD63*$AD$6+AE63*$AE$6))</f>
        <v>3</v>
      </c>
      <c r="AG63" s="2622">
        <f t="shared" si="29"/>
        <v>2</v>
      </c>
      <c r="AH63" s="2623"/>
      <c r="AI63" s="2622">
        <f t="shared" si="7"/>
        <v>2</v>
      </c>
      <c r="AJ63" s="2583">
        <f t="shared" si="10"/>
        <v>2</v>
      </c>
      <c r="AK63" s="2638" t="b">
        <v>0</v>
      </c>
      <c r="AL63" s="2625">
        <f t="shared" si="6"/>
        <v>2</v>
      </c>
      <c r="AM63" s="2621">
        <f t="shared" si="25"/>
        <v>2</v>
      </c>
    </row>
    <row r="64" spans="1:39" ht="30" customHeight="1">
      <c r="A64" s="3805"/>
      <c r="B64" s="2568" t="s">
        <v>3896</v>
      </c>
      <c r="C64" s="2569" t="s">
        <v>3898</v>
      </c>
      <c r="D64" s="2564" t="s">
        <v>3900</v>
      </c>
      <c r="E64" s="2567" t="s">
        <v>3899</v>
      </c>
      <c r="F64" s="2567" t="s">
        <v>4045</v>
      </c>
      <c r="G64" s="2571" t="s">
        <v>3382</v>
      </c>
      <c r="H64" s="2577" t="s">
        <v>3398</v>
      </c>
      <c r="I64" s="2567"/>
      <c r="J64" s="2567"/>
      <c r="K64" s="2567"/>
      <c r="L64" s="2578"/>
      <c r="M64" s="2565"/>
      <c r="N64" s="2575">
        <f t="shared" si="15"/>
        <v>1</v>
      </c>
      <c r="O64" s="2599"/>
      <c r="Q64" s="2576" t="s">
        <v>428</v>
      </c>
      <c r="R64" s="2576" t="s">
        <v>1465</v>
      </c>
      <c r="S64" s="2576" t="s">
        <v>1616</v>
      </c>
      <c r="T64" s="2576" t="s">
        <v>1721</v>
      </c>
      <c r="U64" s="2576" t="s">
        <v>1619</v>
      </c>
      <c r="V64" s="2576" t="s">
        <v>385</v>
      </c>
      <c r="W64" s="2576" t="s">
        <v>1620</v>
      </c>
      <c r="X64" s="2576" t="s">
        <v>383</v>
      </c>
      <c r="Y64" s="2576" t="s">
        <v>1722</v>
      </c>
      <c r="Z64" s="2618" t="str">
        <f t="shared" si="3"/>
        <v>対象</v>
      </c>
      <c r="AB64" s="2639">
        <v>1</v>
      </c>
      <c r="AC64" s="2605"/>
      <c r="AD64" s="2635"/>
      <c r="AE64" s="2635"/>
      <c r="AF64" s="2635"/>
      <c r="AG64" s="2635"/>
      <c r="AH64" s="2636"/>
      <c r="AI64" s="2622">
        <f t="shared" si="7"/>
        <v>1</v>
      </c>
      <c r="AJ64" s="2583">
        <f t="shared" si="10"/>
        <v>1</v>
      </c>
      <c r="AK64" s="2638" t="b">
        <v>0</v>
      </c>
      <c r="AL64" s="2625">
        <f t="shared" si="6"/>
        <v>1</v>
      </c>
      <c r="AM64" s="2621">
        <f>AVERAGEIFS(AL64,AL64,"&lt;&gt;0",AL64,"&lt;&gt;#DIV/0!")</f>
        <v>1</v>
      </c>
    </row>
    <row r="65" spans="1:39" ht="58.5" customHeight="1">
      <c r="A65" s="3805"/>
      <c r="B65" s="2568" t="s">
        <v>3897</v>
      </c>
      <c r="C65" s="2582" t="s">
        <v>4020</v>
      </c>
      <c r="D65" s="2564" t="s">
        <v>3901</v>
      </c>
      <c r="E65" s="2567" t="s">
        <v>4078</v>
      </c>
      <c r="F65" s="2567" t="s">
        <v>3480</v>
      </c>
      <c r="G65" s="2571" t="s">
        <v>3382</v>
      </c>
      <c r="H65" s="2572" t="s">
        <v>3481</v>
      </c>
      <c r="I65" s="2573" t="str">
        <f t="shared" si="26"/>
        <v/>
      </c>
      <c r="J65" s="2573" t="str">
        <f t="shared" si="27"/>
        <v>●</v>
      </c>
      <c r="K65" s="2573" t="str">
        <f t="shared" si="28"/>
        <v/>
      </c>
      <c r="L65" s="2574"/>
      <c r="M65" s="2565"/>
      <c r="N65" s="2575">
        <f t="shared" si="15"/>
        <v>2</v>
      </c>
      <c r="O65" s="2599"/>
      <c r="Q65" s="2576" t="s">
        <v>428</v>
      </c>
      <c r="R65" s="2576" t="s">
        <v>1465</v>
      </c>
      <c r="S65" s="2576" t="s">
        <v>1616</v>
      </c>
      <c r="T65" s="2576" t="s">
        <v>1721</v>
      </c>
      <c r="U65" s="2576" t="s">
        <v>1619</v>
      </c>
      <c r="V65" s="2576" t="s">
        <v>385</v>
      </c>
      <c r="W65" s="2576" t="s">
        <v>1620</v>
      </c>
      <c r="X65" s="2576" t="s">
        <v>383</v>
      </c>
      <c r="Y65" s="2576" t="s">
        <v>1722</v>
      </c>
      <c r="Z65" s="2618" t="str">
        <f t="shared" si="3"/>
        <v>対象</v>
      </c>
      <c r="AB65" s="2635"/>
      <c r="AC65" s="2605"/>
      <c r="AD65" s="2620">
        <f>スコア!$Z$173</f>
        <v>3</v>
      </c>
      <c r="AE65" s="2620">
        <f>スコア!$AB$173</f>
        <v>0</v>
      </c>
      <c r="AF65" s="2621">
        <f t="shared" si="30"/>
        <v>3</v>
      </c>
      <c r="AG65" s="2622">
        <f t="shared" si="29"/>
        <v>2</v>
      </c>
      <c r="AH65" s="2623"/>
      <c r="AI65" s="2622">
        <f t="shared" si="7"/>
        <v>2</v>
      </c>
      <c r="AJ65" s="2583">
        <f t="shared" si="10"/>
        <v>2</v>
      </c>
      <c r="AK65" s="2638" t="b">
        <v>0</v>
      </c>
      <c r="AL65" s="2625">
        <f t="shared" si="6"/>
        <v>2</v>
      </c>
      <c r="AM65" s="2646">
        <f t="shared" si="25"/>
        <v>2</v>
      </c>
    </row>
    <row r="66" spans="1:39" ht="110.25" customHeight="1">
      <c r="A66" s="3807" t="s">
        <v>3546</v>
      </c>
      <c r="B66" s="2568" t="s">
        <v>3902</v>
      </c>
      <c r="C66" s="2582" t="s">
        <v>3911</v>
      </c>
      <c r="D66" s="2564" t="s">
        <v>3482</v>
      </c>
      <c r="E66" s="2565" t="s">
        <v>3764</v>
      </c>
      <c r="F66" s="2567" t="s">
        <v>4046</v>
      </c>
      <c r="G66" s="2571" t="s">
        <v>1464</v>
      </c>
      <c r="H66" s="2577" t="s">
        <v>3398</v>
      </c>
      <c r="I66" s="2567"/>
      <c r="J66" s="2567"/>
      <c r="K66" s="2567"/>
      <c r="L66" s="2578"/>
      <c r="M66" s="2565"/>
      <c r="N66" s="2575">
        <f>IF(Z66="対象外","対象外",AL66)</f>
        <v>3</v>
      </c>
      <c r="O66" s="2599"/>
      <c r="Q66" s="2576" t="s">
        <v>428</v>
      </c>
      <c r="R66" s="2576"/>
      <c r="S66" s="2576"/>
      <c r="T66" s="2576"/>
      <c r="U66" s="2576"/>
      <c r="V66" s="2576"/>
      <c r="W66" s="2576"/>
      <c r="X66" s="2576"/>
      <c r="Y66" s="2576"/>
      <c r="Z66" s="2618" t="str">
        <f>IF(AG66="#DIV/0!","対象外",IF(AND($Q$4="〇",Q66&lt;&gt;"")+AND($R$4="〇",R66&lt;&gt;"")+AND($S$4="〇",S66&lt;&gt;"")+AND($T$4="〇",T66&lt;&gt;"")+AND($U$4="〇",U66&lt;&gt;"")+AND($V$4="〇",V66&lt;&gt;"")+AND($W$4="〇",W66&lt;&gt;"")+AND($X$4="〇",X66&lt;&gt;"")+AND($Y$4="〇",Y66&lt;&gt;"")=0,"対象外","対象"))</f>
        <v>対象</v>
      </c>
      <c r="AB66" s="2639">
        <v>3</v>
      </c>
      <c r="AC66" s="2605"/>
      <c r="AD66" s="2635"/>
      <c r="AE66" s="2635"/>
      <c r="AF66" s="2635"/>
      <c r="AG66" s="2635"/>
      <c r="AH66" s="2636"/>
      <c r="AI66" s="2622">
        <f>IF(Z66="対象外","#DIV/0!",IF(AG66="",AB66,IF(AB66="",AG66,0)))</f>
        <v>3</v>
      </c>
      <c r="AJ66" s="2583">
        <f>AVERAGEIFS(AI66,AI66,"&lt;&gt;0",AI66,"&lt;&gt;#DIV/0!")</f>
        <v>3</v>
      </c>
      <c r="AK66" s="2638" t="b">
        <v>0</v>
      </c>
      <c r="AL66" s="2625">
        <f>IF(AK66=FALSE,AJ66,IF(AJ66=1,2,3))</f>
        <v>3</v>
      </c>
      <c r="AM66" s="2659">
        <f>AVERAGEIFS(AL66,AL66,"&lt;&gt;0",AL66,"&lt;&gt;#DIV/0!")</f>
        <v>3</v>
      </c>
    </row>
    <row r="67" spans="1:39" ht="30" customHeight="1">
      <c r="A67" s="3808"/>
      <c r="B67" s="3771" t="s">
        <v>3903</v>
      </c>
      <c r="C67" s="3747" t="s">
        <v>3910</v>
      </c>
      <c r="D67" s="2564" t="s">
        <v>3904</v>
      </c>
      <c r="E67" s="2565" t="s">
        <v>3483</v>
      </c>
      <c r="F67" s="2565" t="s">
        <v>3335</v>
      </c>
      <c r="G67" s="2571" t="s">
        <v>3382</v>
      </c>
      <c r="H67" s="2572" t="s">
        <v>3383</v>
      </c>
      <c r="I67" s="2573" t="str">
        <f t="shared" si="26"/>
        <v/>
      </c>
      <c r="J67" s="2573" t="str">
        <f t="shared" si="27"/>
        <v/>
      </c>
      <c r="K67" s="2573" t="str">
        <f t="shared" si="28"/>
        <v/>
      </c>
      <c r="L67" s="2580" t="str">
        <f>IF(L9="","（3.1.1の採点により自動転記）",L9)</f>
        <v>（3.1.1の採点により自動転記）</v>
      </c>
      <c r="M67" s="2565"/>
      <c r="N67" s="2575" t="str">
        <f t="shared" si="15"/>
        <v>対象外</v>
      </c>
      <c r="O67" s="2599"/>
      <c r="Q67" s="2576" t="s">
        <v>428</v>
      </c>
      <c r="R67" s="2576" t="s">
        <v>1465</v>
      </c>
      <c r="S67" s="2576" t="s">
        <v>1616</v>
      </c>
      <c r="T67" s="2576" t="s">
        <v>1721</v>
      </c>
      <c r="U67" s="2576" t="s">
        <v>1619</v>
      </c>
      <c r="V67" s="2576" t="s">
        <v>385</v>
      </c>
      <c r="W67" s="2576" t="s">
        <v>1620</v>
      </c>
      <c r="X67" s="2576" t="s">
        <v>383</v>
      </c>
      <c r="Y67" s="2576" t="s">
        <v>1722</v>
      </c>
      <c r="Z67" s="2618" t="str">
        <f t="shared" si="3"/>
        <v>対象外</v>
      </c>
      <c r="AB67" s="2635"/>
      <c r="AC67" s="2605"/>
      <c r="AD67" s="2620">
        <f>スコア!$Z$22</f>
        <v>0</v>
      </c>
      <c r="AE67" s="2620">
        <f>スコア!$AB$22</f>
        <v>0</v>
      </c>
      <c r="AF67" s="2621">
        <f t="shared" si="30"/>
        <v>0</v>
      </c>
      <c r="AG67" s="2622" t="str">
        <f t="shared" si="29"/>
        <v>#DIV/0!</v>
      </c>
      <c r="AH67" s="2623"/>
      <c r="AI67" s="2622" t="str">
        <f t="shared" si="7"/>
        <v>#DIV/0!</v>
      </c>
      <c r="AJ67" s="2583" t="e">
        <f t="shared" si="10"/>
        <v>#DIV/0!</v>
      </c>
      <c r="AK67" s="2633" t="b">
        <v>0</v>
      </c>
      <c r="AL67" s="2625" t="e">
        <f t="shared" si="6"/>
        <v>#DIV/0!</v>
      </c>
      <c r="AM67" s="2660">
        <f>AVERAGEIFS(AL67:AL72,AL67:AL72,"&lt;&gt;0",AL67:AL72,"&lt;&gt;#DIV/0!")</f>
        <v>2</v>
      </c>
    </row>
    <row r="68" spans="1:39" ht="30" customHeight="1">
      <c r="A68" s="3808"/>
      <c r="B68" s="3771"/>
      <c r="C68" s="3747"/>
      <c r="D68" s="2564" t="s">
        <v>3905</v>
      </c>
      <c r="E68" s="2565" t="s">
        <v>3484</v>
      </c>
      <c r="F68" s="2565" t="s">
        <v>3338</v>
      </c>
      <c r="G68" s="2571" t="s">
        <v>3382</v>
      </c>
      <c r="H68" s="2572" t="s">
        <v>3384</v>
      </c>
      <c r="I68" s="2573" t="str">
        <f t="shared" si="26"/>
        <v/>
      </c>
      <c r="J68" s="2573" t="str">
        <f t="shared" si="27"/>
        <v>●</v>
      </c>
      <c r="K68" s="2573" t="str">
        <f t="shared" si="28"/>
        <v/>
      </c>
      <c r="L68" s="2580" t="str">
        <f>IF(L10="","（3.1.2の採点により自動転記）",L10)</f>
        <v>（3.1.2の採点により自動転記）</v>
      </c>
      <c r="M68" s="2565"/>
      <c r="N68" s="2575">
        <f t="shared" si="15"/>
        <v>2</v>
      </c>
      <c r="O68" s="2599"/>
      <c r="Q68" s="2576" t="s">
        <v>428</v>
      </c>
      <c r="R68" s="2576" t="s">
        <v>1465</v>
      </c>
      <c r="S68" s="2576" t="s">
        <v>1616</v>
      </c>
      <c r="T68" s="2576" t="s">
        <v>1721</v>
      </c>
      <c r="U68" s="2576" t="s">
        <v>1619</v>
      </c>
      <c r="V68" s="2576" t="s">
        <v>385</v>
      </c>
      <c r="W68" s="2576" t="s">
        <v>1620</v>
      </c>
      <c r="X68" s="2576" t="s">
        <v>383</v>
      </c>
      <c r="Y68" s="2576" t="s">
        <v>1722</v>
      </c>
      <c r="Z68" s="2618" t="str">
        <f t="shared" si="3"/>
        <v>対象</v>
      </c>
      <c r="AB68" s="2635"/>
      <c r="AC68" s="2605"/>
      <c r="AD68" s="2620">
        <f>スコア!$Z$24</f>
        <v>3</v>
      </c>
      <c r="AE68" s="2620">
        <f>スコア!$AB$24</f>
        <v>3</v>
      </c>
      <c r="AF68" s="2621">
        <f t="shared" si="30"/>
        <v>3</v>
      </c>
      <c r="AG68" s="2622">
        <f t="shared" si="29"/>
        <v>2</v>
      </c>
      <c r="AH68" s="2623"/>
      <c r="AI68" s="2622">
        <f t="shared" si="7"/>
        <v>2</v>
      </c>
      <c r="AJ68" s="2583">
        <f t="shared" si="10"/>
        <v>2</v>
      </c>
      <c r="AK68" s="2633" t="b">
        <v>0</v>
      </c>
      <c r="AL68" s="2625">
        <f t="shared" si="6"/>
        <v>2</v>
      </c>
      <c r="AM68" s="2665"/>
    </row>
    <row r="69" spans="1:39" ht="30" customHeight="1">
      <c r="A69" s="3808"/>
      <c r="B69" s="3771"/>
      <c r="C69" s="3747"/>
      <c r="D69" s="2564" t="s">
        <v>3906</v>
      </c>
      <c r="E69" s="2565" t="s">
        <v>4016</v>
      </c>
      <c r="F69" s="2565" t="s">
        <v>3761</v>
      </c>
      <c r="G69" s="2571" t="s">
        <v>3382</v>
      </c>
      <c r="H69" s="2572" t="s">
        <v>3388</v>
      </c>
      <c r="I69" s="2573" t="str">
        <f t="shared" si="26"/>
        <v/>
      </c>
      <c r="J69" s="2573" t="str">
        <f t="shared" si="27"/>
        <v>●</v>
      </c>
      <c r="K69" s="2573" t="str">
        <f t="shared" si="28"/>
        <v/>
      </c>
      <c r="L69" s="2580" t="str">
        <f>IF(L18="","（3.3.1の採点により自動転記）",L18)</f>
        <v>（3.3.1の採点により自動転記）</v>
      </c>
      <c r="M69" s="2565"/>
      <c r="N69" s="2575">
        <f t="shared" si="15"/>
        <v>2</v>
      </c>
      <c r="O69" s="2599"/>
      <c r="Q69" s="2576" t="s">
        <v>428</v>
      </c>
      <c r="R69" s="2576" t="s">
        <v>1465</v>
      </c>
      <c r="S69" s="2576" t="s">
        <v>1616</v>
      </c>
      <c r="T69" s="2576" t="s">
        <v>1721</v>
      </c>
      <c r="U69" s="2576" t="s">
        <v>1619</v>
      </c>
      <c r="V69" s="2576" t="s">
        <v>385</v>
      </c>
      <c r="W69" s="2576" t="s">
        <v>1620</v>
      </c>
      <c r="X69" s="2576" t="s">
        <v>383</v>
      </c>
      <c r="Y69" s="2576" t="s">
        <v>1722</v>
      </c>
      <c r="Z69" s="2618" t="str">
        <f t="shared" si="3"/>
        <v>対象</v>
      </c>
      <c r="AB69" s="2635"/>
      <c r="AC69" s="2605"/>
      <c r="AD69" s="2620">
        <f>スコア!$Z$39</f>
        <v>3</v>
      </c>
      <c r="AE69" s="2620">
        <f>スコア!$AB$39</f>
        <v>3</v>
      </c>
      <c r="AF69" s="2621">
        <f t="shared" si="30"/>
        <v>3</v>
      </c>
      <c r="AG69" s="2622">
        <f t="shared" si="29"/>
        <v>2</v>
      </c>
      <c r="AH69" s="2623"/>
      <c r="AI69" s="2622">
        <f t="shared" si="7"/>
        <v>2</v>
      </c>
      <c r="AJ69" s="2583">
        <f t="shared" si="10"/>
        <v>2</v>
      </c>
      <c r="AK69" s="2633" t="b">
        <v>0</v>
      </c>
      <c r="AL69" s="2625">
        <f t="shared" si="6"/>
        <v>2</v>
      </c>
      <c r="AM69" s="2665"/>
    </row>
    <row r="70" spans="1:39" ht="30" customHeight="1">
      <c r="A70" s="3808"/>
      <c r="B70" s="3771"/>
      <c r="C70" s="3747"/>
      <c r="D70" s="2564" t="s">
        <v>3907</v>
      </c>
      <c r="E70" s="2565" t="s">
        <v>3485</v>
      </c>
      <c r="F70" s="2565" t="s">
        <v>3762</v>
      </c>
      <c r="G70" s="2571" t="s">
        <v>3382</v>
      </c>
      <c r="H70" s="2572" t="s">
        <v>3414</v>
      </c>
      <c r="I70" s="2573" t="str">
        <f t="shared" si="26"/>
        <v/>
      </c>
      <c r="J70" s="2573" t="str">
        <f t="shared" si="27"/>
        <v>●</v>
      </c>
      <c r="K70" s="2573" t="str">
        <f t="shared" si="28"/>
        <v/>
      </c>
      <c r="L70" s="2580" t="str">
        <f>IF(L13="","（3.2.1の採点により自動転記）",L13)</f>
        <v>（3.2.1の採点により自動転記）</v>
      </c>
      <c r="M70" s="2565"/>
      <c r="N70" s="2575">
        <f t="shared" si="15"/>
        <v>2</v>
      </c>
      <c r="O70" s="2599"/>
      <c r="Q70" s="2576" t="s">
        <v>428</v>
      </c>
      <c r="R70" s="2576" t="s">
        <v>1465</v>
      </c>
      <c r="S70" s="2576" t="s">
        <v>1616</v>
      </c>
      <c r="T70" s="2576" t="s">
        <v>1721</v>
      </c>
      <c r="U70" s="2576" t="s">
        <v>1619</v>
      </c>
      <c r="V70" s="2576" t="s">
        <v>385</v>
      </c>
      <c r="W70" s="2576" t="s">
        <v>1620</v>
      </c>
      <c r="X70" s="2576" t="s">
        <v>383</v>
      </c>
      <c r="Y70" s="2576" t="s">
        <v>1722</v>
      </c>
      <c r="Z70" s="2618" t="str">
        <f t="shared" si="3"/>
        <v>対象</v>
      </c>
      <c r="AB70" s="2635"/>
      <c r="AC70" s="2605"/>
      <c r="AD70" s="2620">
        <f>スコア!$Z$54</f>
        <v>3</v>
      </c>
      <c r="AE70" s="2620">
        <f>スコア!$AB$54</f>
        <v>3</v>
      </c>
      <c r="AF70" s="2621">
        <f t="shared" si="30"/>
        <v>3</v>
      </c>
      <c r="AG70" s="2622">
        <f t="shared" si="29"/>
        <v>2</v>
      </c>
      <c r="AH70" s="2623"/>
      <c r="AI70" s="2622">
        <f t="shared" si="7"/>
        <v>2</v>
      </c>
      <c r="AJ70" s="2583">
        <f t="shared" si="10"/>
        <v>2</v>
      </c>
      <c r="AK70" s="2633" t="b">
        <v>0</v>
      </c>
      <c r="AL70" s="2625">
        <f t="shared" si="6"/>
        <v>2</v>
      </c>
      <c r="AM70" s="2665"/>
    </row>
    <row r="71" spans="1:39" ht="30" customHeight="1">
      <c r="A71" s="3808"/>
      <c r="B71" s="3771"/>
      <c r="C71" s="3747"/>
      <c r="D71" s="2564" t="s">
        <v>3908</v>
      </c>
      <c r="E71" s="2565" t="s">
        <v>3486</v>
      </c>
      <c r="F71" s="2565" t="s">
        <v>3763</v>
      </c>
      <c r="G71" s="2571" t="s">
        <v>3382</v>
      </c>
      <c r="H71" s="2572" t="s">
        <v>3487</v>
      </c>
      <c r="I71" s="2573" t="str">
        <f t="shared" si="26"/>
        <v/>
      </c>
      <c r="J71" s="2573" t="str">
        <f t="shared" si="27"/>
        <v>●</v>
      </c>
      <c r="K71" s="2573" t="str">
        <f t="shared" si="28"/>
        <v/>
      </c>
      <c r="L71" s="2580" t="str">
        <f>IF(L15="","（3.2.3の採点により自動転記）",L15)</f>
        <v>（3.2.3の採点により自動転記）</v>
      </c>
      <c r="M71" s="2565"/>
      <c r="N71" s="2575">
        <f t="shared" si="15"/>
        <v>2</v>
      </c>
      <c r="O71" s="2599"/>
      <c r="Q71" s="2576" t="s">
        <v>428</v>
      </c>
      <c r="R71" s="2576" t="s">
        <v>1465</v>
      </c>
      <c r="S71" s="2576" t="s">
        <v>1616</v>
      </c>
      <c r="T71" s="2576" t="s">
        <v>1721</v>
      </c>
      <c r="U71" s="2576" t="s">
        <v>1619</v>
      </c>
      <c r="V71" s="2576" t="s">
        <v>385</v>
      </c>
      <c r="W71" s="2576" t="s">
        <v>1620</v>
      </c>
      <c r="X71" s="2576" t="s">
        <v>383</v>
      </c>
      <c r="Y71" s="2576" t="s">
        <v>1722</v>
      </c>
      <c r="Z71" s="2618" t="str">
        <f t="shared" si="3"/>
        <v>対象</v>
      </c>
      <c r="AB71" s="2635"/>
      <c r="AC71" s="2605"/>
      <c r="AD71" s="2620">
        <f>スコア!$Z$50</f>
        <v>3</v>
      </c>
      <c r="AE71" s="2620">
        <f>スコア!$AB$50</f>
        <v>3</v>
      </c>
      <c r="AF71" s="2621">
        <f t="shared" si="30"/>
        <v>3</v>
      </c>
      <c r="AG71" s="2622">
        <f t="shared" si="29"/>
        <v>2</v>
      </c>
      <c r="AH71" s="2623"/>
      <c r="AI71" s="2622">
        <f t="shared" si="7"/>
        <v>2</v>
      </c>
      <c r="AJ71" s="2583">
        <f t="shared" si="10"/>
        <v>2</v>
      </c>
      <c r="AK71" s="2633" t="b">
        <v>0</v>
      </c>
      <c r="AL71" s="2625">
        <f t="shared" si="6"/>
        <v>2</v>
      </c>
      <c r="AM71" s="2665"/>
    </row>
    <row r="72" spans="1:39" ht="30" customHeight="1">
      <c r="A72" s="3808"/>
      <c r="B72" s="3771"/>
      <c r="C72" s="3747"/>
      <c r="D72" s="2564" t="s">
        <v>3909</v>
      </c>
      <c r="E72" s="2565" t="s">
        <v>3488</v>
      </c>
      <c r="F72" s="2565" t="s">
        <v>4029</v>
      </c>
      <c r="G72" s="2571" t="s">
        <v>3382</v>
      </c>
      <c r="H72" s="2572" t="s">
        <v>3397</v>
      </c>
      <c r="I72" s="2573" t="str">
        <f t="shared" si="26"/>
        <v/>
      </c>
      <c r="J72" s="2573" t="str">
        <f t="shared" si="27"/>
        <v>●</v>
      </c>
      <c r="K72" s="2573" t="str">
        <f t="shared" si="28"/>
        <v/>
      </c>
      <c r="L72" s="2580" t="str">
        <f>IF(L21="","（3.4.1の採点により自動転記）",L21)</f>
        <v>（3.4.1の採点により自動転記）</v>
      </c>
      <c r="M72" s="2565"/>
      <c r="N72" s="2575">
        <f t="shared" si="15"/>
        <v>2</v>
      </c>
      <c r="O72" s="2599"/>
      <c r="Q72" s="2576" t="s">
        <v>428</v>
      </c>
      <c r="R72" s="2576" t="s">
        <v>1465</v>
      </c>
      <c r="S72" s="2576" t="s">
        <v>1616</v>
      </c>
      <c r="T72" s="2576" t="s">
        <v>1721</v>
      </c>
      <c r="U72" s="2576" t="s">
        <v>1619</v>
      </c>
      <c r="V72" s="2576" t="s">
        <v>385</v>
      </c>
      <c r="W72" s="2576" t="s">
        <v>1620</v>
      </c>
      <c r="X72" s="2576" t="s">
        <v>383</v>
      </c>
      <c r="Y72" s="2576" t="s">
        <v>1722</v>
      </c>
      <c r="Z72" s="2618" t="str">
        <f t="shared" si="3"/>
        <v>対象</v>
      </c>
      <c r="AB72" s="2635"/>
      <c r="AC72" s="2605"/>
      <c r="AD72" s="2620">
        <f>スコア!$Z$10</f>
        <v>3</v>
      </c>
      <c r="AE72" s="2620">
        <f>スコア!$AB$10</f>
        <v>3</v>
      </c>
      <c r="AF72" s="2621">
        <f t="shared" si="30"/>
        <v>3</v>
      </c>
      <c r="AG72" s="2622">
        <f t="shared" si="29"/>
        <v>2</v>
      </c>
      <c r="AH72" s="2623"/>
      <c r="AI72" s="2622">
        <f t="shared" si="7"/>
        <v>2</v>
      </c>
      <c r="AJ72" s="2583">
        <f t="shared" si="10"/>
        <v>2</v>
      </c>
      <c r="AK72" s="2633" t="b">
        <v>0</v>
      </c>
      <c r="AL72" s="2625">
        <f t="shared" si="6"/>
        <v>2</v>
      </c>
      <c r="AM72" s="2666"/>
    </row>
    <row r="73" spans="1:39" ht="30" customHeight="1">
      <c r="A73" s="3808"/>
      <c r="B73" s="3771">
        <v>8.3000000000000007</v>
      </c>
      <c r="C73" s="3747" t="s">
        <v>3489</v>
      </c>
      <c r="D73" s="2564" t="s">
        <v>3490</v>
      </c>
      <c r="E73" s="2567" t="s">
        <v>3491</v>
      </c>
      <c r="F73" s="2567" t="s">
        <v>4047</v>
      </c>
      <c r="G73" s="2571" t="s">
        <v>3382</v>
      </c>
      <c r="H73" s="2572" t="s">
        <v>4048</v>
      </c>
      <c r="I73" s="2573" t="str">
        <f t="shared" ref="I73:I84" si="31">IF(AI73=1,"●","")</f>
        <v/>
      </c>
      <c r="J73" s="2573" t="str">
        <f t="shared" ref="J73:J84" si="32">IF(AI73=2,"●","")</f>
        <v>●</v>
      </c>
      <c r="K73" s="2573" t="str">
        <f t="shared" ref="K73:K84" si="33">IF(AI73=3,"●","")</f>
        <v/>
      </c>
      <c r="L73" s="2574"/>
      <c r="M73" s="2565"/>
      <c r="N73" s="2575">
        <f t="shared" si="15"/>
        <v>2</v>
      </c>
      <c r="O73" s="2599"/>
      <c r="Q73" s="2576" t="s">
        <v>428</v>
      </c>
      <c r="R73" s="2576" t="s">
        <v>1465</v>
      </c>
      <c r="S73" s="2576" t="s">
        <v>1616</v>
      </c>
      <c r="T73" s="2576" t="s">
        <v>1721</v>
      </c>
      <c r="U73" s="2576" t="s">
        <v>1619</v>
      </c>
      <c r="V73" s="2576" t="s">
        <v>385</v>
      </c>
      <c r="W73" s="2576" t="s">
        <v>1620</v>
      </c>
      <c r="X73" s="2576" t="s">
        <v>383</v>
      </c>
      <c r="Y73" s="2576" t="s">
        <v>1722</v>
      </c>
      <c r="Z73" s="2618" t="str">
        <f t="shared" ref="Z73:Z142" si="34">IF(AG73="#DIV/0!","対象外",IF(AND($Q$4="〇",Q73&lt;&gt;"")+AND($R$4="〇",R73&lt;&gt;"")+AND($S$4="〇",S73&lt;&gt;"")+AND($T$4="〇",T73&lt;&gt;"")+AND($U$4="〇",U73&lt;&gt;"")+AND($V$4="〇",V73&lt;&gt;"")+AND($W$4="〇",W73&lt;&gt;"")+AND($X$4="〇",X73&lt;&gt;"")+AND($Y$4="〇",Y73&lt;&gt;"")=0,"対象外","対象"))</f>
        <v>対象</v>
      </c>
      <c r="AB73" s="2635"/>
      <c r="AC73" s="2605"/>
      <c r="AD73" s="2620">
        <f>スコア!$Z$152</f>
        <v>2</v>
      </c>
      <c r="AE73" s="2620">
        <f>スコア!$AB$152</f>
        <v>0</v>
      </c>
      <c r="AF73" s="2621">
        <f>IF(AE73=0,AD73,IF(AD73=0,AE73,AD73*$AD$6+AE73*$AE$6))</f>
        <v>2</v>
      </c>
      <c r="AG73" s="2622">
        <f t="shared" si="29"/>
        <v>2</v>
      </c>
      <c r="AH73" s="2623"/>
      <c r="AI73" s="2622">
        <f>IF(Z73="対象外","#DIV/0!",IF(AG73="",AB73,IF(AB73="",AG73,0)))</f>
        <v>2</v>
      </c>
      <c r="AJ73" s="2583">
        <f t="shared" si="10"/>
        <v>2</v>
      </c>
      <c r="AK73" s="2633" t="b">
        <v>0</v>
      </c>
      <c r="AL73" s="2625">
        <f t="shared" ref="AL73:AL100" si="35">IF(AK73=FALSE,AJ73,IF(AJ73=1,2,3))</f>
        <v>2</v>
      </c>
      <c r="AM73" s="2660">
        <f>AVERAGEIFS(AL73:AL78,AL73:AL78,"&lt;&gt;0",AL73:AL78,"&lt;&gt;#DIV/0!")</f>
        <v>2.1666666666666665</v>
      </c>
    </row>
    <row r="74" spans="1:39" ht="30" customHeight="1">
      <c r="A74" s="3808"/>
      <c r="B74" s="3771"/>
      <c r="C74" s="3747"/>
      <c r="D74" s="2564" t="s">
        <v>3492</v>
      </c>
      <c r="E74" s="2567" t="s">
        <v>3493</v>
      </c>
      <c r="F74" s="2567" t="s">
        <v>3494</v>
      </c>
      <c r="G74" s="2571" t="s">
        <v>3382</v>
      </c>
      <c r="H74" s="2572" t="s">
        <v>3495</v>
      </c>
      <c r="I74" s="2573" t="str">
        <f t="shared" si="31"/>
        <v/>
      </c>
      <c r="J74" s="2573" t="str">
        <f t="shared" si="32"/>
        <v>●</v>
      </c>
      <c r="K74" s="2573" t="str">
        <f t="shared" si="33"/>
        <v/>
      </c>
      <c r="L74" s="2574"/>
      <c r="M74" s="2565"/>
      <c r="N74" s="2575">
        <f t="shared" si="15"/>
        <v>2</v>
      </c>
      <c r="O74" s="2599"/>
      <c r="Q74" s="2576" t="s">
        <v>428</v>
      </c>
      <c r="R74" s="2576" t="s">
        <v>1465</v>
      </c>
      <c r="S74" s="2576" t="s">
        <v>1616</v>
      </c>
      <c r="T74" s="2576" t="s">
        <v>1721</v>
      </c>
      <c r="U74" s="2576" t="s">
        <v>1619</v>
      </c>
      <c r="V74" s="2576" t="s">
        <v>385</v>
      </c>
      <c r="W74" s="2576" t="s">
        <v>1620</v>
      </c>
      <c r="X74" s="2576" t="s">
        <v>383</v>
      </c>
      <c r="Y74" s="2576" t="s">
        <v>1722</v>
      </c>
      <c r="Z74" s="2618" t="str">
        <f t="shared" si="34"/>
        <v>対象</v>
      </c>
      <c r="AB74" s="2635"/>
      <c r="AC74" s="2605"/>
      <c r="AD74" s="2620">
        <f>スコア!$Z$153</f>
        <v>3</v>
      </c>
      <c r="AE74" s="2620">
        <f>スコア!$AB$153</f>
        <v>0</v>
      </c>
      <c r="AF74" s="2621">
        <f t="shared" ref="AF74:AF84" si="36">IF(AE74=0,AD74,IF(AD74=0,AE74,AD74*$AD$6+AE74*$AE$6))</f>
        <v>3</v>
      </c>
      <c r="AG74" s="2622">
        <f t="shared" si="29"/>
        <v>2</v>
      </c>
      <c r="AH74" s="2623"/>
      <c r="AI74" s="2622">
        <f>IF(Z74="対象外","#DIV/0!",IF(AG74="",AB74,IF(AB74="",AG74,0)))</f>
        <v>2</v>
      </c>
      <c r="AJ74" s="2583">
        <f t="shared" si="10"/>
        <v>2</v>
      </c>
      <c r="AK74" s="2633" t="b">
        <v>0</v>
      </c>
      <c r="AL74" s="2625">
        <f t="shared" si="35"/>
        <v>2</v>
      </c>
      <c r="AM74" s="2659"/>
    </row>
    <row r="75" spans="1:39" ht="30" customHeight="1">
      <c r="A75" s="3808"/>
      <c r="B75" s="3771"/>
      <c r="C75" s="3747"/>
      <c r="D75" s="2564" t="s">
        <v>3496</v>
      </c>
      <c r="E75" s="2567" t="s">
        <v>3497</v>
      </c>
      <c r="F75" s="2567" t="s">
        <v>3765</v>
      </c>
      <c r="G75" s="2571" t="s">
        <v>3382</v>
      </c>
      <c r="H75" s="2572" t="s">
        <v>3498</v>
      </c>
      <c r="I75" s="2573" t="str">
        <f t="shared" si="31"/>
        <v/>
      </c>
      <c r="J75" s="2573" t="str">
        <f t="shared" si="32"/>
        <v>●</v>
      </c>
      <c r="K75" s="2573" t="str">
        <f t="shared" si="33"/>
        <v/>
      </c>
      <c r="L75" s="2574"/>
      <c r="M75" s="2565"/>
      <c r="N75" s="2575">
        <f t="shared" si="15"/>
        <v>2</v>
      </c>
      <c r="O75" s="2599"/>
      <c r="Q75" s="2576" t="s">
        <v>428</v>
      </c>
      <c r="R75" s="2576" t="s">
        <v>1465</v>
      </c>
      <c r="S75" s="2576" t="s">
        <v>1616</v>
      </c>
      <c r="T75" s="2576" t="s">
        <v>1721</v>
      </c>
      <c r="U75" s="2576" t="s">
        <v>1619</v>
      </c>
      <c r="V75" s="2576" t="s">
        <v>385</v>
      </c>
      <c r="W75" s="2576" t="s">
        <v>1620</v>
      </c>
      <c r="X75" s="2576" t="s">
        <v>383</v>
      </c>
      <c r="Y75" s="2576" t="s">
        <v>1722</v>
      </c>
      <c r="Z75" s="2618" t="str">
        <f t="shared" si="34"/>
        <v>対象</v>
      </c>
      <c r="AB75" s="2635"/>
      <c r="AC75" s="2605"/>
      <c r="AD75" s="2620">
        <f>スコア!$Z$154</f>
        <v>3</v>
      </c>
      <c r="AE75" s="2620">
        <f>スコア!$AB$154</f>
        <v>0</v>
      </c>
      <c r="AF75" s="2621">
        <f t="shared" si="36"/>
        <v>3</v>
      </c>
      <c r="AG75" s="2622">
        <f t="shared" si="29"/>
        <v>2</v>
      </c>
      <c r="AH75" s="2623"/>
      <c r="AI75" s="2622">
        <f t="shared" ref="AI75:AI90" si="37">IF(Z75="対象外","#DIV/0!",IF(AG75="",AB75,IF(AB75="",AG75,0)))</f>
        <v>2</v>
      </c>
      <c r="AJ75" s="2583">
        <f t="shared" si="10"/>
        <v>2</v>
      </c>
      <c r="AK75" s="2633" t="b">
        <v>0</v>
      </c>
      <c r="AL75" s="2625">
        <f t="shared" si="35"/>
        <v>2</v>
      </c>
      <c r="AM75" s="2659"/>
    </row>
    <row r="76" spans="1:39" ht="30" customHeight="1">
      <c r="A76" s="3808"/>
      <c r="B76" s="3771"/>
      <c r="C76" s="3747"/>
      <c r="D76" s="2564" t="s">
        <v>3499</v>
      </c>
      <c r="E76" s="2567" t="s">
        <v>3500</v>
      </c>
      <c r="F76" s="2567" t="s">
        <v>3501</v>
      </c>
      <c r="G76" s="2571" t="s">
        <v>3382</v>
      </c>
      <c r="H76" s="2572" t="s">
        <v>3810</v>
      </c>
      <c r="I76" s="2573" t="str">
        <f t="shared" si="31"/>
        <v/>
      </c>
      <c r="J76" s="2573" t="str">
        <f t="shared" si="32"/>
        <v/>
      </c>
      <c r="K76" s="2573" t="str">
        <f t="shared" si="33"/>
        <v>●</v>
      </c>
      <c r="L76" s="2574"/>
      <c r="M76" s="2565"/>
      <c r="N76" s="2575">
        <f t="shared" si="15"/>
        <v>3</v>
      </c>
      <c r="O76" s="2599"/>
      <c r="Q76" s="2576" t="s">
        <v>428</v>
      </c>
      <c r="R76" s="2576" t="s">
        <v>1465</v>
      </c>
      <c r="S76" s="2576" t="s">
        <v>1616</v>
      </c>
      <c r="T76" s="2576" t="s">
        <v>1721</v>
      </c>
      <c r="U76" s="2576" t="s">
        <v>1619</v>
      </c>
      <c r="V76" s="2576" t="s">
        <v>385</v>
      </c>
      <c r="W76" s="2576" t="s">
        <v>1620</v>
      </c>
      <c r="X76" s="2576" t="s">
        <v>383</v>
      </c>
      <c r="Y76" s="2576" t="s">
        <v>1722</v>
      </c>
      <c r="Z76" s="2618" t="str">
        <f t="shared" si="34"/>
        <v>対象</v>
      </c>
      <c r="AB76" s="2635"/>
      <c r="AC76" s="2605"/>
      <c r="AD76" s="2620">
        <f>スコア!$Z$155</f>
        <v>4</v>
      </c>
      <c r="AE76" s="2620">
        <f>スコア!$AB$155</f>
        <v>0</v>
      </c>
      <c r="AF76" s="2621">
        <f t="shared" si="36"/>
        <v>4</v>
      </c>
      <c r="AG76" s="2622">
        <f t="shared" si="29"/>
        <v>3</v>
      </c>
      <c r="AH76" s="2623"/>
      <c r="AI76" s="2622">
        <f t="shared" si="37"/>
        <v>3</v>
      </c>
      <c r="AJ76" s="2583">
        <f t="shared" si="10"/>
        <v>3</v>
      </c>
      <c r="AK76" s="2633" t="b">
        <v>0</v>
      </c>
      <c r="AL76" s="2625">
        <f t="shared" si="35"/>
        <v>3</v>
      </c>
      <c r="AM76" s="2659"/>
    </row>
    <row r="77" spans="1:39" ht="30" customHeight="1">
      <c r="A77" s="3808"/>
      <c r="B77" s="3771"/>
      <c r="C77" s="3747"/>
      <c r="D77" s="2564" t="s">
        <v>3503</v>
      </c>
      <c r="E77" s="2567" t="s">
        <v>3504</v>
      </c>
      <c r="F77" s="2567" t="s">
        <v>3766</v>
      </c>
      <c r="G77" s="2571" t="s">
        <v>3382</v>
      </c>
      <c r="H77" s="2572" t="s">
        <v>3811</v>
      </c>
      <c r="I77" s="2573" t="str">
        <f t="shared" si="31"/>
        <v/>
      </c>
      <c r="J77" s="2573" t="str">
        <f t="shared" si="32"/>
        <v>●</v>
      </c>
      <c r="K77" s="2573" t="str">
        <f t="shared" si="33"/>
        <v/>
      </c>
      <c r="L77" s="2578"/>
      <c r="M77" s="2565"/>
      <c r="N77" s="2575">
        <f t="shared" si="15"/>
        <v>2</v>
      </c>
      <c r="O77" s="2599"/>
      <c r="Q77" s="2576" t="s">
        <v>428</v>
      </c>
      <c r="R77" s="2576" t="s">
        <v>1465</v>
      </c>
      <c r="S77" s="2576" t="s">
        <v>1616</v>
      </c>
      <c r="T77" s="2576" t="s">
        <v>1721</v>
      </c>
      <c r="U77" s="2576" t="s">
        <v>1619</v>
      </c>
      <c r="V77" s="2576" t="s">
        <v>385</v>
      </c>
      <c r="W77" s="2576" t="s">
        <v>1620</v>
      </c>
      <c r="X77" s="2576" t="s">
        <v>383</v>
      </c>
      <c r="Y77" s="2576" t="s">
        <v>1722</v>
      </c>
      <c r="Z77" s="2618" t="str">
        <f t="shared" si="34"/>
        <v>対象</v>
      </c>
      <c r="AB77" s="2635"/>
      <c r="AC77" s="2605"/>
      <c r="AD77" s="2620">
        <f>スコア!$Z$156</f>
        <v>3</v>
      </c>
      <c r="AE77" s="2620">
        <f>スコア!$AB$156</f>
        <v>0</v>
      </c>
      <c r="AF77" s="2621">
        <f t="shared" si="36"/>
        <v>3</v>
      </c>
      <c r="AG77" s="2622">
        <f t="shared" si="29"/>
        <v>2</v>
      </c>
      <c r="AH77" s="2623"/>
      <c r="AI77" s="2622">
        <f t="shared" si="37"/>
        <v>2</v>
      </c>
      <c r="AJ77" s="2583">
        <f t="shared" ref="AJ77:AJ100" si="38">AVERAGEIFS(AI77,AI77,"&lt;&gt;0",AI77,"&lt;&gt;#DIV/0!")</f>
        <v>2</v>
      </c>
      <c r="AK77" s="2633" t="b">
        <v>0</v>
      </c>
      <c r="AL77" s="2625">
        <f t="shared" si="35"/>
        <v>2</v>
      </c>
      <c r="AM77" s="2659"/>
    </row>
    <row r="78" spans="1:39" ht="30" customHeight="1">
      <c r="A78" s="3808"/>
      <c r="B78" s="3771"/>
      <c r="C78" s="3747"/>
      <c r="D78" s="2564" t="s">
        <v>3505</v>
      </c>
      <c r="E78" s="2567" t="s">
        <v>3506</v>
      </c>
      <c r="F78" s="2567" t="s">
        <v>3507</v>
      </c>
      <c r="G78" s="2571" t="s">
        <v>3382</v>
      </c>
      <c r="H78" s="2572" t="s">
        <v>3508</v>
      </c>
      <c r="I78" s="2573" t="str">
        <f t="shared" si="31"/>
        <v/>
      </c>
      <c r="J78" s="2573" t="str">
        <f t="shared" si="32"/>
        <v>●</v>
      </c>
      <c r="K78" s="2573" t="str">
        <f t="shared" si="33"/>
        <v/>
      </c>
      <c r="L78" s="2574"/>
      <c r="M78" s="2565"/>
      <c r="N78" s="2575">
        <f t="shared" si="15"/>
        <v>2</v>
      </c>
      <c r="O78" s="2599"/>
      <c r="Q78" s="2576" t="s">
        <v>428</v>
      </c>
      <c r="R78" s="2576" t="s">
        <v>1465</v>
      </c>
      <c r="S78" s="2576" t="s">
        <v>1616</v>
      </c>
      <c r="T78" s="2576" t="s">
        <v>1721</v>
      </c>
      <c r="U78" s="2576" t="s">
        <v>1619</v>
      </c>
      <c r="V78" s="2576" t="s">
        <v>385</v>
      </c>
      <c r="W78" s="2576" t="s">
        <v>1620</v>
      </c>
      <c r="X78" s="2576" t="s">
        <v>383</v>
      </c>
      <c r="Y78" s="2576" t="s">
        <v>1722</v>
      </c>
      <c r="Z78" s="2618" t="str">
        <f t="shared" si="34"/>
        <v>対象</v>
      </c>
      <c r="AB78" s="2635"/>
      <c r="AC78" s="2605"/>
      <c r="AD78" s="2620">
        <f>スコア!$Z$157</f>
        <v>3</v>
      </c>
      <c r="AE78" s="2620">
        <f>スコア!$AB$157</f>
        <v>0</v>
      </c>
      <c r="AF78" s="2621">
        <f t="shared" si="36"/>
        <v>3</v>
      </c>
      <c r="AG78" s="2622">
        <f t="shared" si="29"/>
        <v>2</v>
      </c>
      <c r="AH78" s="2623"/>
      <c r="AI78" s="2622">
        <f t="shared" si="37"/>
        <v>2</v>
      </c>
      <c r="AJ78" s="2583">
        <f t="shared" si="38"/>
        <v>2</v>
      </c>
      <c r="AK78" s="2633" t="b">
        <v>0</v>
      </c>
      <c r="AL78" s="2625">
        <f t="shared" si="35"/>
        <v>2</v>
      </c>
      <c r="AM78" s="2659"/>
    </row>
    <row r="79" spans="1:39" ht="30" customHeight="1">
      <c r="A79" s="3808"/>
      <c r="B79" s="3771">
        <v>8.4</v>
      </c>
      <c r="C79" s="3747" t="s">
        <v>3509</v>
      </c>
      <c r="D79" s="2564" t="s">
        <v>3510</v>
      </c>
      <c r="E79" s="2565" t="s">
        <v>3511</v>
      </c>
      <c r="F79" s="2567" t="s">
        <v>3767</v>
      </c>
      <c r="G79" s="2571" t="s">
        <v>3382</v>
      </c>
      <c r="H79" s="2572" t="s">
        <v>3512</v>
      </c>
      <c r="I79" s="2573" t="str">
        <f t="shared" si="31"/>
        <v/>
      </c>
      <c r="J79" s="2573" t="str">
        <f t="shared" si="32"/>
        <v>●</v>
      </c>
      <c r="K79" s="2573" t="str">
        <f t="shared" si="33"/>
        <v/>
      </c>
      <c r="L79" s="2574"/>
      <c r="M79" s="2565"/>
      <c r="N79" s="2575">
        <f t="shared" si="15"/>
        <v>2</v>
      </c>
      <c r="O79" s="2599"/>
      <c r="Q79" s="2576" t="s">
        <v>428</v>
      </c>
      <c r="R79" s="2576" t="s">
        <v>1465</v>
      </c>
      <c r="S79" s="2576" t="s">
        <v>1616</v>
      </c>
      <c r="T79" s="2576" t="s">
        <v>1721</v>
      </c>
      <c r="U79" s="2576" t="s">
        <v>1619</v>
      </c>
      <c r="V79" s="2576" t="s">
        <v>385</v>
      </c>
      <c r="W79" s="2576" t="s">
        <v>1620</v>
      </c>
      <c r="X79" s="2576" t="s">
        <v>383</v>
      </c>
      <c r="Y79" s="2576" t="s">
        <v>1722</v>
      </c>
      <c r="Z79" s="2618" t="str">
        <f t="shared" si="34"/>
        <v>対象</v>
      </c>
      <c r="AB79" s="2635"/>
      <c r="AC79" s="2605"/>
      <c r="AD79" s="2620">
        <f>スコア!$Z$83</f>
        <v>3</v>
      </c>
      <c r="AE79" s="2620">
        <f>スコア!$AB$83</f>
        <v>0</v>
      </c>
      <c r="AF79" s="2621">
        <f t="shared" si="36"/>
        <v>3</v>
      </c>
      <c r="AG79" s="2622">
        <f t="shared" si="29"/>
        <v>2</v>
      </c>
      <c r="AH79" s="2623"/>
      <c r="AI79" s="2622">
        <f t="shared" si="37"/>
        <v>2</v>
      </c>
      <c r="AJ79" s="2583">
        <f t="shared" si="38"/>
        <v>2</v>
      </c>
      <c r="AK79" s="2633" t="b">
        <v>0</v>
      </c>
      <c r="AL79" s="2625">
        <f t="shared" si="35"/>
        <v>2</v>
      </c>
      <c r="AM79" s="2660">
        <f>AVERAGEIFS(AL79:AL86,AL79:AL86,"&lt;&gt;0",AL79:AL86,"&lt;&gt;#DIV/0!")</f>
        <v>2</v>
      </c>
    </row>
    <row r="80" spans="1:39" ht="30" customHeight="1">
      <c r="A80" s="3808"/>
      <c r="B80" s="3771"/>
      <c r="C80" s="3747"/>
      <c r="D80" s="2564" t="s">
        <v>3513</v>
      </c>
      <c r="E80" s="2565" t="s">
        <v>3514</v>
      </c>
      <c r="F80" s="2567" t="s">
        <v>3515</v>
      </c>
      <c r="G80" s="2571" t="s">
        <v>3382</v>
      </c>
      <c r="H80" s="2572" t="s">
        <v>3516</v>
      </c>
      <c r="I80" s="2573" t="str">
        <f t="shared" si="31"/>
        <v/>
      </c>
      <c r="J80" s="2573" t="str">
        <f t="shared" si="32"/>
        <v>●</v>
      </c>
      <c r="K80" s="2573" t="str">
        <f t="shared" si="33"/>
        <v/>
      </c>
      <c r="L80" s="2574"/>
      <c r="M80" s="2565"/>
      <c r="N80" s="2575">
        <f t="shared" si="15"/>
        <v>2</v>
      </c>
      <c r="O80" s="2599"/>
      <c r="Q80" s="2576" t="s">
        <v>428</v>
      </c>
      <c r="R80" s="2576" t="s">
        <v>1465</v>
      </c>
      <c r="S80" s="2576" t="s">
        <v>1616</v>
      </c>
      <c r="T80" s="2576" t="s">
        <v>1721</v>
      </c>
      <c r="U80" s="2576" t="s">
        <v>1619</v>
      </c>
      <c r="V80" s="2576" t="s">
        <v>385</v>
      </c>
      <c r="W80" s="2576" t="s">
        <v>1620</v>
      </c>
      <c r="X80" s="2576" t="s">
        <v>383</v>
      </c>
      <c r="Y80" s="2576" t="s">
        <v>1722</v>
      </c>
      <c r="Z80" s="2618" t="str">
        <f t="shared" si="34"/>
        <v>対象</v>
      </c>
      <c r="AB80" s="2635"/>
      <c r="AC80" s="2605"/>
      <c r="AD80" s="2620">
        <f>スコア!$Z$84</f>
        <v>3</v>
      </c>
      <c r="AE80" s="2620">
        <f>スコア!$AB$84</f>
        <v>0</v>
      </c>
      <c r="AF80" s="2621">
        <f t="shared" si="36"/>
        <v>3</v>
      </c>
      <c r="AG80" s="2622">
        <f t="shared" si="29"/>
        <v>2</v>
      </c>
      <c r="AH80" s="2623"/>
      <c r="AI80" s="2622">
        <f t="shared" si="37"/>
        <v>2</v>
      </c>
      <c r="AJ80" s="2583">
        <f t="shared" si="38"/>
        <v>2</v>
      </c>
      <c r="AK80" s="2633" t="b">
        <v>0</v>
      </c>
      <c r="AL80" s="2625">
        <f t="shared" si="35"/>
        <v>2</v>
      </c>
      <c r="AM80" s="2659"/>
    </row>
    <row r="81" spans="1:39" ht="30" customHeight="1">
      <c r="A81" s="3808"/>
      <c r="B81" s="3771"/>
      <c r="C81" s="3747"/>
      <c r="D81" s="2564" t="s">
        <v>3517</v>
      </c>
      <c r="E81" s="2565" t="s">
        <v>3518</v>
      </c>
      <c r="F81" s="2567" t="s">
        <v>4049</v>
      </c>
      <c r="G81" s="2571" t="s">
        <v>3382</v>
      </c>
      <c r="H81" s="2572" t="s">
        <v>3812</v>
      </c>
      <c r="I81" s="2573" t="str">
        <f t="shared" si="31"/>
        <v/>
      </c>
      <c r="J81" s="2573" t="str">
        <f t="shared" si="32"/>
        <v>●</v>
      </c>
      <c r="K81" s="2573" t="str">
        <f t="shared" si="33"/>
        <v/>
      </c>
      <c r="L81" s="2574"/>
      <c r="M81" s="2565"/>
      <c r="N81" s="2575">
        <f t="shared" si="15"/>
        <v>2</v>
      </c>
      <c r="O81" s="2599"/>
      <c r="Q81" s="2576" t="s">
        <v>428</v>
      </c>
      <c r="R81" s="2576" t="s">
        <v>1465</v>
      </c>
      <c r="S81" s="2576" t="s">
        <v>1616</v>
      </c>
      <c r="T81" s="2576" t="s">
        <v>1721</v>
      </c>
      <c r="U81" s="2576" t="s">
        <v>1619</v>
      </c>
      <c r="V81" s="2576" t="s">
        <v>385</v>
      </c>
      <c r="W81" s="2576" t="s">
        <v>1620</v>
      </c>
      <c r="X81" s="2576" t="s">
        <v>383</v>
      </c>
      <c r="Y81" s="2576" t="s">
        <v>1722</v>
      </c>
      <c r="Z81" s="2618" t="str">
        <f t="shared" si="34"/>
        <v>対象</v>
      </c>
      <c r="AB81" s="2635"/>
      <c r="AC81" s="2605"/>
      <c r="AD81" s="2620">
        <f>スコア!$Z$85</f>
        <v>3</v>
      </c>
      <c r="AE81" s="2620">
        <f>スコア!$AB$85</f>
        <v>0</v>
      </c>
      <c r="AF81" s="2621">
        <f t="shared" si="36"/>
        <v>3</v>
      </c>
      <c r="AG81" s="2622">
        <f t="shared" si="29"/>
        <v>2</v>
      </c>
      <c r="AH81" s="2623"/>
      <c r="AI81" s="2622">
        <f t="shared" si="37"/>
        <v>2</v>
      </c>
      <c r="AJ81" s="2583">
        <f t="shared" si="38"/>
        <v>2</v>
      </c>
      <c r="AK81" s="2633" t="b">
        <v>0</v>
      </c>
      <c r="AL81" s="2625">
        <f t="shared" si="35"/>
        <v>2</v>
      </c>
      <c r="AM81" s="2659"/>
    </row>
    <row r="82" spans="1:39" ht="30" customHeight="1">
      <c r="A82" s="3808"/>
      <c r="B82" s="3771"/>
      <c r="C82" s="3747"/>
      <c r="D82" s="2564" t="s">
        <v>3912</v>
      </c>
      <c r="E82" s="2565" t="s">
        <v>3607</v>
      </c>
      <c r="F82" s="2567" t="s">
        <v>3608</v>
      </c>
      <c r="G82" s="2571" t="s">
        <v>3382</v>
      </c>
      <c r="H82" s="2572" t="s">
        <v>3609</v>
      </c>
      <c r="I82" s="2573" t="str">
        <f t="shared" si="31"/>
        <v/>
      </c>
      <c r="J82" s="2573" t="str">
        <f t="shared" si="32"/>
        <v>●</v>
      </c>
      <c r="K82" s="2573" t="str">
        <f t="shared" si="33"/>
        <v/>
      </c>
      <c r="L82" s="2574"/>
      <c r="M82" s="2565"/>
      <c r="N82" s="2575">
        <f t="shared" si="15"/>
        <v>2</v>
      </c>
      <c r="O82" s="2599"/>
      <c r="Q82" s="2576" t="s">
        <v>428</v>
      </c>
      <c r="R82" s="2576" t="s">
        <v>1465</v>
      </c>
      <c r="S82" s="2576" t="s">
        <v>1616</v>
      </c>
      <c r="T82" s="2576" t="s">
        <v>1721</v>
      </c>
      <c r="U82" s="2576" t="s">
        <v>1619</v>
      </c>
      <c r="V82" s="2576" t="s">
        <v>385</v>
      </c>
      <c r="W82" s="2576" t="s">
        <v>1620</v>
      </c>
      <c r="X82" s="2576" t="s">
        <v>383</v>
      </c>
      <c r="Y82" s="2576" t="s">
        <v>1722</v>
      </c>
      <c r="Z82" s="2618" t="str">
        <f>IF(AG82="#DIV/0!","対象外",IF(AND($Q$4="〇",Q82&lt;&gt;"")+AND($R$4="〇",R82&lt;&gt;"")+AND($S$4="〇",S82&lt;&gt;"")+AND($T$4="〇",T82&lt;&gt;"")+AND($U$4="〇",U82&lt;&gt;"")+AND($V$4="〇",V82&lt;&gt;"")+AND($W$4="〇",W82&lt;&gt;"")+AND($X$4="〇",X82&lt;&gt;"")+AND($Y$4="〇",Y82&lt;&gt;"")=0,"対象外","対象"))</f>
        <v>対象</v>
      </c>
      <c r="AB82" s="2635"/>
      <c r="AD82" s="2620">
        <f>スコア!$Z$86</f>
        <v>3</v>
      </c>
      <c r="AE82" s="2620">
        <f>スコア!$AB$86</f>
        <v>0</v>
      </c>
      <c r="AF82" s="2621">
        <f t="shared" si="36"/>
        <v>3</v>
      </c>
      <c r="AG82" s="2622">
        <f t="shared" si="29"/>
        <v>2</v>
      </c>
      <c r="AH82" s="2623"/>
      <c r="AI82" s="2628">
        <f>IF(Z82="対象外","#DIV/0!",IF(AG82="",AB82,IF(AB82="",AG82,0)))</f>
        <v>2</v>
      </c>
      <c r="AJ82" s="2642">
        <f>AVERAGEIFS(AI82,AI82,"&lt;&gt;0",AI82,"&lt;&gt;#DIV/0!")</f>
        <v>2</v>
      </c>
      <c r="AK82" s="2685" t="b">
        <v>0</v>
      </c>
      <c r="AL82" s="2625">
        <f t="shared" si="35"/>
        <v>2</v>
      </c>
      <c r="AM82" s="2659"/>
    </row>
    <row r="83" spans="1:39" ht="30" customHeight="1">
      <c r="A83" s="3808"/>
      <c r="B83" s="3771"/>
      <c r="C83" s="3747"/>
      <c r="D83" s="2564" t="s">
        <v>3913</v>
      </c>
      <c r="E83" s="2567" t="s">
        <v>3611</v>
      </c>
      <c r="F83" s="2567" t="s">
        <v>3612</v>
      </c>
      <c r="G83" s="2571" t="s">
        <v>3382</v>
      </c>
      <c r="H83" s="2572" t="s">
        <v>3613</v>
      </c>
      <c r="I83" s="2573" t="str">
        <f t="shared" si="31"/>
        <v/>
      </c>
      <c r="J83" s="2573" t="str">
        <f t="shared" si="32"/>
        <v>●</v>
      </c>
      <c r="K83" s="2573" t="str">
        <f t="shared" si="33"/>
        <v/>
      </c>
      <c r="L83" s="2574"/>
      <c r="M83" s="2565"/>
      <c r="N83" s="2575">
        <f t="shared" si="15"/>
        <v>2</v>
      </c>
      <c r="O83" s="2599"/>
      <c r="Q83" s="2576" t="s">
        <v>428</v>
      </c>
      <c r="R83" s="2576" t="s">
        <v>1465</v>
      </c>
      <c r="S83" s="2576" t="s">
        <v>1616</v>
      </c>
      <c r="T83" s="2576" t="s">
        <v>1721</v>
      </c>
      <c r="U83" s="2576" t="s">
        <v>1619</v>
      </c>
      <c r="V83" s="2576" t="s">
        <v>385</v>
      </c>
      <c r="W83" s="2576" t="s">
        <v>1620</v>
      </c>
      <c r="X83" s="2576" t="s">
        <v>383</v>
      </c>
      <c r="Y83" s="2576" t="s">
        <v>1722</v>
      </c>
      <c r="Z83" s="2618" t="str">
        <f>IF(AG83="#DIV/0!","対象外",IF(AND($Q$4="〇",Q83&lt;&gt;"")+AND($R$4="〇",R83&lt;&gt;"")+AND($S$4="〇",S83&lt;&gt;"")+AND($T$4="〇",T83&lt;&gt;"")+AND($U$4="〇",U83&lt;&gt;"")+AND($V$4="〇",V83&lt;&gt;"")+AND($W$4="〇",W83&lt;&gt;"")+AND($X$4="〇",X83&lt;&gt;"")+AND($Y$4="〇",Y83&lt;&gt;"")=0,"対象外","対象"))</f>
        <v>対象</v>
      </c>
      <c r="AB83" s="2635"/>
      <c r="AD83" s="2620">
        <f>スコア!$Z$87</f>
        <v>3</v>
      </c>
      <c r="AE83" s="2620">
        <f>スコア!$AB$87</f>
        <v>0</v>
      </c>
      <c r="AF83" s="2621">
        <f t="shared" si="36"/>
        <v>3</v>
      </c>
      <c r="AG83" s="2622">
        <f t="shared" si="29"/>
        <v>2</v>
      </c>
      <c r="AI83" s="2628">
        <f>IF(Z83="対象外","#DIV/0!",IF(AG83="",AB83,IF(AB83="",AG83,0)))</f>
        <v>2</v>
      </c>
      <c r="AJ83" s="2642">
        <f>AVERAGEIFS(AI83,AI83,"&lt;&gt;0",AI83,"&lt;&gt;#DIV/0!")</f>
        <v>2</v>
      </c>
      <c r="AK83" s="2686" t="b">
        <v>0</v>
      </c>
      <c r="AL83" s="2625">
        <f t="shared" si="35"/>
        <v>2</v>
      </c>
      <c r="AM83" s="2659"/>
    </row>
    <row r="84" spans="1:39" ht="30" customHeight="1">
      <c r="A84" s="3808"/>
      <c r="B84" s="3771"/>
      <c r="C84" s="3747"/>
      <c r="D84" s="2564" t="s">
        <v>3914</v>
      </c>
      <c r="E84" s="2567" t="s">
        <v>3615</v>
      </c>
      <c r="F84" s="2567" t="s">
        <v>3616</v>
      </c>
      <c r="G84" s="2571" t="s">
        <v>3382</v>
      </c>
      <c r="H84" s="2572" t="s">
        <v>3617</v>
      </c>
      <c r="I84" s="2573" t="str">
        <f t="shared" si="31"/>
        <v/>
      </c>
      <c r="J84" s="2573" t="str">
        <f t="shared" si="32"/>
        <v>●</v>
      </c>
      <c r="K84" s="2573" t="str">
        <f t="shared" si="33"/>
        <v/>
      </c>
      <c r="L84" s="2574"/>
      <c r="M84" s="2565"/>
      <c r="N84" s="2575">
        <f t="shared" si="15"/>
        <v>2</v>
      </c>
      <c r="O84" s="2599"/>
      <c r="Q84" s="2576" t="s">
        <v>428</v>
      </c>
      <c r="R84" s="2576" t="s">
        <v>1465</v>
      </c>
      <c r="S84" s="2576" t="s">
        <v>1616</v>
      </c>
      <c r="T84" s="2576" t="s">
        <v>1721</v>
      </c>
      <c r="U84" s="2576" t="s">
        <v>1619</v>
      </c>
      <c r="V84" s="2576" t="s">
        <v>385</v>
      </c>
      <c r="W84" s="2576" t="s">
        <v>1620</v>
      </c>
      <c r="X84" s="2576" t="s">
        <v>383</v>
      </c>
      <c r="Y84" s="2576" t="s">
        <v>1722</v>
      </c>
      <c r="Z84" s="2618" t="str">
        <f>IF(AG84="#DIV/0!","対象外",IF(AND($Q$4="〇",Q84&lt;&gt;"")+AND($R$4="〇",R84&lt;&gt;"")+AND($S$4="〇",S84&lt;&gt;"")+AND($T$4="〇",T84&lt;&gt;"")+AND($U$4="〇",U84&lt;&gt;"")+AND($V$4="〇",V84&lt;&gt;"")+AND($W$4="〇",W84&lt;&gt;"")+AND($X$4="〇",X84&lt;&gt;"")+AND($Y$4="〇",Y84&lt;&gt;"")=0,"対象外","対象"))</f>
        <v>対象</v>
      </c>
      <c r="AB84" s="2635"/>
      <c r="AD84" s="2620">
        <f>スコア!$Z$88</f>
        <v>3</v>
      </c>
      <c r="AE84" s="2620">
        <f>スコア!$AB$88</f>
        <v>0</v>
      </c>
      <c r="AF84" s="2621">
        <f t="shared" si="36"/>
        <v>3</v>
      </c>
      <c r="AG84" s="2622">
        <f t="shared" si="29"/>
        <v>2</v>
      </c>
      <c r="AI84" s="2622">
        <f>IF(Z84="対象外","#DIV/0!",IF(AG84="",AB84,IF(AB84="",AG84,0)))</f>
        <v>2</v>
      </c>
      <c r="AJ84" s="2583">
        <f>AVERAGEIFS(AI84,AI84,"&lt;&gt;0",AI84,"&lt;&gt;#DIV/0!")</f>
        <v>2</v>
      </c>
      <c r="AK84" s="2686" t="b">
        <v>0</v>
      </c>
      <c r="AL84" s="2625">
        <f t="shared" si="35"/>
        <v>2</v>
      </c>
      <c r="AM84" s="2659"/>
    </row>
    <row r="85" spans="1:39" ht="69" customHeight="1">
      <c r="A85" s="3808"/>
      <c r="B85" s="3771"/>
      <c r="C85" s="3747"/>
      <c r="D85" s="2564" t="s">
        <v>3915</v>
      </c>
      <c r="E85" s="2565" t="s">
        <v>3519</v>
      </c>
      <c r="F85" s="2565" t="s">
        <v>4068</v>
      </c>
      <c r="G85" s="2571" t="s">
        <v>3382</v>
      </c>
      <c r="H85" s="2577" t="s">
        <v>3398</v>
      </c>
      <c r="I85" s="2567"/>
      <c r="J85" s="2567"/>
      <c r="K85" s="2567"/>
      <c r="L85" s="2578"/>
      <c r="M85" s="2565"/>
      <c r="N85" s="2575">
        <f t="shared" si="15"/>
        <v>1</v>
      </c>
      <c r="O85" s="2599"/>
      <c r="Q85" s="2576" t="s">
        <v>428</v>
      </c>
      <c r="R85" s="2576" t="s">
        <v>1465</v>
      </c>
      <c r="S85" s="2576" t="s">
        <v>1616</v>
      </c>
      <c r="T85" s="2576" t="s">
        <v>1721</v>
      </c>
      <c r="U85" s="2576" t="s">
        <v>1619</v>
      </c>
      <c r="V85" s="2576" t="s">
        <v>385</v>
      </c>
      <c r="W85" s="2576" t="s">
        <v>1620</v>
      </c>
      <c r="X85" s="2576" t="s">
        <v>383</v>
      </c>
      <c r="Y85" s="2576" t="s">
        <v>1722</v>
      </c>
      <c r="Z85" s="2618" t="str">
        <f t="shared" si="34"/>
        <v>対象</v>
      </c>
      <c r="AB85" s="2639">
        <v>1</v>
      </c>
      <c r="AC85" s="2605"/>
      <c r="AD85" s="2635"/>
      <c r="AE85" s="2635"/>
      <c r="AF85" s="2635"/>
      <c r="AG85" s="2635"/>
      <c r="AH85" s="2636"/>
      <c r="AI85" s="2622">
        <f t="shared" si="37"/>
        <v>1</v>
      </c>
      <c r="AJ85" s="2583">
        <f t="shared" si="38"/>
        <v>1</v>
      </c>
      <c r="AK85" s="2633" t="b">
        <v>0</v>
      </c>
      <c r="AL85" s="2625">
        <f t="shared" si="35"/>
        <v>1</v>
      </c>
      <c r="AM85" s="2659"/>
    </row>
    <row r="86" spans="1:39" ht="46.5" customHeight="1">
      <c r="A86" s="3808"/>
      <c r="B86" s="3771"/>
      <c r="C86" s="3747"/>
      <c r="D86" s="2564" t="s">
        <v>3916</v>
      </c>
      <c r="E86" s="2565" t="s">
        <v>3520</v>
      </c>
      <c r="F86" s="2565" t="s">
        <v>3521</v>
      </c>
      <c r="G86" s="2571" t="s">
        <v>3382</v>
      </c>
      <c r="H86" s="2577" t="s">
        <v>3398</v>
      </c>
      <c r="I86" s="2584"/>
      <c r="J86" s="2567"/>
      <c r="K86" s="2584"/>
      <c r="L86" s="2578"/>
      <c r="M86" s="2565"/>
      <c r="N86" s="2575">
        <f t="shared" si="15"/>
        <v>3</v>
      </c>
      <c r="O86" s="2599"/>
      <c r="Q86" s="2576" t="s">
        <v>428</v>
      </c>
      <c r="R86" s="2576" t="s">
        <v>1465</v>
      </c>
      <c r="S86" s="2576" t="s">
        <v>1616</v>
      </c>
      <c r="T86" s="2576" t="s">
        <v>1721</v>
      </c>
      <c r="U86" s="2576" t="s">
        <v>1619</v>
      </c>
      <c r="V86" s="2576" t="s">
        <v>385</v>
      </c>
      <c r="W86" s="2576" t="s">
        <v>1620</v>
      </c>
      <c r="X86" s="2576" t="s">
        <v>383</v>
      </c>
      <c r="Y86" s="2576" t="s">
        <v>1722</v>
      </c>
      <c r="Z86" s="2618" t="str">
        <f t="shared" si="34"/>
        <v>対象</v>
      </c>
      <c r="AB86" s="2639">
        <v>3</v>
      </c>
      <c r="AC86" s="2605"/>
      <c r="AD86" s="2635"/>
      <c r="AE86" s="2635"/>
      <c r="AF86" s="2635"/>
      <c r="AG86" s="2635"/>
      <c r="AH86" s="2636"/>
      <c r="AI86" s="2622">
        <f t="shared" si="37"/>
        <v>3</v>
      </c>
      <c r="AJ86" s="2583">
        <f t="shared" si="38"/>
        <v>3</v>
      </c>
      <c r="AK86" s="2633" t="b">
        <v>0</v>
      </c>
      <c r="AL86" s="2625">
        <f t="shared" si="35"/>
        <v>3</v>
      </c>
      <c r="AM86" s="2661"/>
    </row>
    <row r="87" spans="1:39" ht="30" customHeight="1">
      <c r="A87" s="3809"/>
      <c r="B87" s="2564">
        <v>8.5</v>
      </c>
      <c r="C87" s="2585" t="s">
        <v>3917</v>
      </c>
      <c r="D87" s="2564" t="s">
        <v>3522</v>
      </c>
      <c r="E87" s="2565" t="s">
        <v>3918</v>
      </c>
      <c r="F87" s="2565" t="s">
        <v>3919</v>
      </c>
      <c r="G87" s="2571" t="s">
        <v>3382</v>
      </c>
      <c r="H87" s="2572" t="s">
        <v>4050</v>
      </c>
      <c r="I87" s="2573" t="str">
        <f>IF(AI87=1,"●","")</f>
        <v>●</v>
      </c>
      <c r="J87" s="2573" t="str">
        <f>IF(AI87=2,"●","")</f>
        <v/>
      </c>
      <c r="K87" s="2573" t="str">
        <f>IF(AI87=3,"●","")</f>
        <v/>
      </c>
      <c r="L87" s="2578"/>
      <c r="M87" s="2565"/>
      <c r="N87" s="2575">
        <f t="shared" si="15"/>
        <v>1</v>
      </c>
      <c r="O87" s="2599"/>
      <c r="Q87" s="2576" t="s">
        <v>428</v>
      </c>
      <c r="R87" s="2576" t="s">
        <v>1465</v>
      </c>
      <c r="S87" s="2576" t="s">
        <v>1616</v>
      </c>
      <c r="T87" s="2576" t="s">
        <v>1721</v>
      </c>
      <c r="U87" s="2576" t="s">
        <v>1619</v>
      </c>
      <c r="V87" s="2576" t="s">
        <v>385</v>
      </c>
      <c r="W87" s="2576" t="s">
        <v>1620</v>
      </c>
      <c r="X87" s="2576" t="s">
        <v>383</v>
      </c>
      <c r="Y87" s="2576" t="s">
        <v>1722</v>
      </c>
      <c r="Z87" s="2618" t="str">
        <f t="shared" si="34"/>
        <v>対象</v>
      </c>
      <c r="AB87" s="2635"/>
      <c r="AC87" s="2605"/>
      <c r="AD87" s="2620">
        <f>IF(SUM(VALUE(採点Q3!G58)+VALUE(採点Q3!G77))=0,1,3)</f>
        <v>1</v>
      </c>
      <c r="AE87" s="2635"/>
      <c r="AF87" s="2621">
        <f>IF(AE87=0,AD87,IF(AD87=0,AE87,AD87*$AD$6+AE87*$AE$6))</f>
        <v>1</v>
      </c>
      <c r="AG87" s="2622">
        <f>IF(AF87=0,"#DIV/0!",IF(AF87&lt;2,1,IF(AF87&lt;3,2,3)))</f>
        <v>1</v>
      </c>
      <c r="AH87" s="2623"/>
      <c r="AI87" s="2622">
        <f t="shared" si="37"/>
        <v>1</v>
      </c>
      <c r="AJ87" s="2583">
        <f t="shared" si="38"/>
        <v>1</v>
      </c>
      <c r="AK87" s="2638" t="b">
        <v>0</v>
      </c>
      <c r="AL87" s="2625">
        <f t="shared" si="35"/>
        <v>1</v>
      </c>
      <c r="AM87" s="2659">
        <f>AVERAGEIFS(AL87,AL87,"&lt;&gt;0",AL87,"&lt;&gt;#DIV/0!")</f>
        <v>1</v>
      </c>
    </row>
    <row r="88" spans="1:39" ht="99" customHeight="1">
      <c r="A88" s="3806" t="s">
        <v>3547</v>
      </c>
      <c r="B88" s="3771">
        <v>9.1</v>
      </c>
      <c r="C88" s="3747" t="s">
        <v>3523</v>
      </c>
      <c r="D88" s="2564" t="s">
        <v>3524</v>
      </c>
      <c r="E88" s="2565" t="s">
        <v>4051</v>
      </c>
      <c r="F88" s="2565" t="s">
        <v>4052</v>
      </c>
      <c r="G88" s="2571" t="s">
        <v>3382</v>
      </c>
      <c r="H88" s="2577" t="s">
        <v>3398</v>
      </c>
      <c r="I88" s="2567"/>
      <c r="J88" s="2567"/>
      <c r="K88" s="2567"/>
      <c r="L88" s="2578"/>
      <c r="M88" s="2565"/>
      <c r="N88" s="2575">
        <f t="shared" si="15"/>
        <v>1</v>
      </c>
      <c r="O88" s="2599"/>
      <c r="Q88" s="2576" t="s">
        <v>428</v>
      </c>
      <c r="R88" s="2576" t="s">
        <v>1465</v>
      </c>
      <c r="S88" s="2576" t="s">
        <v>1616</v>
      </c>
      <c r="T88" s="2576" t="s">
        <v>1721</v>
      </c>
      <c r="U88" s="2576" t="s">
        <v>1619</v>
      </c>
      <c r="V88" s="2576" t="s">
        <v>385</v>
      </c>
      <c r="W88" s="2576" t="s">
        <v>1620</v>
      </c>
      <c r="X88" s="2576" t="s">
        <v>383</v>
      </c>
      <c r="Y88" s="2576" t="s">
        <v>1722</v>
      </c>
      <c r="Z88" s="2618" t="str">
        <f t="shared" si="34"/>
        <v>対象</v>
      </c>
      <c r="AB88" s="2639">
        <v>1</v>
      </c>
      <c r="AC88" s="2605"/>
      <c r="AD88" s="2635"/>
      <c r="AE88" s="2635"/>
      <c r="AF88" s="2635"/>
      <c r="AG88" s="2635"/>
      <c r="AH88" s="2636"/>
      <c r="AI88" s="2622">
        <f t="shared" si="37"/>
        <v>1</v>
      </c>
      <c r="AJ88" s="2583">
        <f t="shared" si="38"/>
        <v>1</v>
      </c>
      <c r="AK88" s="2633" t="b">
        <v>0</v>
      </c>
      <c r="AL88" s="2625">
        <f t="shared" si="35"/>
        <v>1</v>
      </c>
      <c r="AM88" s="2660">
        <f>AVERAGEIFS(AL88:AL89,AL88:AL89,"&lt;&gt;0",AL88:AL89,"&lt;&gt;#DIV/0!")</f>
        <v>1</v>
      </c>
    </row>
    <row r="89" spans="1:39" ht="82.5" customHeight="1">
      <c r="A89" s="3806"/>
      <c r="B89" s="3771"/>
      <c r="C89" s="3747"/>
      <c r="D89" s="2564" t="s">
        <v>3525</v>
      </c>
      <c r="E89" s="2565" t="s">
        <v>4021</v>
      </c>
      <c r="F89" s="2565" t="s">
        <v>4053</v>
      </c>
      <c r="G89" s="2571" t="s">
        <v>3382</v>
      </c>
      <c r="H89" s="2577" t="s">
        <v>3398</v>
      </c>
      <c r="I89" s="2567"/>
      <c r="J89" s="2567"/>
      <c r="K89" s="2567"/>
      <c r="L89" s="2578"/>
      <c r="M89" s="2565"/>
      <c r="N89" s="2575">
        <f t="shared" si="15"/>
        <v>1</v>
      </c>
      <c r="O89" s="2599"/>
      <c r="Q89" s="2576" t="s">
        <v>428</v>
      </c>
      <c r="R89" s="2576" t="s">
        <v>1465</v>
      </c>
      <c r="S89" s="2576" t="s">
        <v>1616</v>
      </c>
      <c r="T89" s="2576" t="s">
        <v>1721</v>
      </c>
      <c r="U89" s="2576" t="s">
        <v>1619</v>
      </c>
      <c r="V89" s="2576" t="s">
        <v>385</v>
      </c>
      <c r="W89" s="2576" t="s">
        <v>1620</v>
      </c>
      <c r="X89" s="2576" t="s">
        <v>383</v>
      </c>
      <c r="Y89" s="2576" t="s">
        <v>1722</v>
      </c>
      <c r="Z89" s="2618" t="str">
        <f t="shared" si="34"/>
        <v>対象</v>
      </c>
      <c r="AB89" s="2639">
        <v>1</v>
      </c>
      <c r="AC89" s="2605"/>
      <c r="AD89" s="2635"/>
      <c r="AE89" s="2635"/>
      <c r="AF89" s="2635"/>
      <c r="AG89" s="2635"/>
      <c r="AH89" s="2636"/>
      <c r="AI89" s="2622">
        <f t="shared" si="37"/>
        <v>1</v>
      </c>
      <c r="AJ89" s="2583">
        <f t="shared" si="38"/>
        <v>1</v>
      </c>
      <c r="AK89" s="2633" t="b">
        <v>0</v>
      </c>
      <c r="AL89" s="2625">
        <f t="shared" si="35"/>
        <v>1</v>
      </c>
      <c r="AM89" s="2659"/>
    </row>
    <row r="90" spans="1:39" ht="30" customHeight="1">
      <c r="A90" s="3806"/>
      <c r="B90" s="3771">
        <v>9.1999999999999993</v>
      </c>
      <c r="C90" s="3751" t="s">
        <v>3923</v>
      </c>
      <c r="D90" s="2564" t="s">
        <v>3526</v>
      </c>
      <c r="E90" s="2565" t="s">
        <v>3768</v>
      </c>
      <c r="F90" s="2565" t="s">
        <v>3527</v>
      </c>
      <c r="G90" s="2576" t="s">
        <v>3528</v>
      </c>
      <c r="H90" s="2572" t="s">
        <v>3529</v>
      </c>
      <c r="I90" s="2573" t="str">
        <f>IF(AI90=1,"●","")</f>
        <v/>
      </c>
      <c r="J90" s="2573" t="str">
        <f>IF(AI90=2,"●","")</f>
        <v>●</v>
      </c>
      <c r="K90" s="2573" t="str">
        <f>IF(AI90=3,"●","")</f>
        <v/>
      </c>
      <c r="L90" s="2578"/>
      <c r="M90" s="2565"/>
      <c r="N90" s="2575">
        <f t="shared" si="15"/>
        <v>2</v>
      </c>
      <c r="O90" s="2599"/>
      <c r="Q90" s="2576" t="s">
        <v>428</v>
      </c>
      <c r="R90" s="2576"/>
      <c r="S90" s="2576" t="s">
        <v>1616</v>
      </c>
      <c r="T90" s="2576"/>
      <c r="U90" s="2576"/>
      <c r="V90" s="2576" t="s">
        <v>385</v>
      </c>
      <c r="W90" s="2576"/>
      <c r="X90" s="2576"/>
      <c r="Y90" s="2576"/>
      <c r="Z90" s="2618" t="str">
        <f t="shared" si="34"/>
        <v>対象</v>
      </c>
      <c r="AB90" s="2635"/>
      <c r="AC90" s="2605"/>
      <c r="AD90" s="2620">
        <f>スコア!$Z$71</f>
        <v>3</v>
      </c>
      <c r="AE90" s="2620">
        <f>スコア!$AB$71</f>
        <v>0</v>
      </c>
      <c r="AF90" s="2621">
        <f>IF(AE90=0,AD90,IF(AD90=0,AE90,AD90*$AD$6+AE90*$AE$6))</f>
        <v>3</v>
      </c>
      <c r="AG90" s="2622">
        <f t="shared" ref="AG90:AG98" si="39">IF(AF90=0,"#DIV/0!",IF(AF90&lt;2,1,IF(AF90&lt;4,2,3)))</f>
        <v>2</v>
      </c>
      <c r="AH90" s="2623"/>
      <c r="AI90" s="2622">
        <f t="shared" si="37"/>
        <v>2</v>
      </c>
      <c r="AJ90" s="2583">
        <f t="shared" si="38"/>
        <v>2</v>
      </c>
      <c r="AK90" s="2633" t="b">
        <v>0</v>
      </c>
      <c r="AL90" s="2625">
        <f t="shared" si="35"/>
        <v>2</v>
      </c>
      <c r="AM90" s="2660">
        <f>AVERAGEIFS(AL90:AL91,AL90:AL91,"&lt;&gt;0",AL90:AL91,"&lt;&gt;#DIV/0!")</f>
        <v>2.5</v>
      </c>
    </row>
    <row r="91" spans="1:39" ht="78.75">
      <c r="A91" s="3806"/>
      <c r="B91" s="3771"/>
      <c r="C91" s="3751"/>
      <c r="D91" s="2564" t="s">
        <v>3530</v>
      </c>
      <c r="E91" s="2565" t="s">
        <v>3922</v>
      </c>
      <c r="F91" s="2565" t="s">
        <v>4088</v>
      </c>
      <c r="G91" s="2576" t="s">
        <v>1464</v>
      </c>
      <c r="H91" s="2577" t="s">
        <v>3398</v>
      </c>
      <c r="I91" s="2567"/>
      <c r="J91" s="2567"/>
      <c r="K91" s="2567"/>
      <c r="L91" s="2578"/>
      <c r="M91" s="2565"/>
      <c r="N91" s="2575">
        <f>IF(Z91="対象外","対象外",AL91)</f>
        <v>3</v>
      </c>
      <c r="O91" s="2599"/>
      <c r="Q91" s="2576" t="s">
        <v>428</v>
      </c>
      <c r="R91" s="2576"/>
      <c r="S91" s="2576"/>
      <c r="T91" s="2576"/>
      <c r="U91" s="2576"/>
      <c r="V91" s="2576"/>
      <c r="W91" s="2576"/>
      <c r="X91" s="2576"/>
      <c r="Y91" s="2576"/>
      <c r="Z91" s="2618" t="str">
        <f>IF(AG91="#DIV/0!","対象外",IF(AND($Q$4="〇",Q91&lt;&gt;"")+AND($R$4="〇",R91&lt;&gt;"")+AND($S$4="〇",S91&lt;&gt;"")+AND($T$4="〇",T91&lt;&gt;"")+AND($U$4="〇",U91&lt;&gt;"")+AND($V$4="〇",V91&lt;&gt;"")+AND($W$4="〇",W91&lt;&gt;"")+AND($X$4="〇",X91&lt;&gt;"")+AND($Y$4="〇",Y91&lt;&gt;"")=0,"対象外","対象"))</f>
        <v>対象</v>
      </c>
      <c r="AB91" s="2639">
        <v>3</v>
      </c>
      <c r="AC91" s="2605"/>
      <c r="AD91" s="2635"/>
      <c r="AE91" s="2635"/>
      <c r="AF91" s="2635"/>
      <c r="AG91" s="2635"/>
      <c r="AH91" s="2636"/>
      <c r="AI91" s="2622">
        <f>IF(Z91="対象外","#DIV/0!",IF(AG91="",AB91,IF(AB91="",AG91,0)))</f>
        <v>3</v>
      </c>
      <c r="AJ91" s="2583">
        <f>AVERAGEIFS(AI91,AI91,"&lt;&gt;0",AI91,"&lt;&gt;#DIV/0!")</f>
        <v>3</v>
      </c>
      <c r="AK91" s="2633" t="b">
        <v>0</v>
      </c>
      <c r="AL91" s="2625">
        <f>IF(AK91=FALSE,AJ91,IF(AJ91=1,2,3))</f>
        <v>3</v>
      </c>
      <c r="AM91" s="2659"/>
    </row>
    <row r="92" spans="1:39" ht="30" customHeight="1">
      <c r="A92" s="3806"/>
      <c r="B92" s="2568" t="s">
        <v>3920</v>
      </c>
      <c r="C92" s="2778" t="s">
        <v>3921</v>
      </c>
      <c r="D92" s="2564" t="s">
        <v>3532</v>
      </c>
      <c r="E92" s="2565" t="s">
        <v>3769</v>
      </c>
      <c r="F92" s="2565" t="s">
        <v>3531</v>
      </c>
      <c r="G92" s="2576" t="s">
        <v>3808</v>
      </c>
      <c r="H92" s="2572" t="s">
        <v>3813</v>
      </c>
      <c r="I92" s="2573" t="str">
        <f>IF(AI92=1,"●","")</f>
        <v/>
      </c>
      <c r="J92" s="2573" t="str">
        <f>IF(AI92=2,"●","")</f>
        <v>●</v>
      </c>
      <c r="K92" s="2573" t="str">
        <f>IF(AI92=3,"●","")</f>
        <v/>
      </c>
      <c r="L92" s="2578"/>
      <c r="M92" s="2565"/>
      <c r="N92" s="2575">
        <f>IF(Z92="対象外","対象外",AL92)</f>
        <v>2</v>
      </c>
      <c r="O92" s="2599"/>
      <c r="Q92" s="2576" t="s">
        <v>428</v>
      </c>
      <c r="R92" s="2576"/>
      <c r="S92" s="2576"/>
      <c r="T92" s="2576"/>
      <c r="U92" s="2576"/>
      <c r="V92" s="2576" t="s">
        <v>385</v>
      </c>
      <c r="W92" s="2576"/>
      <c r="X92" s="2576" t="s">
        <v>383</v>
      </c>
      <c r="Y92" s="2576" t="s">
        <v>1722</v>
      </c>
      <c r="Z92" s="2618" t="str">
        <f>IF(AG92="#DIV/0!","対象外",IF(AND($Q$4="〇",Q92&lt;&gt;"")+AND($R$4="〇",R92&lt;&gt;"")+AND($S$4="〇",S92&lt;&gt;"")+AND($T$4="〇",T92&lt;&gt;"")+AND($U$4="〇",U92&lt;&gt;"")+AND($V$4="〇",V92&lt;&gt;"")+AND($W$4="〇",W92&lt;&gt;"")+AND($X$4="〇",X92&lt;&gt;"")+AND($Y$4="〇",Y92&lt;&gt;"")=0,"対象外","対象"))</f>
        <v>対象</v>
      </c>
      <c r="AB92" s="2635"/>
      <c r="AC92" s="2605"/>
      <c r="AD92" s="2620">
        <f>スコア!$Z$66</f>
        <v>3</v>
      </c>
      <c r="AE92" s="2620">
        <f>スコア!$AB$66</f>
        <v>3</v>
      </c>
      <c r="AF92" s="2621">
        <f>IF(AE92=0,AD92,IF(AD92=0,AE92,AD92*$AD$6+AE92*$AE$6))</f>
        <v>3</v>
      </c>
      <c r="AG92" s="2622">
        <f>IF(AF92=0,"#DIV/0!",IF(AF92&lt;2,1,IF(AF92&lt;4,2,3)))</f>
        <v>2</v>
      </c>
      <c r="AH92" s="2623"/>
      <c r="AI92" s="2622">
        <f>IF(Z92="対象外","#DIV/0!",IF(AG92="",AB92,IF(AB92="",AG92,0)))</f>
        <v>2</v>
      </c>
      <c r="AJ92" s="2583">
        <f>AVERAGEIFS(AI92,AI92,"&lt;&gt;0",AI92,"&lt;&gt;#DIV/0!")</f>
        <v>2</v>
      </c>
      <c r="AK92" s="2633" t="b">
        <v>0</v>
      </c>
      <c r="AL92" s="2625">
        <f>IF(AK92=FALSE,AJ92,IF(AJ92=1,2,3))</f>
        <v>2</v>
      </c>
      <c r="AM92" s="2663">
        <f>AVERAGEIFS(AL92,AL92,"&lt;&gt;0",AL92,"&lt;&gt;#DIV/0!")</f>
        <v>2</v>
      </c>
    </row>
    <row r="93" spans="1:39" ht="30" customHeight="1">
      <c r="A93" s="3806"/>
      <c r="B93" s="3771" t="s">
        <v>3925</v>
      </c>
      <c r="C93" s="3747" t="s">
        <v>3924</v>
      </c>
      <c r="D93" s="2564" t="s">
        <v>3928</v>
      </c>
      <c r="E93" s="2565" t="s">
        <v>3770</v>
      </c>
      <c r="F93" s="2565" t="s">
        <v>4054</v>
      </c>
      <c r="G93" s="2571" t="s">
        <v>3382</v>
      </c>
      <c r="H93" s="2572" t="s">
        <v>4055</v>
      </c>
      <c r="I93" s="2573" t="str">
        <f t="shared" ref="I93:I98" si="40">IF(AI93=1,"●","")</f>
        <v/>
      </c>
      <c r="J93" s="2573" t="str">
        <f t="shared" ref="J93:J98" si="41">IF(AI93=2,"●","")</f>
        <v>●</v>
      </c>
      <c r="K93" s="2573" t="str">
        <f t="shared" ref="K93:K98" si="42">IF(AI93=3,"●","")</f>
        <v/>
      </c>
      <c r="L93" s="2574"/>
      <c r="M93" s="2565"/>
      <c r="N93" s="2575">
        <f t="shared" si="15"/>
        <v>2</v>
      </c>
      <c r="O93" s="2599"/>
      <c r="Q93" s="2576" t="s">
        <v>428</v>
      </c>
      <c r="R93" s="2576" t="s">
        <v>1465</v>
      </c>
      <c r="S93" s="2576" t="s">
        <v>1616</v>
      </c>
      <c r="T93" s="2576" t="s">
        <v>1721</v>
      </c>
      <c r="U93" s="2576" t="s">
        <v>1619</v>
      </c>
      <c r="V93" s="2576" t="s">
        <v>385</v>
      </c>
      <c r="W93" s="2576" t="s">
        <v>1620</v>
      </c>
      <c r="X93" s="2576" t="s">
        <v>383</v>
      </c>
      <c r="Y93" s="2576" t="s">
        <v>1722</v>
      </c>
      <c r="Z93" s="2618" t="str">
        <f t="shared" si="34"/>
        <v>対象</v>
      </c>
      <c r="AB93" s="2635"/>
      <c r="AC93" s="2605"/>
      <c r="AD93" s="2620">
        <f>スコア!$Z$79</f>
        <v>3.0000000000000004</v>
      </c>
      <c r="AE93" s="2620">
        <f>スコア!$AB$79</f>
        <v>0</v>
      </c>
      <c r="AF93" s="2621">
        <f t="shared" ref="AF93:AF98" si="43">IF(AE93=0,AD93,IF(AD93=0,AE93,AD93*$AD$6+AE93*$AE$6))</f>
        <v>3.0000000000000004</v>
      </c>
      <c r="AG93" s="2622">
        <f t="shared" si="39"/>
        <v>2</v>
      </c>
      <c r="AH93" s="2623"/>
      <c r="AI93" s="2622">
        <f>IF(Z93="対象外","#DIV/0!",IF(AG93="",AB93,IF(AB93="",AG93,0)))</f>
        <v>2</v>
      </c>
      <c r="AJ93" s="2583">
        <f t="shared" si="38"/>
        <v>2</v>
      </c>
      <c r="AK93" s="2633" t="b">
        <v>0</v>
      </c>
      <c r="AL93" s="2625">
        <f t="shared" si="35"/>
        <v>2</v>
      </c>
      <c r="AM93" s="2660">
        <f>AVERAGEIFS(AL93:AL98,AL93:AL98,"&lt;&gt;0",AL93:AL98,"&lt;&gt;#DIV/0!")</f>
        <v>1.8333333333333333</v>
      </c>
    </row>
    <row r="94" spans="1:39" ht="30" customHeight="1">
      <c r="A94" s="3806"/>
      <c r="B94" s="3771"/>
      <c r="C94" s="3747"/>
      <c r="D94" s="2564" t="s">
        <v>3929</v>
      </c>
      <c r="E94" s="2565" t="s">
        <v>3965</v>
      </c>
      <c r="F94" s="2567" t="s">
        <v>3771</v>
      </c>
      <c r="G94" s="2571" t="s">
        <v>3382</v>
      </c>
      <c r="H94" s="2572" t="s">
        <v>3533</v>
      </c>
      <c r="I94" s="2573" t="str">
        <f t="shared" si="40"/>
        <v/>
      </c>
      <c r="J94" s="2573" t="str">
        <f t="shared" si="41"/>
        <v>●</v>
      </c>
      <c r="K94" s="2573" t="str">
        <f t="shared" si="42"/>
        <v/>
      </c>
      <c r="L94" s="2574"/>
      <c r="M94" s="2565"/>
      <c r="N94" s="2575">
        <f t="shared" si="15"/>
        <v>2</v>
      </c>
      <c r="O94" s="2599"/>
      <c r="Q94" s="2576" t="s">
        <v>428</v>
      </c>
      <c r="R94" s="2576" t="s">
        <v>1465</v>
      </c>
      <c r="S94" s="2576" t="s">
        <v>1616</v>
      </c>
      <c r="T94" s="2576" t="s">
        <v>1721</v>
      </c>
      <c r="U94" s="2576" t="s">
        <v>1619</v>
      </c>
      <c r="V94" s="2576" t="s">
        <v>385</v>
      </c>
      <c r="W94" s="2576" t="s">
        <v>1620</v>
      </c>
      <c r="X94" s="2576" t="s">
        <v>383</v>
      </c>
      <c r="Y94" s="2576" t="s">
        <v>1722</v>
      </c>
      <c r="Z94" s="2618" t="str">
        <f t="shared" si="34"/>
        <v>対象</v>
      </c>
      <c r="AB94" s="2635"/>
      <c r="AC94" s="2605"/>
      <c r="AD94" s="2620">
        <f>スコア!$Z$94</f>
        <v>3</v>
      </c>
      <c r="AE94" s="2620">
        <f>スコア!$AB$94</f>
        <v>0</v>
      </c>
      <c r="AF94" s="2621">
        <f t="shared" si="43"/>
        <v>3</v>
      </c>
      <c r="AG94" s="2622">
        <f t="shared" si="39"/>
        <v>2</v>
      </c>
      <c r="AH94" s="2623"/>
      <c r="AI94" s="2622">
        <f t="shared" ref="AI94:AI100" si="44">IF(Z94="対象外","#DIV/0!",IF(AG94="",AB94,IF(AB94="",AG94,0)))</f>
        <v>2</v>
      </c>
      <c r="AJ94" s="2583">
        <f t="shared" si="38"/>
        <v>2</v>
      </c>
      <c r="AK94" s="2633" t="b">
        <v>0</v>
      </c>
      <c r="AL94" s="2625">
        <f t="shared" si="35"/>
        <v>2</v>
      </c>
      <c r="AM94" s="2665"/>
    </row>
    <row r="95" spans="1:39" ht="30" customHeight="1">
      <c r="A95" s="3806"/>
      <c r="B95" s="3771"/>
      <c r="C95" s="3747"/>
      <c r="D95" s="2564" t="s">
        <v>3930</v>
      </c>
      <c r="E95" s="2565" t="s">
        <v>3966</v>
      </c>
      <c r="F95" s="2567" t="s">
        <v>3452</v>
      </c>
      <c r="G95" s="2571" t="s">
        <v>3382</v>
      </c>
      <c r="H95" s="2572" t="s">
        <v>3534</v>
      </c>
      <c r="I95" s="2573" t="str">
        <f t="shared" si="40"/>
        <v/>
      </c>
      <c r="J95" s="2573" t="str">
        <f t="shared" si="41"/>
        <v>●</v>
      </c>
      <c r="K95" s="2573" t="str">
        <f t="shared" si="42"/>
        <v/>
      </c>
      <c r="L95" s="2580" t="str">
        <f>IF(L55="","（6.7.1の採点により自動転記）",L55)</f>
        <v>（6.7.1の採点により自動転記）</v>
      </c>
      <c r="M95" s="2565"/>
      <c r="N95" s="2575">
        <f t="shared" si="15"/>
        <v>2</v>
      </c>
      <c r="O95" s="2599"/>
      <c r="Q95" s="2576" t="s">
        <v>428</v>
      </c>
      <c r="R95" s="2576" t="s">
        <v>1465</v>
      </c>
      <c r="S95" s="2576" t="s">
        <v>1616</v>
      </c>
      <c r="T95" s="2576" t="s">
        <v>1721</v>
      </c>
      <c r="U95" s="2576" t="s">
        <v>1619</v>
      </c>
      <c r="V95" s="2576" t="s">
        <v>385</v>
      </c>
      <c r="W95" s="2576" t="s">
        <v>1620</v>
      </c>
      <c r="X95" s="2576" t="s">
        <v>383</v>
      </c>
      <c r="Y95" s="2576" t="s">
        <v>1722</v>
      </c>
      <c r="Z95" s="2618" t="str">
        <f t="shared" si="34"/>
        <v>対象</v>
      </c>
      <c r="AB95" s="2635"/>
      <c r="AC95" s="2605"/>
      <c r="AD95" s="2620">
        <f>スコア!$Z$95</f>
        <v>2</v>
      </c>
      <c r="AE95" s="2620">
        <f>スコア!$AB$95</f>
        <v>0</v>
      </c>
      <c r="AF95" s="2621">
        <f t="shared" si="43"/>
        <v>2</v>
      </c>
      <c r="AG95" s="2622">
        <f t="shared" si="39"/>
        <v>2</v>
      </c>
      <c r="AH95" s="2623"/>
      <c r="AI95" s="2622">
        <f t="shared" si="44"/>
        <v>2</v>
      </c>
      <c r="AJ95" s="2583">
        <f t="shared" si="38"/>
        <v>2</v>
      </c>
      <c r="AK95" s="2633" t="b">
        <v>0</v>
      </c>
      <c r="AL95" s="2625">
        <f t="shared" si="35"/>
        <v>2</v>
      </c>
      <c r="AM95" s="2665"/>
    </row>
    <row r="96" spans="1:39" ht="30" customHeight="1">
      <c r="A96" s="3806"/>
      <c r="B96" s="3771"/>
      <c r="C96" s="3747"/>
      <c r="D96" s="2564" t="s">
        <v>3931</v>
      </c>
      <c r="E96" s="2565" t="s">
        <v>3967</v>
      </c>
      <c r="F96" s="2567" t="s">
        <v>3535</v>
      </c>
      <c r="G96" s="2571" t="s">
        <v>3382</v>
      </c>
      <c r="H96" s="2572" t="s">
        <v>3536</v>
      </c>
      <c r="I96" s="2573" t="str">
        <f t="shared" si="40"/>
        <v/>
      </c>
      <c r="J96" s="2573" t="str">
        <f t="shared" si="41"/>
        <v>●</v>
      </c>
      <c r="K96" s="2573" t="str">
        <f t="shared" si="42"/>
        <v/>
      </c>
      <c r="L96" s="2580" t="str">
        <f>IF(L63="","（7.6.1の採点により自動転記）",L63)</f>
        <v>（7.6.1の採点により自動転記）</v>
      </c>
      <c r="M96" s="2565"/>
      <c r="N96" s="2575">
        <f t="shared" si="15"/>
        <v>2</v>
      </c>
      <c r="O96" s="2599"/>
      <c r="Q96" s="2576" t="s">
        <v>428</v>
      </c>
      <c r="R96" s="2576" t="s">
        <v>1465</v>
      </c>
      <c r="S96" s="2576" t="s">
        <v>1616</v>
      </c>
      <c r="T96" s="2576" t="s">
        <v>1721</v>
      </c>
      <c r="U96" s="2576" t="s">
        <v>1619</v>
      </c>
      <c r="V96" s="2576" t="s">
        <v>385</v>
      </c>
      <c r="W96" s="2576" t="s">
        <v>1620</v>
      </c>
      <c r="X96" s="2576" t="s">
        <v>383</v>
      </c>
      <c r="Y96" s="2576" t="s">
        <v>1722</v>
      </c>
      <c r="Z96" s="2618" t="str">
        <f t="shared" si="34"/>
        <v>対象</v>
      </c>
      <c r="AB96" s="2635"/>
      <c r="AC96" s="2605"/>
      <c r="AD96" s="2620">
        <f>スコア!$Z$96</f>
        <v>3</v>
      </c>
      <c r="AE96" s="2620">
        <f>スコア!$AB$96</f>
        <v>0</v>
      </c>
      <c r="AF96" s="2621">
        <f t="shared" si="43"/>
        <v>3</v>
      </c>
      <c r="AG96" s="2622">
        <f t="shared" si="39"/>
        <v>2</v>
      </c>
      <c r="AH96" s="2623"/>
      <c r="AI96" s="2622">
        <f t="shared" si="44"/>
        <v>2</v>
      </c>
      <c r="AJ96" s="2583">
        <f t="shared" si="38"/>
        <v>2</v>
      </c>
      <c r="AK96" s="2633" t="b">
        <v>0</v>
      </c>
      <c r="AL96" s="2625">
        <f t="shared" si="35"/>
        <v>2</v>
      </c>
      <c r="AM96" s="2665"/>
    </row>
    <row r="97" spans="1:39" ht="30" customHeight="1">
      <c r="A97" s="3806"/>
      <c r="B97" s="3771"/>
      <c r="C97" s="3747"/>
      <c r="D97" s="2564" t="s">
        <v>3932</v>
      </c>
      <c r="E97" s="2565" t="s">
        <v>3968</v>
      </c>
      <c r="F97" s="2565" t="s">
        <v>3772</v>
      </c>
      <c r="G97" s="2571" t="s">
        <v>3382</v>
      </c>
      <c r="H97" s="2572" t="s">
        <v>3814</v>
      </c>
      <c r="I97" s="2573" t="str">
        <f t="shared" si="40"/>
        <v/>
      </c>
      <c r="J97" s="2573" t="str">
        <f t="shared" si="41"/>
        <v>●</v>
      </c>
      <c r="K97" s="2573" t="str">
        <f t="shared" si="42"/>
        <v/>
      </c>
      <c r="L97" s="2574"/>
      <c r="M97" s="2565"/>
      <c r="N97" s="2575">
        <f>IF(Z97="対象外","対象外",AL97)</f>
        <v>2</v>
      </c>
      <c r="O97" s="2599"/>
      <c r="Q97" s="2576" t="s">
        <v>428</v>
      </c>
      <c r="R97" s="2576" t="s">
        <v>1465</v>
      </c>
      <c r="S97" s="2576" t="s">
        <v>1616</v>
      </c>
      <c r="T97" s="2576" t="s">
        <v>1721</v>
      </c>
      <c r="U97" s="2576" t="s">
        <v>1619</v>
      </c>
      <c r="V97" s="2576" t="s">
        <v>385</v>
      </c>
      <c r="W97" s="2576" t="s">
        <v>1620</v>
      </c>
      <c r="X97" s="2576" t="s">
        <v>383</v>
      </c>
      <c r="Y97" s="2576" t="s">
        <v>1722</v>
      </c>
      <c r="Z97" s="2618" t="str">
        <f t="shared" si="34"/>
        <v>対象</v>
      </c>
      <c r="AB97" s="2635"/>
      <c r="AC97" s="2605"/>
      <c r="AD97" s="2620">
        <f>スコア!$Z$97</f>
        <v>3</v>
      </c>
      <c r="AE97" s="2620">
        <f>スコア!$AB$97</f>
        <v>0</v>
      </c>
      <c r="AF97" s="2621">
        <f t="shared" si="43"/>
        <v>3</v>
      </c>
      <c r="AG97" s="2622">
        <f t="shared" si="39"/>
        <v>2</v>
      </c>
      <c r="AH97" s="2623"/>
      <c r="AI97" s="2622">
        <f t="shared" si="44"/>
        <v>2</v>
      </c>
      <c r="AJ97" s="2583">
        <f t="shared" si="38"/>
        <v>2</v>
      </c>
      <c r="AK97" s="2633" t="b">
        <v>0</v>
      </c>
      <c r="AL97" s="2625">
        <f t="shared" si="35"/>
        <v>2</v>
      </c>
      <c r="AM97" s="2665"/>
    </row>
    <row r="98" spans="1:39" ht="30" customHeight="1">
      <c r="A98" s="3806"/>
      <c r="B98" s="3771"/>
      <c r="C98" s="3747"/>
      <c r="D98" s="2564" t="s">
        <v>3933</v>
      </c>
      <c r="E98" s="2565" t="s">
        <v>3969</v>
      </c>
      <c r="F98" s="2565" t="s">
        <v>3773</v>
      </c>
      <c r="G98" s="2571" t="s">
        <v>3382</v>
      </c>
      <c r="H98" s="2572" t="s">
        <v>3815</v>
      </c>
      <c r="I98" s="2573" t="str">
        <f t="shared" si="40"/>
        <v>●</v>
      </c>
      <c r="J98" s="2573" t="str">
        <f t="shared" si="41"/>
        <v/>
      </c>
      <c r="K98" s="2573" t="str">
        <f t="shared" si="42"/>
        <v/>
      </c>
      <c r="L98" s="2574"/>
      <c r="M98" s="2565"/>
      <c r="N98" s="2575">
        <f>IF(Z98="対象外","対象外",AL98)</f>
        <v>1</v>
      </c>
      <c r="O98" s="2599"/>
      <c r="Q98" s="2576" t="s">
        <v>428</v>
      </c>
      <c r="R98" s="2576" t="s">
        <v>1465</v>
      </c>
      <c r="S98" s="2576" t="s">
        <v>1616</v>
      </c>
      <c r="T98" s="2576" t="s">
        <v>1721</v>
      </c>
      <c r="U98" s="2576" t="s">
        <v>1619</v>
      </c>
      <c r="V98" s="2576" t="s">
        <v>385</v>
      </c>
      <c r="W98" s="2576" t="s">
        <v>1620</v>
      </c>
      <c r="X98" s="2576" t="s">
        <v>383</v>
      </c>
      <c r="Y98" s="2576" t="s">
        <v>1722</v>
      </c>
      <c r="Z98" s="2618" t="str">
        <f t="shared" si="34"/>
        <v>対象</v>
      </c>
      <c r="AB98" s="2635"/>
      <c r="AC98" s="2605"/>
      <c r="AD98" s="2620">
        <f>スコア!$Z$98</f>
        <v>1</v>
      </c>
      <c r="AE98" s="2620">
        <f>スコア!$AB$98</f>
        <v>0</v>
      </c>
      <c r="AF98" s="2621">
        <f t="shared" si="43"/>
        <v>1</v>
      </c>
      <c r="AG98" s="2622">
        <f t="shared" si="39"/>
        <v>1</v>
      </c>
      <c r="AH98" s="2623"/>
      <c r="AI98" s="2622">
        <f t="shared" si="44"/>
        <v>1</v>
      </c>
      <c r="AJ98" s="2583">
        <f t="shared" si="38"/>
        <v>1</v>
      </c>
      <c r="AK98" s="2633" t="b">
        <v>0</v>
      </c>
      <c r="AL98" s="2625">
        <f t="shared" si="35"/>
        <v>1</v>
      </c>
      <c r="AM98" s="2665"/>
    </row>
    <row r="99" spans="1:39" ht="66.75" customHeight="1">
      <c r="A99" s="3806"/>
      <c r="B99" s="2568" t="s">
        <v>3926</v>
      </c>
      <c r="C99" s="2582" t="s">
        <v>4022</v>
      </c>
      <c r="D99" s="2564" t="s">
        <v>3539</v>
      </c>
      <c r="E99" s="2565" t="s">
        <v>3537</v>
      </c>
      <c r="F99" s="2565" t="s">
        <v>4056</v>
      </c>
      <c r="G99" s="2571" t="s">
        <v>3382</v>
      </c>
      <c r="H99" s="2577" t="s">
        <v>3398</v>
      </c>
      <c r="I99" s="2567"/>
      <c r="J99" s="2567"/>
      <c r="K99" s="2567"/>
      <c r="L99" s="2574"/>
      <c r="M99" s="2565"/>
      <c r="N99" s="2575">
        <f>IF(Z99="対象外","対象外",AL99)</f>
        <v>1</v>
      </c>
      <c r="O99" s="2599"/>
      <c r="Q99" s="2576" t="s">
        <v>428</v>
      </c>
      <c r="R99" s="2576" t="s">
        <v>1465</v>
      </c>
      <c r="S99" s="2576" t="s">
        <v>1616</v>
      </c>
      <c r="T99" s="2576" t="s">
        <v>1721</v>
      </c>
      <c r="U99" s="2576" t="s">
        <v>1619</v>
      </c>
      <c r="V99" s="2576" t="s">
        <v>385</v>
      </c>
      <c r="W99" s="2576" t="s">
        <v>1620</v>
      </c>
      <c r="X99" s="2576" t="s">
        <v>383</v>
      </c>
      <c r="Y99" s="2576" t="s">
        <v>1722</v>
      </c>
      <c r="Z99" s="2618" t="str">
        <f t="shared" si="34"/>
        <v>対象</v>
      </c>
      <c r="AB99" s="2639">
        <v>1</v>
      </c>
      <c r="AC99" s="2605"/>
      <c r="AD99" s="2635"/>
      <c r="AE99" s="2635"/>
      <c r="AF99" s="2635"/>
      <c r="AG99" s="2635"/>
      <c r="AH99" s="2636"/>
      <c r="AI99" s="2622">
        <f t="shared" si="44"/>
        <v>1</v>
      </c>
      <c r="AJ99" s="2583">
        <f t="shared" si="38"/>
        <v>1</v>
      </c>
      <c r="AK99" s="2638" t="b">
        <v>0</v>
      </c>
      <c r="AL99" s="2625">
        <f t="shared" si="35"/>
        <v>1</v>
      </c>
      <c r="AM99" s="2663">
        <f>AVERAGEIFS(AL99,AL99,"&lt;&gt;0",AL99,"&lt;&gt;#DIV/0!")</f>
        <v>1</v>
      </c>
    </row>
    <row r="100" spans="1:39" ht="98.25" customHeight="1">
      <c r="A100" s="3806"/>
      <c r="B100" s="2568" t="s">
        <v>3927</v>
      </c>
      <c r="C100" s="2569" t="s">
        <v>3538</v>
      </c>
      <c r="D100" s="2564" t="s">
        <v>3934</v>
      </c>
      <c r="E100" s="2565" t="s">
        <v>3540</v>
      </c>
      <c r="F100" s="2565" t="s">
        <v>4057</v>
      </c>
      <c r="G100" s="2571" t="s">
        <v>3382</v>
      </c>
      <c r="H100" s="2577" t="s">
        <v>3398</v>
      </c>
      <c r="I100" s="2567"/>
      <c r="J100" s="2567"/>
      <c r="K100" s="2567"/>
      <c r="L100" s="2578"/>
      <c r="M100" s="2565"/>
      <c r="N100" s="2575">
        <f>IF(Z100="対象外","対象外",AL100)</f>
        <v>2</v>
      </c>
      <c r="O100" s="2599"/>
      <c r="Q100" s="2576" t="s">
        <v>428</v>
      </c>
      <c r="R100" s="2576" t="s">
        <v>1465</v>
      </c>
      <c r="S100" s="2576" t="s">
        <v>1616</v>
      </c>
      <c r="T100" s="2576" t="s">
        <v>1721</v>
      </c>
      <c r="U100" s="2576" t="s">
        <v>1619</v>
      </c>
      <c r="V100" s="2576" t="s">
        <v>385</v>
      </c>
      <c r="W100" s="2576" t="s">
        <v>1620</v>
      </c>
      <c r="X100" s="2576" t="s">
        <v>383</v>
      </c>
      <c r="Y100" s="2576" t="s">
        <v>1722</v>
      </c>
      <c r="Z100" s="2618" t="str">
        <f t="shared" si="34"/>
        <v>対象</v>
      </c>
      <c r="AB100" s="2639">
        <v>2</v>
      </c>
      <c r="AC100" s="2605"/>
      <c r="AD100" s="2635"/>
      <c r="AE100" s="2635"/>
      <c r="AF100" s="2635"/>
      <c r="AG100" s="2635"/>
      <c r="AH100" s="2636"/>
      <c r="AI100" s="2622">
        <f t="shared" si="44"/>
        <v>2</v>
      </c>
      <c r="AJ100" s="2583">
        <f t="shared" si="38"/>
        <v>2</v>
      </c>
      <c r="AK100" s="2638" t="b">
        <v>0</v>
      </c>
      <c r="AL100" s="2625">
        <f t="shared" si="35"/>
        <v>2</v>
      </c>
      <c r="AM100" s="2663">
        <f>AVERAGEIFS(AL100,AL100,"&lt;&gt;0",AL100,"&lt;&gt;#DIV/0!")</f>
        <v>2</v>
      </c>
    </row>
    <row r="101" spans="1:39" ht="102.75" customHeight="1">
      <c r="A101" s="2586" t="s">
        <v>3548</v>
      </c>
      <c r="B101" s="2560" t="s">
        <v>3541</v>
      </c>
      <c r="C101" s="2561"/>
      <c r="D101" s="2561"/>
      <c r="E101" s="2561"/>
      <c r="F101" s="2561"/>
      <c r="G101" s="2561"/>
      <c r="H101" s="2561"/>
      <c r="I101" s="2561"/>
      <c r="J101" s="2561"/>
      <c r="K101" s="2561"/>
      <c r="L101" s="2561"/>
      <c r="M101" s="2561"/>
      <c r="N101" s="2562"/>
      <c r="O101" s="2599"/>
      <c r="Q101" s="2797"/>
      <c r="R101" s="2796"/>
      <c r="S101" s="2796"/>
      <c r="T101" s="2796"/>
      <c r="U101" s="2796"/>
      <c r="V101" s="2796"/>
      <c r="W101" s="2796"/>
      <c r="X101" s="2796"/>
      <c r="Y101" s="2796"/>
      <c r="Z101" s="2562"/>
      <c r="AB101" s="2668"/>
      <c r="AD101" s="2669"/>
      <c r="AE101" s="2670"/>
      <c r="AF101" s="2670"/>
      <c r="AG101" s="2667"/>
      <c r="AH101" s="2671"/>
      <c r="AI101" s="2672"/>
      <c r="AJ101" s="2670"/>
      <c r="AK101" s="2670"/>
      <c r="AL101" s="2670"/>
      <c r="AM101" s="2673"/>
    </row>
    <row r="102" spans="1:39" ht="30" customHeight="1">
      <c r="A102" s="3796" t="s">
        <v>3549</v>
      </c>
      <c r="B102" s="3775">
        <v>11.1</v>
      </c>
      <c r="C102" s="3765" t="s">
        <v>4024</v>
      </c>
      <c r="D102" s="3763" t="s">
        <v>3556</v>
      </c>
      <c r="E102" s="3748" t="s">
        <v>4089</v>
      </c>
      <c r="F102" s="2565" t="s">
        <v>4095</v>
      </c>
      <c r="G102" s="2571" t="s">
        <v>3382</v>
      </c>
      <c r="H102" s="2572" t="s">
        <v>4101</v>
      </c>
      <c r="I102" s="2573" t="str">
        <f t="shared" ref="I102:I107" si="45">IF(AI102=1,"●","")</f>
        <v/>
      </c>
      <c r="J102" s="2573" t="str">
        <f t="shared" ref="J102:J107" si="46">IF(AI102=2,"●","")</f>
        <v>●</v>
      </c>
      <c r="K102" s="2573" t="str">
        <f t="shared" ref="K102:K107" si="47">IF(AI102=3,"●","")</f>
        <v/>
      </c>
      <c r="L102" s="3784"/>
      <c r="M102" s="3787"/>
      <c r="N102" s="3738">
        <f>IF(AND(Z102="対象外",Z103="対象外",Z104="対象外",Z105="対象外",Z106="対象外",Z107="対象外",Z108="対象外"),"対象外",AL102)</f>
        <v>2</v>
      </c>
      <c r="O102" s="2599"/>
      <c r="Q102" s="2576" t="s">
        <v>428</v>
      </c>
      <c r="R102" s="2576" t="s">
        <v>1465</v>
      </c>
      <c r="S102" s="2576" t="s">
        <v>1616</v>
      </c>
      <c r="T102" s="2576" t="s">
        <v>1721</v>
      </c>
      <c r="U102" s="2576" t="s">
        <v>1619</v>
      </c>
      <c r="V102" s="2576" t="s">
        <v>385</v>
      </c>
      <c r="W102" s="2576" t="s">
        <v>1620</v>
      </c>
      <c r="X102" s="2576" t="s">
        <v>383</v>
      </c>
      <c r="Y102" s="2576" t="s">
        <v>1722</v>
      </c>
      <c r="Z102" s="2618" t="str">
        <f t="shared" si="34"/>
        <v>対象</v>
      </c>
      <c r="AB102" s="2635"/>
      <c r="AC102" s="2605"/>
      <c r="AD102" s="2620">
        <f>スコア!$Z$10</f>
        <v>3</v>
      </c>
      <c r="AE102" s="2620">
        <f>スコア!$AB$22</f>
        <v>0</v>
      </c>
      <c r="AF102" s="2621">
        <f t="shared" ref="AF102:AF107" si="48">IF(AE102=0,AD102,IF(AD102=0,AE102,AD102*$AD$6+AE102*$AE$6))</f>
        <v>3</v>
      </c>
      <c r="AG102" s="2622">
        <f t="shared" ref="AG102:AG143" si="49">IF(AF102=0,"#DIV/0!",IF(AF102&lt;2,1,IF(AF102&lt;4,2,3)))</f>
        <v>2</v>
      </c>
      <c r="AH102" s="2623"/>
      <c r="AI102" s="2647">
        <f t="shared" ref="AI102:AI140" si="50">IF(Z102="対象外","#DIV/0!",IF(AG102="",AB102,IF(AB102="",AG102,0)))</f>
        <v>2</v>
      </c>
      <c r="AJ102" s="2674">
        <f>AVERAGEIFS(AI102:AI107,AI102:AI107,"&lt;&gt;0",AI102:AI107,"&lt;&gt;#DIV/0!")</f>
        <v>2</v>
      </c>
      <c r="AK102" s="2649" t="b">
        <v>0</v>
      </c>
      <c r="AL102" s="2648">
        <f t="shared" ref="AL102:AL168" si="51">IF(AK102=FALSE,AJ102,IF(AJ102=1,2,3))</f>
        <v>2</v>
      </c>
      <c r="AM102" s="2675">
        <f>AVERAGEIFS(AL102:AL108,AL102:AL108,"&lt;&gt;0",AL102:AL108,"&lt;&gt;#DIV/0!")</f>
        <v>2.5</v>
      </c>
    </row>
    <row r="103" spans="1:39" ht="30" customHeight="1">
      <c r="A103" s="3797"/>
      <c r="B103" s="3775"/>
      <c r="C103" s="3765"/>
      <c r="D103" s="3776"/>
      <c r="E103" s="3749"/>
      <c r="F103" s="2565" t="s">
        <v>4096</v>
      </c>
      <c r="G103" s="2571" t="s">
        <v>3382</v>
      </c>
      <c r="H103" s="2572" t="s">
        <v>3383</v>
      </c>
      <c r="I103" s="2573" t="str">
        <f t="shared" si="45"/>
        <v/>
      </c>
      <c r="J103" s="2573" t="str">
        <f t="shared" si="46"/>
        <v>●</v>
      </c>
      <c r="K103" s="2573" t="str">
        <f t="shared" si="47"/>
        <v/>
      </c>
      <c r="L103" s="3785"/>
      <c r="M103" s="3788"/>
      <c r="N103" s="3754"/>
      <c r="O103" s="2599"/>
      <c r="Q103" s="2576" t="s">
        <v>428</v>
      </c>
      <c r="R103" s="2576" t="s">
        <v>1465</v>
      </c>
      <c r="S103" s="2576" t="s">
        <v>1616</v>
      </c>
      <c r="T103" s="2576" t="s">
        <v>1721</v>
      </c>
      <c r="U103" s="2576" t="s">
        <v>1619</v>
      </c>
      <c r="V103" s="2576" t="s">
        <v>385</v>
      </c>
      <c r="W103" s="2576" t="s">
        <v>1620</v>
      </c>
      <c r="X103" s="2576" t="s">
        <v>383</v>
      </c>
      <c r="Y103" s="2576" t="s">
        <v>1722</v>
      </c>
      <c r="Z103" s="2618" t="str">
        <f t="shared" si="34"/>
        <v>対象</v>
      </c>
      <c r="AB103" s="2635"/>
      <c r="AC103" s="2605"/>
      <c r="AD103" s="2620">
        <f>スコア!$Z$22</f>
        <v>0</v>
      </c>
      <c r="AE103" s="2620">
        <f>スコア!$AB$24</f>
        <v>3</v>
      </c>
      <c r="AF103" s="2621">
        <f t="shared" si="48"/>
        <v>3</v>
      </c>
      <c r="AG103" s="2622">
        <f t="shared" si="49"/>
        <v>2</v>
      </c>
      <c r="AH103" s="2623"/>
      <c r="AI103" s="2647">
        <f t="shared" si="50"/>
        <v>2</v>
      </c>
      <c r="AJ103" s="2676"/>
      <c r="AK103" s="2652"/>
      <c r="AL103" s="2651"/>
      <c r="AM103" s="2677"/>
    </row>
    <row r="104" spans="1:39" ht="30" customHeight="1">
      <c r="A104" s="3797"/>
      <c r="B104" s="3775"/>
      <c r="C104" s="3765"/>
      <c r="D104" s="3776"/>
      <c r="E104" s="3749"/>
      <c r="F104" s="2565" t="s">
        <v>4097</v>
      </c>
      <c r="G104" s="2571" t="s">
        <v>3382</v>
      </c>
      <c r="H104" s="2572" t="s">
        <v>3384</v>
      </c>
      <c r="I104" s="2573" t="str">
        <f t="shared" si="45"/>
        <v/>
      </c>
      <c r="J104" s="2573" t="str">
        <f t="shared" si="46"/>
        <v>●</v>
      </c>
      <c r="K104" s="2573" t="str">
        <f t="shared" si="47"/>
        <v/>
      </c>
      <c r="L104" s="3785"/>
      <c r="M104" s="3788"/>
      <c r="N104" s="3754"/>
      <c r="O104" s="2599"/>
      <c r="Q104" s="2576" t="s">
        <v>428</v>
      </c>
      <c r="R104" s="2576" t="s">
        <v>1465</v>
      </c>
      <c r="S104" s="2576" t="s">
        <v>1616</v>
      </c>
      <c r="T104" s="2576" t="s">
        <v>1721</v>
      </c>
      <c r="U104" s="2576" t="s">
        <v>1619</v>
      </c>
      <c r="V104" s="2576" t="s">
        <v>385</v>
      </c>
      <c r="W104" s="2576" t="s">
        <v>1620</v>
      </c>
      <c r="X104" s="2576" t="s">
        <v>383</v>
      </c>
      <c r="Y104" s="2576" t="s">
        <v>1722</v>
      </c>
      <c r="Z104" s="2618" t="str">
        <f t="shared" si="34"/>
        <v>対象</v>
      </c>
      <c r="AB104" s="2635"/>
      <c r="AC104" s="2605"/>
      <c r="AD104" s="2620">
        <f>スコア!$Z$24</f>
        <v>3</v>
      </c>
      <c r="AE104" s="2620">
        <f>スコア!$AB$39</f>
        <v>3</v>
      </c>
      <c r="AF104" s="2621">
        <f t="shared" si="48"/>
        <v>3</v>
      </c>
      <c r="AG104" s="2622">
        <f t="shared" si="49"/>
        <v>2</v>
      </c>
      <c r="AH104" s="2623"/>
      <c r="AI104" s="2647">
        <f t="shared" si="50"/>
        <v>2</v>
      </c>
      <c r="AJ104" s="2676"/>
      <c r="AK104" s="2652"/>
      <c r="AL104" s="2651"/>
      <c r="AM104" s="2677"/>
    </row>
    <row r="105" spans="1:39" ht="30" customHeight="1">
      <c r="A105" s="3797"/>
      <c r="B105" s="3775"/>
      <c r="C105" s="3765"/>
      <c r="D105" s="3776"/>
      <c r="E105" s="3749"/>
      <c r="F105" s="2565" t="s">
        <v>4098</v>
      </c>
      <c r="G105" s="2571" t="s">
        <v>3382</v>
      </c>
      <c r="H105" s="2572" t="s">
        <v>3388</v>
      </c>
      <c r="I105" s="2573" t="str">
        <f t="shared" si="45"/>
        <v/>
      </c>
      <c r="J105" s="2573" t="str">
        <f t="shared" si="46"/>
        <v>●</v>
      </c>
      <c r="K105" s="2573" t="str">
        <f t="shared" si="47"/>
        <v/>
      </c>
      <c r="L105" s="3785"/>
      <c r="M105" s="3788"/>
      <c r="N105" s="3754"/>
      <c r="O105" s="2599"/>
      <c r="Q105" s="2576" t="s">
        <v>428</v>
      </c>
      <c r="R105" s="2576" t="s">
        <v>1465</v>
      </c>
      <c r="S105" s="2576" t="s">
        <v>1616</v>
      </c>
      <c r="T105" s="2576" t="s">
        <v>1721</v>
      </c>
      <c r="U105" s="2576" t="s">
        <v>1619</v>
      </c>
      <c r="V105" s="2576" t="s">
        <v>385</v>
      </c>
      <c r="W105" s="2576" t="s">
        <v>1620</v>
      </c>
      <c r="X105" s="2576" t="s">
        <v>383</v>
      </c>
      <c r="Y105" s="2576" t="s">
        <v>1722</v>
      </c>
      <c r="Z105" s="2618" t="str">
        <f t="shared" si="34"/>
        <v>対象</v>
      </c>
      <c r="AB105" s="2635"/>
      <c r="AC105" s="2605"/>
      <c r="AD105" s="2620">
        <f>スコア!$Z$39</f>
        <v>3</v>
      </c>
      <c r="AE105" s="2620">
        <f>スコア!$AB$54</f>
        <v>3</v>
      </c>
      <c r="AF105" s="2621">
        <f t="shared" si="48"/>
        <v>3</v>
      </c>
      <c r="AG105" s="2622">
        <f t="shared" si="49"/>
        <v>2</v>
      </c>
      <c r="AH105" s="2623"/>
      <c r="AI105" s="2647">
        <f t="shared" si="50"/>
        <v>2</v>
      </c>
      <c r="AJ105" s="2676"/>
      <c r="AK105" s="2652"/>
      <c r="AL105" s="2651"/>
      <c r="AM105" s="2677"/>
    </row>
    <row r="106" spans="1:39" ht="30" customHeight="1">
      <c r="A106" s="3797"/>
      <c r="B106" s="3775"/>
      <c r="C106" s="3765"/>
      <c r="D106" s="3776"/>
      <c r="E106" s="3749"/>
      <c r="F106" s="2565" t="s">
        <v>4099</v>
      </c>
      <c r="G106" s="2571" t="s">
        <v>3382</v>
      </c>
      <c r="H106" s="2572" t="s">
        <v>3394</v>
      </c>
      <c r="I106" s="2573" t="str">
        <f t="shared" si="45"/>
        <v/>
      </c>
      <c r="J106" s="2573" t="str">
        <f t="shared" si="46"/>
        <v>●</v>
      </c>
      <c r="K106" s="2573" t="str">
        <f t="shared" si="47"/>
        <v/>
      </c>
      <c r="L106" s="3785"/>
      <c r="M106" s="3788"/>
      <c r="N106" s="3754"/>
      <c r="O106" s="2599"/>
      <c r="Q106" s="2576" t="s">
        <v>428</v>
      </c>
      <c r="R106" s="2576" t="s">
        <v>1465</v>
      </c>
      <c r="S106" s="2576" t="s">
        <v>1616</v>
      </c>
      <c r="T106" s="2576" t="s">
        <v>1721</v>
      </c>
      <c r="U106" s="2576" t="s">
        <v>1619</v>
      </c>
      <c r="V106" s="2576" t="s">
        <v>385</v>
      </c>
      <c r="W106" s="2576" t="s">
        <v>1620</v>
      </c>
      <c r="X106" s="2576" t="s">
        <v>383</v>
      </c>
      <c r="Y106" s="2576" t="s">
        <v>1722</v>
      </c>
      <c r="Z106" s="2618" t="str">
        <f t="shared" si="34"/>
        <v>対象</v>
      </c>
      <c r="AB106" s="2635"/>
      <c r="AC106" s="2605"/>
      <c r="AD106" s="2620">
        <f>スコア!$Z$50</f>
        <v>3</v>
      </c>
      <c r="AE106" s="2620">
        <f>スコア!$AB$50</f>
        <v>3</v>
      </c>
      <c r="AF106" s="2621">
        <f t="shared" si="48"/>
        <v>3</v>
      </c>
      <c r="AG106" s="2622">
        <f t="shared" si="49"/>
        <v>2</v>
      </c>
      <c r="AH106" s="2623"/>
      <c r="AI106" s="2647">
        <f t="shared" si="50"/>
        <v>2</v>
      </c>
      <c r="AJ106" s="2676"/>
      <c r="AK106" s="2652"/>
      <c r="AL106" s="2651"/>
      <c r="AM106" s="2677"/>
    </row>
    <row r="107" spans="1:39" ht="30" customHeight="1">
      <c r="A107" s="3797"/>
      <c r="B107" s="3775"/>
      <c r="C107" s="3765"/>
      <c r="D107" s="3764"/>
      <c r="E107" s="3750"/>
      <c r="F107" s="2565" t="s">
        <v>4100</v>
      </c>
      <c r="G107" s="2571" t="s">
        <v>3382</v>
      </c>
      <c r="H107" s="2572" t="s">
        <v>3414</v>
      </c>
      <c r="I107" s="2573" t="str">
        <f t="shared" si="45"/>
        <v/>
      </c>
      <c r="J107" s="2573" t="str">
        <f t="shared" si="46"/>
        <v>●</v>
      </c>
      <c r="K107" s="2573" t="str">
        <f t="shared" si="47"/>
        <v/>
      </c>
      <c r="L107" s="3786"/>
      <c r="M107" s="3789"/>
      <c r="N107" s="3739"/>
      <c r="O107" s="2599"/>
      <c r="Q107" s="2576" t="s">
        <v>428</v>
      </c>
      <c r="R107" s="2576" t="s">
        <v>1465</v>
      </c>
      <c r="S107" s="2576" t="s">
        <v>1616</v>
      </c>
      <c r="T107" s="2576" t="s">
        <v>1721</v>
      </c>
      <c r="U107" s="2576" t="s">
        <v>1619</v>
      </c>
      <c r="V107" s="2576" t="s">
        <v>385</v>
      </c>
      <c r="W107" s="2576" t="s">
        <v>1620</v>
      </c>
      <c r="X107" s="2576" t="s">
        <v>383</v>
      </c>
      <c r="Y107" s="2576" t="s">
        <v>1722</v>
      </c>
      <c r="Z107" s="2618" t="str">
        <f t="shared" si="34"/>
        <v>対象</v>
      </c>
      <c r="AB107" s="2635"/>
      <c r="AC107" s="2605"/>
      <c r="AD107" s="2620">
        <f>スコア!$Z$54</f>
        <v>3</v>
      </c>
      <c r="AE107" s="2620">
        <f>スコア!$AB$10</f>
        <v>3</v>
      </c>
      <c r="AF107" s="2621">
        <f t="shared" si="48"/>
        <v>3</v>
      </c>
      <c r="AG107" s="2622">
        <f t="shared" si="49"/>
        <v>2</v>
      </c>
      <c r="AH107" s="2623"/>
      <c r="AI107" s="2647">
        <f t="shared" si="50"/>
        <v>2</v>
      </c>
      <c r="AJ107" s="2676"/>
      <c r="AK107" s="2652"/>
      <c r="AL107" s="2651"/>
      <c r="AM107" s="2677"/>
    </row>
    <row r="108" spans="1:39" ht="89.25" customHeight="1">
      <c r="A108" s="3797"/>
      <c r="B108" s="3775"/>
      <c r="C108" s="3765"/>
      <c r="D108" s="2564" t="s">
        <v>3935</v>
      </c>
      <c r="E108" s="2567" t="s">
        <v>4090</v>
      </c>
      <c r="F108" s="2565" t="s">
        <v>4091</v>
      </c>
      <c r="G108" s="2571" t="s">
        <v>3382</v>
      </c>
      <c r="H108" s="2577" t="s">
        <v>3398</v>
      </c>
      <c r="I108" s="2567"/>
      <c r="J108" s="2567"/>
      <c r="K108" s="2567"/>
      <c r="L108" s="2578"/>
      <c r="M108" s="2737"/>
      <c r="N108" s="2575">
        <f t="shared" ref="N108" si="52">IF(Z108="対象外","対象外",AL108)</f>
        <v>3</v>
      </c>
      <c r="O108" s="2599"/>
      <c r="Q108" s="2576" t="s">
        <v>428</v>
      </c>
      <c r="R108" s="2576" t="s">
        <v>1465</v>
      </c>
      <c r="S108" s="2576" t="s">
        <v>1616</v>
      </c>
      <c r="T108" s="2576" t="s">
        <v>1721</v>
      </c>
      <c r="U108" s="2576" t="s">
        <v>1619</v>
      </c>
      <c r="V108" s="2576" t="s">
        <v>385</v>
      </c>
      <c r="W108" s="2576" t="s">
        <v>1620</v>
      </c>
      <c r="X108" s="2576" t="s">
        <v>383</v>
      </c>
      <c r="Y108" s="2576" t="s">
        <v>1722</v>
      </c>
      <c r="Z108" s="2618" t="str">
        <f t="shared" si="34"/>
        <v>対象</v>
      </c>
      <c r="AB108" s="2639">
        <v>3</v>
      </c>
      <c r="AC108" s="2605"/>
      <c r="AD108" s="2640"/>
      <c r="AE108" s="2640"/>
      <c r="AF108" s="2635"/>
      <c r="AG108" s="2635"/>
      <c r="AH108" s="2623"/>
      <c r="AI108" s="2622">
        <f t="shared" si="50"/>
        <v>3</v>
      </c>
      <c r="AJ108" s="2583">
        <f t="shared" ref="AJ108" si="53">AVERAGEIFS(AI108,AI108,"&lt;&gt;0",AI108,"&lt;&gt;#DIV/0!")</f>
        <v>3</v>
      </c>
      <c r="AK108" s="2638" t="b">
        <v>0</v>
      </c>
      <c r="AL108" s="2625">
        <f t="shared" ref="AL108" si="54">IF(AK108=FALSE,AJ108,IF(AJ108=1,2,3))</f>
        <v>3</v>
      </c>
      <c r="AM108" s="2621"/>
    </row>
    <row r="109" spans="1:39" ht="30" customHeight="1">
      <c r="A109" s="3797"/>
      <c r="B109" s="2568">
        <v>11.2</v>
      </c>
      <c r="C109" s="2570" t="s">
        <v>3558</v>
      </c>
      <c r="D109" s="2564" t="s">
        <v>3559</v>
      </c>
      <c r="E109" s="2565" t="s">
        <v>3560</v>
      </c>
      <c r="F109" s="2565" t="s">
        <v>4102</v>
      </c>
      <c r="G109" s="2571" t="s">
        <v>3382</v>
      </c>
      <c r="H109" s="2572" t="s">
        <v>3561</v>
      </c>
      <c r="I109" s="2573" t="str">
        <f>IF(AI109=1,"●","")</f>
        <v/>
      </c>
      <c r="J109" s="2573" t="str">
        <f>IF(AI109=2,"●","")</f>
        <v>●</v>
      </c>
      <c r="K109" s="2573" t="str">
        <f>IF(AI109=3,"●","")</f>
        <v/>
      </c>
      <c r="L109" s="2578"/>
      <c r="M109" s="2565"/>
      <c r="N109" s="2575">
        <f t="shared" ref="N109:N120" si="55">IF(Z109="対象外","対象外",AL109)</f>
        <v>2</v>
      </c>
      <c r="O109" s="2599"/>
      <c r="Q109" s="2576" t="s">
        <v>428</v>
      </c>
      <c r="R109" s="2576" t="s">
        <v>1465</v>
      </c>
      <c r="S109" s="2576" t="s">
        <v>1616</v>
      </c>
      <c r="T109" s="2576" t="s">
        <v>1721</v>
      </c>
      <c r="U109" s="2576" t="s">
        <v>1619</v>
      </c>
      <c r="V109" s="2576" t="s">
        <v>385</v>
      </c>
      <c r="W109" s="2576" t="s">
        <v>1620</v>
      </c>
      <c r="X109" s="2576" t="s">
        <v>383</v>
      </c>
      <c r="Y109" s="2576" t="s">
        <v>1722</v>
      </c>
      <c r="Z109" s="2618" t="str">
        <f t="shared" si="34"/>
        <v>対象</v>
      </c>
      <c r="AB109" s="2635"/>
      <c r="AC109" s="2605"/>
      <c r="AD109" s="2620">
        <f>スコア!$Z$180</f>
        <v>3</v>
      </c>
      <c r="AE109" s="2620">
        <f>スコア!$AB$180</f>
        <v>0</v>
      </c>
      <c r="AF109" s="2621">
        <f>IF(AE109=0,AD109,IF(AD109=0,AE109,AD109*$AD$6+AE109*$AE$6))</f>
        <v>3</v>
      </c>
      <c r="AG109" s="2622">
        <f t="shared" si="49"/>
        <v>2</v>
      </c>
      <c r="AH109" s="2623"/>
      <c r="AI109" s="2622">
        <f t="shared" si="50"/>
        <v>2</v>
      </c>
      <c r="AJ109" s="2656">
        <f t="shared" ref="AJ109:AJ140" si="56">AVERAGEIFS(AI109,AI109,"&lt;&gt;0",AI109,"&lt;&gt;#DIV/0!")</f>
        <v>2</v>
      </c>
      <c r="AK109" s="2678" t="b">
        <v>0</v>
      </c>
      <c r="AL109" s="2651">
        <f t="shared" si="51"/>
        <v>2</v>
      </c>
      <c r="AM109" s="2662">
        <f>AVERAGEIFS(AL109,AL109,"&lt;&gt;0",AL109,"&lt;&gt;#DIV/0!")</f>
        <v>2</v>
      </c>
    </row>
    <row r="110" spans="1:39" ht="30" customHeight="1">
      <c r="A110" s="3797"/>
      <c r="B110" s="2564">
        <v>11.3</v>
      </c>
      <c r="C110" s="2567" t="s">
        <v>3562</v>
      </c>
      <c r="D110" s="2564" t="s">
        <v>3563</v>
      </c>
      <c r="E110" s="2565" t="s">
        <v>3774</v>
      </c>
      <c r="F110" s="2565" t="s">
        <v>4103</v>
      </c>
      <c r="G110" s="2571" t="s">
        <v>3382</v>
      </c>
      <c r="H110" s="2572" t="s">
        <v>3564</v>
      </c>
      <c r="I110" s="2573" t="str">
        <f t="shared" ref="I110:I135" si="57">IF(AI110=1,"●","")</f>
        <v>●</v>
      </c>
      <c r="J110" s="2573" t="str">
        <f t="shared" ref="J110:J135" si="58">IF(AI110=2,"●","")</f>
        <v/>
      </c>
      <c r="K110" s="2573" t="str">
        <f t="shared" ref="K110:K135" si="59">IF(AI110=3,"●","")</f>
        <v/>
      </c>
      <c r="L110" s="2578"/>
      <c r="M110" s="2565"/>
      <c r="N110" s="2575">
        <f t="shared" si="55"/>
        <v>1</v>
      </c>
      <c r="O110" s="2599"/>
      <c r="Q110" s="2576" t="s">
        <v>428</v>
      </c>
      <c r="R110" s="2576" t="s">
        <v>1465</v>
      </c>
      <c r="S110" s="2576" t="s">
        <v>1616</v>
      </c>
      <c r="T110" s="2576" t="s">
        <v>1721</v>
      </c>
      <c r="U110" s="2576" t="s">
        <v>1619</v>
      </c>
      <c r="V110" s="2576" t="s">
        <v>385</v>
      </c>
      <c r="W110" s="2576" t="s">
        <v>1620</v>
      </c>
      <c r="X110" s="2576" t="s">
        <v>383</v>
      </c>
      <c r="Y110" s="2576" t="s">
        <v>1722</v>
      </c>
      <c r="Z110" s="2618" t="str">
        <f t="shared" si="34"/>
        <v>対象</v>
      </c>
      <c r="AB110" s="2635"/>
      <c r="AC110" s="2605"/>
      <c r="AD110" s="2620">
        <f>IF(採点Q3!G92=1,5,1)</f>
        <v>1</v>
      </c>
      <c r="AE110" s="2635"/>
      <c r="AF110" s="2621">
        <f>IF(AE110=0,AD110,IF(AD110=0,AE110,AD110*$AD$6+AE110*$AE$6))</f>
        <v>1</v>
      </c>
      <c r="AG110" s="2622">
        <f t="shared" si="49"/>
        <v>1</v>
      </c>
      <c r="AH110" s="2623"/>
      <c r="AI110" s="2622">
        <f t="shared" si="50"/>
        <v>1</v>
      </c>
      <c r="AJ110" s="2583">
        <f t="shared" si="56"/>
        <v>1</v>
      </c>
      <c r="AK110" s="2638" t="b">
        <v>0</v>
      </c>
      <c r="AL110" s="2625">
        <f t="shared" si="51"/>
        <v>1</v>
      </c>
      <c r="AM110" s="2646">
        <f>AVERAGEIFS(AL110,AL110,"&lt;&gt;0",AL110,"&lt;&gt;#DIV/0!")</f>
        <v>1</v>
      </c>
    </row>
    <row r="111" spans="1:39" ht="30" customHeight="1">
      <c r="A111" s="3797"/>
      <c r="B111" s="3771">
        <v>11.4</v>
      </c>
      <c r="C111" s="3747" t="s">
        <v>3936</v>
      </c>
      <c r="D111" s="2564" t="s">
        <v>3565</v>
      </c>
      <c r="E111" s="2565" t="s">
        <v>3566</v>
      </c>
      <c r="F111" s="2565" t="s">
        <v>3775</v>
      </c>
      <c r="G111" s="2571" t="s">
        <v>3382</v>
      </c>
      <c r="H111" s="2572" t="s">
        <v>3567</v>
      </c>
      <c r="I111" s="2573" t="str">
        <f t="shared" si="57"/>
        <v/>
      </c>
      <c r="J111" s="2573" t="str">
        <f t="shared" si="58"/>
        <v>●</v>
      </c>
      <c r="K111" s="2573" t="str">
        <f t="shared" si="59"/>
        <v/>
      </c>
      <c r="L111" s="2574"/>
      <c r="M111" s="2565"/>
      <c r="N111" s="2575">
        <f t="shared" si="55"/>
        <v>2</v>
      </c>
      <c r="O111" s="2599"/>
      <c r="Q111" s="2576" t="s">
        <v>428</v>
      </c>
      <c r="R111" s="2576" t="s">
        <v>1465</v>
      </c>
      <c r="S111" s="2576" t="s">
        <v>1616</v>
      </c>
      <c r="T111" s="2576" t="s">
        <v>1721</v>
      </c>
      <c r="U111" s="2576" t="s">
        <v>1619</v>
      </c>
      <c r="V111" s="2576" t="s">
        <v>385</v>
      </c>
      <c r="W111" s="2576" t="s">
        <v>1620</v>
      </c>
      <c r="X111" s="2576" t="s">
        <v>383</v>
      </c>
      <c r="Y111" s="2576" t="s">
        <v>1722</v>
      </c>
      <c r="Z111" s="2618" t="str">
        <f t="shared" si="34"/>
        <v>対象</v>
      </c>
      <c r="AB111" s="2635"/>
      <c r="AC111" s="2605"/>
      <c r="AD111" s="2620">
        <f>スコア!$Z$175</f>
        <v>3</v>
      </c>
      <c r="AE111" s="2620">
        <f>スコア!$AB$175</f>
        <v>0</v>
      </c>
      <c r="AF111" s="2621">
        <f>IF(AE111=0,AD111,IF(AD111=0,AE111,AD111*$AD$6+AE111*$AE$6))</f>
        <v>3</v>
      </c>
      <c r="AG111" s="2622">
        <f t="shared" si="49"/>
        <v>2</v>
      </c>
      <c r="AH111" s="2623"/>
      <c r="AI111" s="2622">
        <f t="shared" si="50"/>
        <v>2</v>
      </c>
      <c r="AJ111" s="2583">
        <f t="shared" si="56"/>
        <v>2</v>
      </c>
      <c r="AK111" s="2633" t="b">
        <v>0</v>
      </c>
      <c r="AL111" s="2625">
        <f t="shared" si="51"/>
        <v>2</v>
      </c>
      <c r="AM111" s="2660">
        <f>AVERAGEIFS(AL111:AL114,AL111:AL114,"&lt;&gt;0",AL111:AL114,"&lt;&gt;#DIV/0!")</f>
        <v>1.75</v>
      </c>
    </row>
    <row r="112" spans="1:39" ht="30" customHeight="1">
      <c r="A112" s="3797"/>
      <c r="B112" s="3771"/>
      <c r="C112" s="3747"/>
      <c r="D112" s="2564" t="s">
        <v>3568</v>
      </c>
      <c r="E112" s="2565" t="s">
        <v>3569</v>
      </c>
      <c r="F112" s="2565" t="s">
        <v>4058</v>
      </c>
      <c r="G112" s="2571" t="s">
        <v>3382</v>
      </c>
      <c r="H112" s="2572" t="s">
        <v>3570</v>
      </c>
      <c r="I112" s="2573" t="str">
        <f t="shared" si="57"/>
        <v/>
      </c>
      <c r="J112" s="2573" t="str">
        <f t="shared" si="58"/>
        <v>●</v>
      </c>
      <c r="K112" s="2573" t="str">
        <f t="shared" si="59"/>
        <v/>
      </c>
      <c r="L112" s="2580" t="str">
        <f>IF(L53="","（6.5.1の採点により自動転記）",L53)</f>
        <v>（6.5.1の採点により自動転記）</v>
      </c>
      <c r="M112" s="2565"/>
      <c r="N112" s="2575">
        <f t="shared" si="55"/>
        <v>2</v>
      </c>
      <c r="O112" s="2599"/>
      <c r="Q112" s="2576" t="s">
        <v>428</v>
      </c>
      <c r="R112" s="2576" t="s">
        <v>1465</v>
      </c>
      <c r="S112" s="2576" t="s">
        <v>1616</v>
      </c>
      <c r="T112" s="2576" t="s">
        <v>1721</v>
      </c>
      <c r="U112" s="2576" t="s">
        <v>1619</v>
      </c>
      <c r="V112" s="2576" t="s">
        <v>385</v>
      </c>
      <c r="W112" s="2576" t="s">
        <v>1620</v>
      </c>
      <c r="X112" s="2576" t="s">
        <v>383</v>
      </c>
      <c r="Y112" s="2576" t="s">
        <v>1722</v>
      </c>
      <c r="Z112" s="2618" t="str">
        <f t="shared" si="34"/>
        <v>対象</v>
      </c>
      <c r="AB112" s="2635"/>
      <c r="AC112" s="2605"/>
      <c r="AD112" s="2620">
        <f>スコア!$Z$179</f>
        <v>3</v>
      </c>
      <c r="AE112" s="2620">
        <f>スコア!$AB$179</f>
        <v>0</v>
      </c>
      <c r="AF112" s="2621">
        <f>IF(AE112=0,AD112,IF(AD112=0,AE112,AD112*$AD$6+AE112*$AE$6))</f>
        <v>3</v>
      </c>
      <c r="AG112" s="2622">
        <f t="shared" si="49"/>
        <v>2</v>
      </c>
      <c r="AH112" s="2623"/>
      <c r="AI112" s="2622">
        <f t="shared" si="50"/>
        <v>2</v>
      </c>
      <c r="AJ112" s="2583">
        <f t="shared" si="56"/>
        <v>2</v>
      </c>
      <c r="AK112" s="2633" t="b">
        <v>0</v>
      </c>
      <c r="AL112" s="2625">
        <f t="shared" si="51"/>
        <v>2</v>
      </c>
      <c r="AM112" s="2659"/>
    </row>
    <row r="113" spans="1:39" ht="30" customHeight="1">
      <c r="A113" s="3797"/>
      <c r="B113" s="3771"/>
      <c r="C113" s="3747"/>
      <c r="D113" s="2564" t="s">
        <v>3571</v>
      </c>
      <c r="E113" s="2565" t="s">
        <v>3572</v>
      </c>
      <c r="F113" s="2565" t="s">
        <v>3573</v>
      </c>
      <c r="G113" s="2571" t="s">
        <v>3382</v>
      </c>
      <c r="H113" s="2572" t="s">
        <v>4059</v>
      </c>
      <c r="I113" s="2573" t="str">
        <f t="shared" si="57"/>
        <v/>
      </c>
      <c r="J113" s="2573" t="str">
        <f t="shared" si="58"/>
        <v>●</v>
      </c>
      <c r="K113" s="2573" t="str">
        <f t="shared" si="59"/>
        <v/>
      </c>
      <c r="L113" s="2580"/>
      <c r="M113" s="2565"/>
      <c r="N113" s="2575">
        <f t="shared" si="55"/>
        <v>2</v>
      </c>
      <c r="O113" s="2599"/>
      <c r="Q113" s="2576" t="s">
        <v>428</v>
      </c>
      <c r="R113" s="2576" t="s">
        <v>1465</v>
      </c>
      <c r="S113" s="2576" t="s">
        <v>1616</v>
      </c>
      <c r="T113" s="2576" t="s">
        <v>1721</v>
      </c>
      <c r="U113" s="2576" t="s">
        <v>1619</v>
      </c>
      <c r="V113" s="2576" t="s">
        <v>385</v>
      </c>
      <c r="W113" s="2576" t="s">
        <v>1620</v>
      </c>
      <c r="X113" s="2576" t="s">
        <v>383</v>
      </c>
      <c r="Y113" s="2576" t="s">
        <v>1722</v>
      </c>
      <c r="Z113" s="2618" t="str">
        <f t="shared" si="34"/>
        <v>対象</v>
      </c>
      <c r="AB113" s="2635"/>
      <c r="AC113" s="2605"/>
      <c r="AD113" s="2620">
        <f>スコア!$Z$178</f>
        <v>3</v>
      </c>
      <c r="AE113" s="2620">
        <f>スコア!$AB$178</f>
        <v>0</v>
      </c>
      <c r="AF113" s="2621">
        <f>IF(AE113=0,AD113,IF(AD113=0,AE113,AD113*$AD$6+AE113*$AE$6))</f>
        <v>3</v>
      </c>
      <c r="AG113" s="2622">
        <f t="shared" si="49"/>
        <v>2</v>
      </c>
      <c r="AH113" s="2623"/>
      <c r="AI113" s="2622">
        <f t="shared" si="50"/>
        <v>2</v>
      </c>
      <c r="AJ113" s="2583">
        <f t="shared" si="56"/>
        <v>2</v>
      </c>
      <c r="AK113" s="2633" t="b">
        <v>0</v>
      </c>
      <c r="AL113" s="2625">
        <f t="shared" si="51"/>
        <v>2</v>
      </c>
      <c r="AM113" s="2659"/>
    </row>
    <row r="114" spans="1:39" ht="61.5" customHeight="1">
      <c r="A114" s="3797"/>
      <c r="B114" s="3771"/>
      <c r="C114" s="3747"/>
      <c r="D114" s="2564" t="s">
        <v>3574</v>
      </c>
      <c r="E114" s="2565" t="s">
        <v>3445</v>
      </c>
      <c r="F114" s="2565" t="s">
        <v>4060</v>
      </c>
      <c r="G114" s="2571" t="s">
        <v>3382</v>
      </c>
      <c r="H114" s="2789" t="s">
        <v>3398</v>
      </c>
      <c r="I114" s="2573" t="str">
        <f t="shared" si="57"/>
        <v>●</v>
      </c>
      <c r="J114" s="2573" t="str">
        <f t="shared" si="58"/>
        <v/>
      </c>
      <c r="K114" s="2573" t="str">
        <f t="shared" si="59"/>
        <v/>
      </c>
      <c r="L114" s="2580" t="str">
        <f>IF(L52="","（6.4.1の採点により自動転記）",L52)</f>
        <v>（6.4.1の採点により自動転記）</v>
      </c>
      <c r="M114" s="2565"/>
      <c r="N114" s="2575">
        <f t="shared" si="55"/>
        <v>1</v>
      </c>
      <c r="O114" s="2599"/>
      <c r="Q114" s="2576" t="s">
        <v>428</v>
      </c>
      <c r="R114" s="2576" t="s">
        <v>1465</v>
      </c>
      <c r="S114" s="2576" t="s">
        <v>1616</v>
      </c>
      <c r="T114" s="2576" t="s">
        <v>1721</v>
      </c>
      <c r="U114" s="2576" t="s">
        <v>1619</v>
      </c>
      <c r="V114" s="2576" t="s">
        <v>385</v>
      </c>
      <c r="W114" s="2576" t="s">
        <v>1620</v>
      </c>
      <c r="X114" s="2576" t="s">
        <v>383</v>
      </c>
      <c r="Y114" s="2576" t="s">
        <v>1722</v>
      </c>
      <c r="Z114" s="2618" t="str">
        <f t="shared" si="34"/>
        <v>対象</v>
      </c>
      <c r="AB114" s="2639">
        <f>AB52</f>
        <v>1</v>
      </c>
      <c r="AC114" s="2605"/>
      <c r="AD114" s="2635"/>
      <c r="AE114" s="2635"/>
      <c r="AF114" s="2635"/>
      <c r="AG114" s="2635"/>
      <c r="AH114" s="2636"/>
      <c r="AI114" s="2622">
        <f t="shared" si="50"/>
        <v>1</v>
      </c>
      <c r="AJ114" s="2583">
        <f t="shared" si="56"/>
        <v>1</v>
      </c>
      <c r="AK114" s="2633" t="b">
        <v>0</v>
      </c>
      <c r="AL114" s="2625">
        <f t="shared" si="51"/>
        <v>1</v>
      </c>
      <c r="AM114" s="2659"/>
    </row>
    <row r="115" spans="1:39" ht="30" customHeight="1">
      <c r="A115" s="3797"/>
      <c r="B115" s="3770">
        <v>11.5</v>
      </c>
      <c r="C115" s="3755" t="s">
        <v>3937</v>
      </c>
      <c r="D115" s="2564" t="s">
        <v>3575</v>
      </c>
      <c r="E115" s="2565" t="s">
        <v>3770</v>
      </c>
      <c r="F115" s="2565" t="s">
        <v>4054</v>
      </c>
      <c r="G115" s="2571" t="s">
        <v>3382</v>
      </c>
      <c r="H115" s="2572" t="s">
        <v>4061</v>
      </c>
      <c r="I115" s="2573" t="str">
        <f t="shared" si="57"/>
        <v/>
      </c>
      <c r="J115" s="2573" t="str">
        <f t="shared" si="58"/>
        <v>●</v>
      </c>
      <c r="K115" s="2573" t="str">
        <f t="shared" si="59"/>
        <v/>
      </c>
      <c r="L115" s="2580" t="str">
        <f>IF(L93="","（9.4.1の採点により自動転記）",L93)</f>
        <v>（9.4.1の採点により自動転記）</v>
      </c>
      <c r="M115" s="2565"/>
      <c r="N115" s="2575">
        <f t="shared" si="55"/>
        <v>2</v>
      </c>
      <c r="O115" s="2599"/>
      <c r="Q115" s="2576" t="s">
        <v>428</v>
      </c>
      <c r="R115" s="2576" t="s">
        <v>1465</v>
      </c>
      <c r="S115" s="2576" t="s">
        <v>1616</v>
      </c>
      <c r="T115" s="2576" t="s">
        <v>1721</v>
      </c>
      <c r="U115" s="2576" t="s">
        <v>1619</v>
      </c>
      <c r="V115" s="2576" t="s">
        <v>385</v>
      </c>
      <c r="W115" s="2576" t="s">
        <v>1620</v>
      </c>
      <c r="X115" s="2576" t="s">
        <v>383</v>
      </c>
      <c r="Y115" s="2576" t="s">
        <v>1722</v>
      </c>
      <c r="Z115" s="2618" t="str">
        <f t="shared" si="34"/>
        <v>対象</v>
      </c>
      <c r="AB115" s="2635"/>
      <c r="AC115" s="2605"/>
      <c r="AD115" s="2620">
        <f>スコア!$Z$79</f>
        <v>3.0000000000000004</v>
      </c>
      <c r="AE115" s="2620">
        <f>スコア!$AB$79</f>
        <v>0</v>
      </c>
      <c r="AF115" s="2621">
        <f t="shared" ref="AF115:AF120" si="60">IF(AE115=0,AD115,IF(AD115=0,AE115,AD115*$AD$6+AE115*$AE$6))</f>
        <v>3.0000000000000004</v>
      </c>
      <c r="AG115" s="2622">
        <f t="shared" si="49"/>
        <v>2</v>
      </c>
      <c r="AH115" s="2623"/>
      <c r="AI115" s="2622">
        <f t="shared" si="50"/>
        <v>2</v>
      </c>
      <c r="AJ115" s="2583">
        <f t="shared" si="56"/>
        <v>2</v>
      </c>
      <c r="AK115" s="2633" t="b">
        <v>0</v>
      </c>
      <c r="AL115" s="2625">
        <f t="shared" si="51"/>
        <v>2</v>
      </c>
      <c r="AM115" s="2660">
        <f>AVERAGEIFS(AL115:AL120,AL115:AL120,"&lt;&gt;0",AL115:AL120,"&lt;&gt;#DIV/0!")</f>
        <v>1.8333333333333333</v>
      </c>
    </row>
    <row r="116" spans="1:39" ht="30" customHeight="1">
      <c r="A116" s="3797"/>
      <c r="B116" s="3768"/>
      <c r="C116" s="3756"/>
      <c r="D116" s="2564" t="s">
        <v>3576</v>
      </c>
      <c r="E116" s="2565" t="s">
        <v>3965</v>
      </c>
      <c r="F116" s="2567" t="s">
        <v>3771</v>
      </c>
      <c r="G116" s="2571" t="s">
        <v>3382</v>
      </c>
      <c r="H116" s="2572" t="s">
        <v>3533</v>
      </c>
      <c r="I116" s="2573" t="str">
        <f t="shared" si="57"/>
        <v/>
      </c>
      <c r="J116" s="2573" t="str">
        <f t="shared" si="58"/>
        <v>●</v>
      </c>
      <c r="K116" s="2573" t="str">
        <f t="shared" si="59"/>
        <v/>
      </c>
      <c r="L116" s="2580" t="str">
        <f>IF(L94="","（9.4.2の採点により自動転記）",L94)</f>
        <v>（9.4.2の採点により自動転記）</v>
      </c>
      <c r="M116" s="2565"/>
      <c r="N116" s="2575">
        <f t="shared" si="55"/>
        <v>2</v>
      </c>
      <c r="O116" s="2599"/>
      <c r="Q116" s="2576" t="s">
        <v>428</v>
      </c>
      <c r="R116" s="2576" t="s">
        <v>1465</v>
      </c>
      <c r="S116" s="2576" t="s">
        <v>1616</v>
      </c>
      <c r="T116" s="2576" t="s">
        <v>1721</v>
      </c>
      <c r="U116" s="2576" t="s">
        <v>1619</v>
      </c>
      <c r="V116" s="2576" t="s">
        <v>385</v>
      </c>
      <c r="W116" s="2576" t="s">
        <v>1620</v>
      </c>
      <c r="X116" s="2576" t="s">
        <v>383</v>
      </c>
      <c r="Y116" s="2576" t="s">
        <v>1722</v>
      </c>
      <c r="Z116" s="2618" t="str">
        <f t="shared" si="34"/>
        <v>対象</v>
      </c>
      <c r="AB116" s="2635"/>
      <c r="AC116" s="2605"/>
      <c r="AD116" s="2620">
        <f>スコア!$Z$94</f>
        <v>3</v>
      </c>
      <c r="AE116" s="2620">
        <f>スコア!$AB$94</f>
        <v>0</v>
      </c>
      <c r="AF116" s="2621">
        <f t="shared" si="60"/>
        <v>3</v>
      </c>
      <c r="AG116" s="2622">
        <f t="shared" si="49"/>
        <v>2</v>
      </c>
      <c r="AH116" s="2623"/>
      <c r="AI116" s="2622">
        <f t="shared" si="50"/>
        <v>2</v>
      </c>
      <c r="AJ116" s="2583">
        <f t="shared" si="56"/>
        <v>2</v>
      </c>
      <c r="AK116" s="2633" t="b">
        <v>0</v>
      </c>
      <c r="AL116" s="2625">
        <f t="shared" si="51"/>
        <v>2</v>
      </c>
      <c r="AM116" s="2659"/>
    </row>
    <row r="117" spans="1:39" ht="30" customHeight="1">
      <c r="A117" s="3797"/>
      <c r="B117" s="3768"/>
      <c r="C117" s="3756"/>
      <c r="D117" s="2564" t="s">
        <v>3577</v>
      </c>
      <c r="E117" s="2565" t="s">
        <v>3966</v>
      </c>
      <c r="F117" s="2567" t="s">
        <v>3452</v>
      </c>
      <c r="G117" s="2571" t="s">
        <v>3382</v>
      </c>
      <c r="H117" s="2572" t="s">
        <v>3534</v>
      </c>
      <c r="I117" s="2573" t="str">
        <f t="shared" si="57"/>
        <v/>
      </c>
      <c r="J117" s="2573" t="str">
        <f t="shared" si="58"/>
        <v>●</v>
      </c>
      <c r="K117" s="2573" t="str">
        <f t="shared" si="59"/>
        <v/>
      </c>
      <c r="L117" s="2580" t="str">
        <f>IF(L55="","（6.7.1の採点により自動転記）",L55)</f>
        <v>（6.7.1の採点により自動転記）</v>
      </c>
      <c r="M117" s="2565"/>
      <c r="N117" s="2575">
        <f t="shared" si="55"/>
        <v>2</v>
      </c>
      <c r="O117" s="2599"/>
      <c r="Q117" s="2576" t="s">
        <v>428</v>
      </c>
      <c r="R117" s="2576" t="s">
        <v>1465</v>
      </c>
      <c r="S117" s="2576" t="s">
        <v>1616</v>
      </c>
      <c r="T117" s="2576" t="s">
        <v>1721</v>
      </c>
      <c r="U117" s="2576" t="s">
        <v>1619</v>
      </c>
      <c r="V117" s="2576" t="s">
        <v>385</v>
      </c>
      <c r="W117" s="2576" t="s">
        <v>1620</v>
      </c>
      <c r="X117" s="2576" t="s">
        <v>383</v>
      </c>
      <c r="Y117" s="2576" t="s">
        <v>1722</v>
      </c>
      <c r="Z117" s="2618" t="str">
        <f t="shared" si="34"/>
        <v>対象</v>
      </c>
      <c r="AB117" s="2635"/>
      <c r="AC117" s="2605"/>
      <c r="AD117" s="2620">
        <f>スコア!$Z$95</f>
        <v>2</v>
      </c>
      <c r="AE117" s="2620">
        <f>スコア!$AB$95</f>
        <v>0</v>
      </c>
      <c r="AF117" s="2621">
        <f t="shared" si="60"/>
        <v>2</v>
      </c>
      <c r="AG117" s="2622">
        <f t="shared" si="49"/>
        <v>2</v>
      </c>
      <c r="AH117" s="2623"/>
      <c r="AI117" s="2622">
        <f t="shared" si="50"/>
        <v>2</v>
      </c>
      <c r="AJ117" s="2583">
        <f t="shared" si="56"/>
        <v>2</v>
      </c>
      <c r="AK117" s="2633" t="b">
        <v>0</v>
      </c>
      <c r="AL117" s="2625">
        <f t="shared" si="51"/>
        <v>2</v>
      </c>
      <c r="AM117" s="2659"/>
    </row>
    <row r="118" spans="1:39" ht="30" customHeight="1">
      <c r="A118" s="3797"/>
      <c r="B118" s="3768"/>
      <c r="C118" s="3756"/>
      <c r="D118" s="2564" t="s">
        <v>3578</v>
      </c>
      <c r="E118" s="2565" t="s">
        <v>4012</v>
      </c>
      <c r="F118" s="2567" t="s">
        <v>3535</v>
      </c>
      <c r="G118" s="2571" t="s">
        <v>3382</v>
      </c>
      <c r="H118" s="2572" t="s">
        <v>3536</v>
      </c>
      <c r="I118" s="2573" t="str">
        <f t="shared" si="57"/>
        <v/>
      </c>
      <c r="J118" s="2573" t="str">
        <f t="shared" si="58"/>
        <v>●</v>
      </c>
      <c r="K118" s="2573" t="str">
        <f t="shared" si="59"/>
        <v/>
      </c>
      <c r="L118" s="2580" t="str">
        <f>IF(L63="","（7.6.1の採点により自動転記）",L63)</f>
        <v>（7.6.1の採点により自動転記）</v>
      </c>
      <c r="M118" s="2565"/>
      <c r="N118" s="2575">
        <f t="shared" si="55"/>
        <v>2</v>
      </c>
      <c r="O118" s="2599"/>
      <c r="Q118" s="2576" t="s">
        <v>428</v>
      </c>
      <c r="R118" s="2576" t="s">
        <v>1465</v>
      </c>
      <c r="S118" s="2576" t="s">
        <v>1616</v>
      </c>
      <c r="T118" s="2576" t="s">
        <v>1721</v>
      </c>
      <c r="U118" s="2576" t="s">
        <v>1619</v>
      </c>
      <c r="V118" s="2576" t="s">
        <v>385</v>
      </c>
      <c r="W118" s="2576" t="s">
        <v>1620</v>
      </c>
      <c r="X118" s="2576" t="s">
        <v>383</v>
      </c>
      <c r="Y118" s="2576" t="s">
        <v>1722</v>
      </c>
      <c r="Z118" s="2618" t="str">
        <f t="shared" si="34"/>
        <v>対象</v>
      </c>
      <c r="AB118" s="2635"/>
      <c r="AC118" s="2605"/>
      <c r="AD118" s="2620">
        <f>スコア!$Z$96</f>
        <v>3</v>
      </c>
      <c r="AE118" s="2620">
        <f>スコア!$AB$96</f>
        <v>0</v>
      </c>
      <c r="AF118" s="2621">
        <f t="shared" si="60"/>
        <v>3</v>
      </c>
      <c r="AG118" s="2622">
        <f t="shared" si="49"/>
        <v>2</v>
      </c>
      <c r="AH118" s="2623"/>
      <c r="AI118" s="2622">
        <f t="shared" si="50"/>
        <v>2</v>
      </c>
      <c r="AJ118" s="2583">
        <f t="shared" si="56"/>
        <v>2</v>
      </c>
      <c r="AK118" s="2633" t="b">
        <v>0</v>
      </c>
      <c r="AL118" s="2625">
        <f t="shared" si="51"/>
        <v>2</v>
      </c>
      <c r="AM118" s="2659"/>
    </row>
    <row r="119" spans="1:39" ht="30" customHeight="1">
      <c r="A119" s="3797"/>
      <c r="B119" s="3768"/>
      <c r="C119" s="3756"/>
      <c r="D119" s="2564" t="s">
        <v>3579</v>
      </c>
      <c r="E119" s="2565" t="s">
        <v>3968</v>
      </c>
      <c r="F119" s="2565" t="s">
        <v>3772</v>
      </c>
      <c r="G119" s="2571" t="s">
        <v>3382</v>
      </c>
      <c r="H119" s="2572" t="s">
        <v>3814</v>
      </c>
      <c r="I119" s="2573" t="str">
        <f t="shared" si="57"/>
        <v/>
      </c>
      <c r="J119" s="2573" t="str">
        <f t="shared" si="58"/>
        <v>●</v>
      </c>
      <c r="K119" s="2573" t="str">
        <f t="shared" si="59"/>
        <v/>
      </c>
      <c r="L119" s="2580" t="str">
        <f>IF(L97="","（9.4.5の採点により自動転記）",L97)</f>
        <v>（9.4.5の採点により自動転記）</v>
      </c>
      <c r="M119" s="2565"/>
      <c r="N119" s="2575">
        <f t="shared" si="55"/>
        <v>2</v>
      </c>
      <c r="O119" s="2599"/>
      <c r="Q119" s="2576" t="s">
        <v>428</v>
      </c>
      <c r="R119" s="2576" t="s">
        <v>1465</v>
      </c>
      <c r="S119" s="2576" t="s">
        <v>1616</v>
      </c>
      <c r="T119" s="2576" t="s">
        <v>1721</v>
      </c>
      <c r="U119" s="2576" t="s">
        <v>1619</v>
      </c>
      <c r="V119" s="2576" t="s">
        <v>385</v>
      </c>
      <c r="W119" s="2576" t="s">
        <v>1620</v>
      </c>
      <c r="X119" s="2576" t="s">
        <v>383</v>
      </c>
      <c r="Y119" s="2576" t="s">
        <v>1722</v>
      </c>
      <c r="Z119" s="2618" t="str">
        <f t="shared" si="34"/>
        <v>対象</v>
      </c>
      <c r="AB119" s="2635"/>
      <c r="AC119" s="2605"/>
      <c r="AD119" s="2620">
        <f>スコア!$Z$97</f>
        <v>3</v>
      </c>
      <c r="AE119" s="2620">
        <f>スコア!$AB$97</f>
        <v>0</v>
      </c>
      <c r="AF119" s="2621">
        <f t="shared" si="60"/>
        <v>3</v>
      </c>
      <c r="AG119" s="2622">
        <f t="shared" si="49"/>
        <v>2</v>
      </c>
      <c r="AH119" s="2623"/>
      <c r="AI119" s="2622">
        <f t="shared" si="50"/>
        <v>2</v>
      </c>
      <c r="AJ119" s="2583">
        <f t="shared" si="56"/>
        <v>2</v>
      </c>
      <c r="AK119" s="2633" t="b">
        <v>0</v>
      </c>
      <c r="AL119" s="2625">
        <f t="shared" si="51"/>
        <v>2</v>
      </c>
      <c r="AM119" s="2659"/>
    </row>
    <row r="120" spans="1:39" ht="30" customHeight="1">
      <c r="A120" s="3797"/>
      <c r="B120" s="3769"/>
      <c r="C120" s="3757"/>
      <c r="D120" s="2564" t="s">
        <v>3580</v>
      </c>
      <c r="E120" s="2565" t="s">
        <v>3969</v>
      </c>
      <c r="F120" s="2565" t="s">
        <v>3773</v>
      </c>
      <c r="G120" s="2571" t="s">
        <v>3382</v>
      </c>
      <c r="H120" s="2572" t="s">
        <v>3815</v>
      </c>
      <c r="I120" s="2573" t="str">
        <f t="shared" si="57"/>
        <v>●</v>
      </c>
      <c r="J120" s="2573" t="str">
        <f t="shared" si="58"/>
        <v/>
      </c>
      <c r="K120" s="2573" t="str">
        <f t="shared" si="59"/>
        <v/>
      </c>
      <c r="L120" s="2580" t="str">
        <f>IF(L98="","（9.4.6の採点により自動転記）",L98)</f>
        <v>（9.4.6の採点により自動転記）</v>
      </c>
      <c r="M120" s="2565"/>
      <c r="N120" s="2575">
        <f t="shared" si="55"/>
        <v>1</v>
      </c>
      <c r="O120" s="2599"/>
      <c r="Q120" s="2576" t="s">
        <v>428</v>
      </c>
      <c r="R120" s="2576" t="s">
        <v>1465</v>
      </c>
      <c r="S120" s="2576" t="s">
        <v>1616</v>
      </c>
      <c r="T120" s="2576" t="s">
        <v>1721</v>
      </c>
      <c r="U120" s="2576" t="s">
        <v>1619</v>
      </c>
      <c r="V120" s="2576" t="s">
        <v>385</v>
      </c>
      <c r="W120" s="2576" t="s">
        <v>1620</v>
      </c>
      <c r="X120" s="2576" t="s">
        <v>383</v>
      </c>
      <c r="Y120" s="2576" t="s">
        <v>1722</v>
      </c>
      <c r="Z120" s="2618" t="str">
        <f t="shared" si="34"/>
        <v>対象</v>
      </c>
      <c r="AB120" s="2635"/>
      <c r="AC120" s="2605"/>
      <c r="AD120" s="2620">
        <f>スコア!$Z$98</f>
        <v>1</v>
      </c>
      <c r="AE120" s="2620">
        <f>スコア!$AB$98</f>
        <v>0</v>
      </c>
      <c r="AF120" s="2621">
        <f t="shared" si="60"/>
        <v>1</v>
      </c>
      <c r="AG120" s="2622">
        <f t="shared" si="49"/>
        <v>1</v>
      </c>
      <c r="AH120" s="2623"/>
      <c r="AI120" s="2622">
        <f t="shared" si="50"/>
        <v>1</v>
      </c>
      <c r="AJ120" s="2583">
        <f t="shared" si="56"/>
        <v>1</v>
      </c>
      <c r="AK120" s="2633" t="b">
        <v>0</v>
      </c>
      <c r="AL120" s="2625">
        <f t="shared" si="51"/>
        <v>1</v>
      </c>
      <c r="AM120" s="2659"/>
    </row>
    <row r="121" spans="1:39" ht="47.25">
      <c r="A121" s="3797"/>
      <c r="B121" s="2568" t="s">
        <v>3938</v>
      </c>
      <c r="C121" s="2570" t="s">
        <v>3940</v>
      </c>
      <c r="D121" s="2564" t="s">
        <v>3585</v>
      </c>
      <c r="E121" s="2565" t="s">
        <v>3776</v>
      </c>
      <c r="F121" s="2565" t="s">
        <v>4056</v>
      </c>
      <c r="G121" s="2571" t="s">
        <v>3382</v>
      </c>
      <c r="H121" s="2789" t="s">
        <v>3398</v>
      </c>
      <c r="I121" s="2573" t="str">
        <f t="shared" si="57"/>
        <v>●</v>
      </c>
      <c r="J121" s="2573" t="str">
        <f t="shared" si="58"/>
        <v/>
      </c>
      <c r="K121" s="2573" t="str">
        <f t="shared" si="59"/>
        <v/>
      </c>
      <c r="L121" s="2580" t="str">
        <f>IF(L99="","（9.5.1の採点により自動転記）",L99)</f>
        <v>（9.5.1の採点により自動転記）</v>
      </c>
      <c r="M121" s="2565"/>
      <c r="N121" s="2575">
        <f>IF(Z121="対象外","対象外",AL121)</f>
        <v>1</v>
      </c>
      <c r="O121" s="2599"/>
      <c r="Q121" s="2576" t="s">
        <v>428</v>
      </c>
      <c r="R121" s="2576" t="s">
        <v>1465</v>
      </c>
      <c r="S121" s="2576" t="s">
        <v>1616</v>
      </c>
      <c r="T121" s="2576" t="s">
        <v>1721</v>
      </c>
      <c r="U121" s="2576" t="s">
        <v>1619</v>
      </c>
      <c r="V121" s="2576" t="s">
        <v>385</v>
      </c>
      <c r="W121" s="2576" t="s">
        <v>1620</v>
      </c>
      <c r="X121" s="2576" t="s">
        <v>383</v>
      </c>
      <c r="Y121" s="2576" t="s">
        <v>1722</v>
      </c>
      <c r="Z121" s="2618" t="str">
        <f t="shared" si="34"/>
        <v>対象</v>
      </c>
      <c r="AB121" s="2639">
        <f>AB99</f>
        <v>1</v>
      </c>
      <c r="AC121" s="2605"/>
      <c r="AD121" s="2635"/>
      <c r="AE121" s="2635"/>
      <c r="AF121" s="2635"/>
      <c r="AG121" s="2635"/>
      <c r="AH121" s="2636"/>
      <c r="AI121" s="2622">
        <f t="shared" si="50"/>
        <v>1</v>
      </c>
      <c r="AJ121" s="2583">
        <f t="shared" si="56"/>
        <v>1</v>
      </c>
      <c r="AK121" s="2633" t="b">
        <v>0</v>
      </c>
      <c r="AL121" s="2625">
        <f t="shared" si="51"/>
        <v>1</v>
      </c>
      <c r="AM121" s="2621">
        <f>AVERAGEIFS(AL121,AL121,"&lt;&gt;0",AL121,"&lt;&gt;#DIV/0!")</f>
        <v>1</v>
      </c>
    </row>
    <row r="122" spans="1:39" ht="30" customHeight="1">
      <c r="A122" s="3797"/>
      <c r="B122" s="2568" t="s">
        <v>3939</v>
      </c>
      <c r="C122" s="2570" t="s">
        <v>3941</v>
      </c>
      <c r="D122" s="2564" t="s">
        <v>3587</v>
      </c>
      <c r="E122" s="2565" t="s">
        <v>3581</v>
      </c>
      <c r="F122" s="2565" t="s">
        <v>3582</v>
      </c>
      <c r="G122" s="2571" t="s">
        <v>3382</v>
      </c>
      <c r="H122" s="2572" t="s">
        <v>3583</v>
      </c>
      <c r="I122" s="2573" t="str">
        <f t="shared" si="57"/>
        <v/>
      </c>
      <c r="J122" s="2573" t="str">
        <f t="shared" si="58"/>
        <v/>
      </c>
      <c r="K122" s="2573" t="str">
        <f t="shared" si="59"/>
        <v>●</v>
      </c>
      <c r="L122" s="2578"/>
      <c r="M122" s="2565"/>
      <c r="N122" s="2575">
        <f>IF(Z122="対象外","対象外",AL122)</f>
        <v>3</v>
      </c>
      <c r="O122" s="2599"/>
      <c r="Q122" s="2576" t="s">
        <v>428</v>
      </c>
      <c r="R122" s="2576" t="s">
        <v>1465</v>
      </c>
      <c r="S122" s="2576" t="s">
        <v>1616</v>
      </c>
      <c r="T122" s="2576" t="s">
        <v>1721</v>
      </c>
      <c r="U122" s="2576" t="s">
        <v>1619</v>
      </c>
      <c r="V122" s="2576" t="s">
        <v>385</v>
      </c>
      <c r="W122" s="2576" t="s">
        <v>1620</v>
      </c>
      <c r="X122" s="2576" t="s">
        <v>383</v>
      </c>
      <c r="Y122" s="2576" t="s">
        <v>1722</v>
      </c>
      <c r="Z122" s="2618" t="str">
        <f t="shared" si="34"/>
        <v>対象</v>
      </c>
      <c r="AB122" s="2635"/>
      <c r="AC122" s="2605"/>
      <c r="AD122" s="2620">
        <f>IF(採点Q3!G87=1,5,1)</f>
        <v>5</v>
      </c>
      <c r="AE122" s="2635"/>
      <c r="AF122" s="2621">
        <f>IF(AE122=0,AD122,IF(AD122=0,AE122,AD122*$AD$6+AE122*$AE$6))</f>
        <v>5</v>
      </c>
      <c r="AG122" s="2622">
        <f t="shared" si="49"/>
        <v>3</v>
      </c>
      <c r="AH122" s="2636"/>
      <c r="AI122" s="2622">
        <f t="shared" si="50"/>
        <v>3</v>
      </c>
      <c r="AJ122" s="2583">
        <f t="shared" si="56"/>
        <v>3</v>
      </c>
      <c r="AK122" s="2633" t="b">
        <v>0</v>
      </c>
      <c r="AL122" s="2625">
        <f t="shared" si="51"/>
        <v>3</v>
      </c>
      <c r="AM122" s="2662">
        <f>AVERAGEIFS(AL122,AL122,"&lt;&gt;0",AL122,"&lt;&gt;#DIV/0!")</f>
        <v>3</v>
      </c>
    </row>
    <row r="123" spans="1:39" ht="30" customHeight="1">
      <c r="A123" s="3797"/>
      <c r="B123" s="2568" t="s">
        <v>3942</v>
      </c>
      <c r="C123" s="2569" t="s">
        <v>3584</v>
      </c>
      <c r="D123" s="2564" t="s">
        <v>3948</v>
      </c>
      <c r="E123" s="2565" t="s">
        <v>3777</v>
      </c>
      <c r="F123" s="2565" t="s">
        <v>4104</v>
      </c>
      <c r="G123" s="2571" t="s">
        <v>3382</v>
      </c>
      <c r="H123" s="2572" t="s">
        <v>3586</v>
      </c>
      <c r="I123" s="2573" t="str">
        <f t="shared" si="57"/>
        <v/>
      </c>
      <c r="J123" s="2573" t="str">
        <f t="shared" si="58"/>
        <v>●</v>
      </c>
      <c r="K123" s="2573" t="str">
        <f t="shared" si="59"/>
        <v/>
      </c>
      <c r="L123" s="2578"/>
      <c r="M123" s="2565"/>
      <c r="N123" s="2575">
        <f>IF(Z123="対象外","対象外",AL123)</f>
        <v>2</v>
      </c>
      <c r="O123" s="2599"/>
      <c r="Q123" s="2576" t="s">
        <v>428</v>
      </c>
      <c r="R123" s="2576" t="s">
        <v>1465</v>
      </c>
      <c r="S123" s="2576" t="s">
        <v>1616</v>
      </c>
      <c r="T123" s="2576" t="s">
        <v>1721</v>
      </c>
      <c r="U123" s="2576" t="s">
        <v>1619</v>
      </c>
      <c r="V123" s="2576" t="s">
        <v>385</v>
      </c>
      <c r="W123" s="2576" t="s">
        <v>1620</v>
      </c>
      <c r="X123" s="2576" t="s">
        <v>383</v>
      </c>
      <c r="Y123" s="2576" t="s">
        <v>1722</v>
      </c>
      <c r="Z123" s="2618" t="str">
        <f t="shared" si="34"/>
        <v>対象</v>
      </c>
      <c r="AB123" s="2635"/>
      <c r="AC123" s="2605"/>
      <c r="AD123" s="2620">
        <f>スコア!$Z$116</f>
        <v>2</v>
      </c>
      <c r="AE123" s="2620">
        <f>スコア!$AB$116</f>
        <v>0</v>
      </c>
      <c r="AF123" s="2621">
        <f>IF(AE123=0,AD123,IF(AD123=0,AE123,AD123*$AD$6+AE123*$AE$6))</f>
        <v>2</v>
      </c>
      <c r="AG123" s="2622">
        <f t="shared" si="49"/>
        <v>2</v>
      </c>
      <c r="AH123" s="2623"/>
      <c r="AI123" s="2622">
        <f t="shared" si="50"/>
        <v>2</v>
      </c>
      <c r="AJ123" s="2583">
        <f t="shared" si="56"/>
        <v>2</v>
      </c>
      <c r="AK123" s="2638" t="b">
        <v>0</v>
      </c>
      <c r="AL123" s="2625">
        <f t="shared" si="51"/>
        <v>2</v>
      </c>
      <c r="AM123" s="2662">
        <f>AVERAGEIFS(AL123,AL123,"&lt;&gt;0",AL123,"&lt;&gt;#DIV/0!")</f>
        <v>2</v>
      </c>
    </row>
    <row r="124" spans="1:39" ht="47.25">
      <c r="A124" s="3797"/>
      <c r="B124" s="2568" t="s">
        <v>3943</v>
      </c>
      <c r="C124" s="2569" t="s">
        <v>3944</v>
      </c>
      <c r="D124" s="2564" t="s">
        <v>3593</v>
      </c>
      <c r="E124" s="2565" t="s">
        <v>3778</v>
      </c>
      <c r="F124" s="2565" t="s">
        <v>3588</v>
      </c>
      <c r="G124" s="2571" t="s">
        <v>3382</v>
      </c>
      <c r="H124" s="2572" t="s">
        <v>3589</v>
      </c>
      <c r="I124" s="2573" t="str">
        <f t="shared" si="57"/>
        <v>●</v>
      </c>
      <c r="J124" s="2573" t="str">
        <f t="shared" si="58"/>
        <v/>
      </c>
      <c r="K124" s="2573" t="str">
        <f t="shared" si="59"/>
        <v/>
      </c>
      <c r="L124" s="2578"/>
      <c r="M124" s="2565"/>
      <c r="N124" s="2575">
        <f>IF(Z124="対象外","対象外",AL124)</f>
        <v>1</v>
      </c>
      <c r="O124" s="2599"/>
      <c r="Q124" s="2576" t="s">
        <v>428</v>
      </c>
      <c r="R124" s="2576" t="s">
        <v>1465</v>
      </c>
      <c r="S124" s="2576" t="s">
        <v>1616</v>
      </c>
      <c r="T124" s="2576" t="s">
        <v>1721</v>
      </c>
      <c r="U124" s="2576" t="s">
        <v>1619</v>
      </c>
      <c r="V124" s="2576" t="s">
        <v>385</v>
      </c>
      <c r="W124" s="2576" t="s">
        <v>1620</v>
      </c>
      <c r="X124" s="2576" t="s">
        <v>383</v>
      </c>
      <c r="Y124" s="2576" t="s">
        <v>1722</v>
      </c>
      <c r="Z124" s="2618" t="str">
        <f t="shared" si="34"/>
        <v>対象</v>
      </c>
      <c r="AB124" s="2635"/>
      <c r="AC124" s="2605"/>
      <c r="AD124" s="2645">
        <f>スコア!$Z$113</f>
        <v>1</v>
      </c>
      <c r="AE124" s="2645">
        <f>スコア!$AB$113</f>
        <v>0</v>
      </c>
      <c r="AF124" s="2621">
        <f t="shared" ref="AF124:AF133" si="61">IF(AE124=0,AD124,IF(AD124=0,AE124,AD124*$AD$6+AE124*$AE$6))</f>
        <v>1</v>
      </c>
      <c r="AG124" s="2622">
        <f t="shared" si="49"/>
        <v>1</v>
      </c>
      <c r="AH124" s="2623"/>
      <c r="AI124" s="2622">
        <f t="shared" si="50"/>
        <v>1</v>
      </c>
      <c r="AJ124" s="2642">
        <f t="shared" si="56"/>
        <v>1</v>
      </c>
      <c r="AK124" s="2629" t="b">
        <v>0</v>
      </c>
      <c r="AL124" s="2625">
        <f t="shared" si="51"/>
        <v>1</v>
      </c>
      <c r="AM124" s="2646">
        <f>AVERAGEIFS(AL124,AL124,"&lt;&gt;0",AL124,"&lt;&gt;#DIV/0!")</f>
        <v>1</v>
      </c>
    </row>
    <row r="125" spans="1:39" ht="30" customHeight="1">
      <c r="A125" s="3797"/>
      <c r="B125" s="3770" t="s">
        <v>3946</v>
      </c>
      <c r="C125" s="3755" t="s">
        <v>3945</v>
      </c>
      <c r="D125" s="3775" t="s">
        <v>3949</v>
      </c>
      <c r="E125" s="3765" t="s">
        <v>3590</v>
      </c>
      <c r="F125" s="2565" t="s">
        <v>3369</v>
      </c>
      <c r="G125" s="2571" t="s">
        <v>3382</v>
      </c>
      <c r="H125" s="2572" t="s">
        <v>3401</v>
      </c>
      <c r="I125" s="2573" t="str">
        <f t="shared" si="57"/>
        <v/>
      </c>
      <c r="J125" s="2573" t="str">
        <f t="shared" si="58"/>
        <v/>
      </c>
      <c r="K125" s="2573" t="str">
        <f t="shared" si="59"/>
        <v/>
      </c>
      <c r="L125" s="3758" t="str">
        <f>IF(L25="","（3.8.1の採点により自動転記）",L25)</f>
        <v>（3.8.1の採点により自動転記）</v>
      </c>
      <c r="M125" s="2738"/>
      <c r="N125" s="3738" t="str">
        <f>IF(AND(Z125="対象外",Z126="対象外",Z127="対象外"),"対象外",AL125)</f>
        <v>対象外</v>
      </c>
      <c r="O125" s="2599"/>
      <c r="Q125" s="2576" t="s">
        <v>428</v>
      </c>
      <c r="R125" s="2576" t="s">
        <v>1465</v>
      </c>
      <c r="S125" s="2576" t="s">
        <v>1616</v>
      </c>
      <c r="T125" s="2576" t="s">
        <v>1721</v>
      </c>
      <c r="U125" s="2576" t="s">
        <v>1619</v>
      </c>
      <c r="V125" s="2576" t="s">
        <v>385</v>
      </c>
      <c r="W125" s="2576" t="s">
        <v>1620</v>
      </c>
      <c r="X125" s="2576" t="s">
        <v>383</v>
      </c>
      <c r="Y125" s="2576" t="s">
        <v>1722</v>
      </c>
      <c r="Z125" s="2618" t="str">
        <f t="shared" si="34"/>
        <v>対象外</v>
      </c>
      <c r="AB125" s="2635"/>
      <c r="AC125" s="2605"/>
      <c r="AD125" s="2645">
        <f>スコア!$Z$185</f>
        <v>0</v>
      </c>
      <c r="AE125" s="2644">
        <f>スコア!$AB$185</f>
        <v>0</v>
      </c>
      <c r="AF125" s="2621">
        <f t="shared" si="61"/>
        <v>0</v>
      </c>
      <c r="AG125" s="2622" t="str">
        <f t="shared" si="49"/>
        <v>#DIV/0!</v>
      </c>
      <c r="AH125" s="2623"/>
      <c r="AI125" s="2647" t="str">
        <f t="shared" si="50"/>
        <v>#DIV/0!</v>
      </c>
      <c r="AJ125" s="2674" t="e">
        <f>AVERAGEIFS(AI125:AI127,AI125:AI127,"&lt;&gt;0",AI125:AI127,"&lt;&gt;#DIV/0!")</f>
        <v>#DIV/0!</v>
      </c>
      <c r="AK125" s="2679" t="b">
        <v>0</v>
      </c>
      <c r="AL125" s="2625" t="e">
        <f t="shared" si="51"/>
        <v>#DIV/0!</v>
      </c>
      <c r="AM125" s="2675">
        <f>AVERAGEIFS(AL125:AL132,AL125:AL132,"&lt;&gt;0",AL125:AL132,"&lt;&gt;#DIV/0!")</f>
        <v>2</v>
      </c>
    </row>
    <row r="126" spans="1:39" ht="30" customHeight="1">
      <c r="A126" s="3797"/>
      <c r="B126" s="3768"/>
      <c r="C126" s="3756"/>
      <c r="D126" s="3775"/>
      <c r="E126" s="3765"/>
      <c r="F126" s="2565" t="s">
        <v>3779</v>
      </c>
      <c r="G126" s="2571" t="s">
        <v>3382</v>
      </c>
      <c r="H126" s="2572" t="s">
        <v>3402</v>
      </c>
      <c r="I126" s="2573" t="str">
        <f t="shared" si="57"/>
        <v/>
      </c>
      <c r="J126" s="2573" t="str">
        <f t="shared" si="58"/>
        <v/>
      </c>
      <c r="K126" s="2573" t="str">
        <f t="shared" si="59"/>
        <v/>
      </c>
      <c r="L126" s="3758"/>
      <c r="M126" s="2739"/>
      <c r="N126" s="3754"/>
      <c r="O126" s="2599"/>
      <c r="Q126" s="2576" t="s">
        <v>428</v>
      </c>
      <c r="R126" s="2576" t="s">
        <v>1465</v>
      </c>
      <c r="S126" s="2576" t="s">
        <v>1616</v>
      </c>
      <c r="T126" s="2576" t="s">
        <v>1721</v>
      </c>
      <c r="U126" s="2576" t="s">
        <v>1619</v>
      </c>
      <c r="V126" s="2576" t="s">
        <v>385</v>
      </c>
      <c r="W126" s="2576" t="s">
        <v>1620</v>
      </c>
      <c r="X126" s="2576" t="s">
        <v>383</v>
      </c>
      <c r="Y126" s="2576" t="s">
        <v>1722</v>
      </c>
      <c r="Z126" s="2618" t="str">
        <f t="shared" si="34"/>
        <v>対象外</v>
      </c>
      <c r="AB126" s="2635"/>
      <c r="AC126" s="2605"/>
      <c r="AD126" s="2645">
        <f>スコア!$Z$186</f>
        <v>0</v>
      </c>
      <c r="AE126" s="2644">
        <f>スコア!$AB$186</f>
        <v>0</v>
      </c>
      <c r="AF126" s="2621">
        <f t="shared" si="61"/>
        <v>0</v>
      </c>
      <c r="AG126" s="2622" t="str">
        <f t="shared" si="49"/>
        <v>#DIV/0!</v>
      </c>
      <c r="AH126" s="2623"/>
      <c r="AI126" s="2647" t="str">
        <f t="shared" si="50"/>
        <v>#DIV/0!</v>
      </c>
      <c r="AJ126" s="2676"/>
      <c r="AK126" s="2680"/>
      <c r="AL126" s="2651"/>
      <c r="AM126" s="2677"/>
    </row>
    <row r="127" spans="1:39" ht="30" customHeight="1">
      <c r="A127" s="3797"/>
      <c r="B127" s="3768"/>
      <c r="C127" s="3756"/>
      <c r="D127" s="3775"/>
      <c r="E127" s="3765"/>
      <c r="F127" s="2565" t="s">
        <v>4064</v>
      </c>
      <c r="G127" s="2571" t="s">
        <v>3382</v>
      </c>
      <c r="H127" s="2572" t="s">
        <v>3403</v>
      </c>
      <c r="I127" s="2573" t="str">
        <f t="shared" si="57"/>
        <v/>
      </c>
      <c r="J127" s="2573" t="str">
        <f t="shared" si="58"/>
        <v/>
      </c>
      <c r="K127" s="2573" t="str">
        <f t="shared" si="59"/>
        <v/>
      </c>
      <c r="L127" s="3758"/>
      <c r="M127" s="2740"/>
      <c r="N127" s="3739"/>
      <c r="O127" s="2599"/>
      <c r="Q127" s="2576" t="s">
        <v>428</v>
      </c>
      <c r="R127" s="2576" t="s">
        <v>1465</v>
      </c>
      <c r="S127" s="2576" t="s">
        <v>1616</v>
      </c>
      <c r="T127" s="2576" t="s">
        <v>1721</v>
      </c>
      <c r="U127" s="2576" t="s">
        <v>1619</v>
      </c>
      <c r="V127" s="2576" t="s">
        <v>385</v>
      </c>
      <c r="W127" s="2576" t="s">
        <v>1620</v>
      </c>
      <c r="X127" s="2576" t="s">
        <v>383</v>
      </c>
      <c r="Y127" s="2576" t="s">
        <v>1722</v>
      </c>
      <c r="Z127" s="2618" t="str">
        <f t="shared" si="34"/>
        <v>対象外</v>
      </c>
      <c r="AB127" s="2635"/>
      <c r="AC127" s="2605"/>
      <c r="AD127" s="2645">
        <f>スコア!$Z$187</f>
        <v>0</v>
      </c>
      <c r="AE127" s="2644">
        <f>スコア!$AB$187</f>
        <v>0</v>
      </c>
      <c r="AF127" s="2621">
        <f t="shared" si="61"/>
        <v>0</v>
      </c>
      <c r="AG127" s="2622" t="str">
        <f t="shared" si="49"/>
        <v>#DIV/0!</v>
      </c>
      <c r="AH127" s="2623"/>
      <c r="AI127" s="2647" t="str">
        <f t="shared" si="50"/>
        <v>#DIV/0!</v>
      </c>
      <c r="AJ127" s="2656"/>
      <c r="AK127" s="2681"/>
      <c r="AL127" s="2630"/>
      <c r="AM127" s="2677"/>
    </row>
    <row r="128" spans="1:39" ht="30" customHeight="1">
      <c r="A128" s="3797"/>
      <c r="B128" s="3768"/>
      <c r="C128" s="3756"/>
      <c r="D128" s="3775" t="s">
        <v>3950</v>
      </c>
      <c r="E128" s="3765" t="s">
        <v>3373</v>
      </c>
      <c r="F128" s="2565" t="s">
        <v>3780</v>
      </c>
      <c r="G128" s="2571" t="s">
        <v>3382</v>
      </c>
      <c r="H128" s="2572" t="s">
        <v>3404</v>
      </c>
      <c r="I128" s="2573" t="str">
        <f t="shared" si="57"/>
        <v/>
      </c>
      <c r="J128" s="2573" t="str">
        <f t="shared" si="58"/>
        <v>●</v>
      </c>
      <c r="K128" s="2573" t="str">
        <f t="shared" si="59"/>
        <v/>
      </c>
      <c r="L128" s="3758" t="str">
        <f>IF(L28="","（3.8.2の採点により自動転記）",L28)</f>
        <v>（3.8.2の採点により自動転記）</v>
      </c>
      <c r="M128" s="2738"/>
      <c r="N128" s="3738">
        <f>IF(AND(Z128="対象外",Z129="対象外"),"対象外",AL128)</f>
        <v>2</v>
      </c>
      <c r="O128" s="2599"/>
      <c r="Q128" s="2576" t="s">
        <v>428</v>
      </c>
      <c r="R128" s="2576" t="s">
        <v>1465</v>
      </c>
      <c r="S128" s="2576" t="s">
        <v>1616</v>
      </c>
      <c r="T128" s="2576" t="s">
        <v>1721</v>
      </c>
      <c r="U128" s="2576" t="s">
        <v>1619</v>
      </c>
      <c r="V128" s="2576" t="s">
        <v>385</v>
      </c>
      <c r="W128" s="2576" t="s">
        <v>1620</v>
      </c>
      <c r="X128" s="2576" t="s">
        <v>383</v>
      </c>
      <c r="Y128" s="2576" t="s">
        <v>1722</v>
      </c>
      <c r="Z128" s="2618" t="str">
        <f t="shared" si="34"/>
        <v>対象</v>
      </c>
      <c r="AB128" s="2635"/>
      <c r="AD128" s="2644">
        <f>スコア!$Z$189</f>
        <v>3</v>
      </c>
      <c r="AE128" s="2644">
        <f>スコア!$AB$189</f>
        <v>0</v>
      </c>
      <c r="AF128" s="2621">
        <f t="shared" si="61"/>
        <v>3</v>
      </c>
      <c r="AG128" s="2622">
        <f t="shared" si="49"/>
        <v>2</v>
      </c>
      <c r="AH128" s="2623"/>
      <c r="AI128" s="2647">
        <f t="shared" si="50"/>
        <v>2</v>
      </c>
      <c r="AJ128" s="2674">
        <f>AVERAGEIFS(AI128:AI129,AI128:AI129,"&lt;&gt;0",AI128:AI129,"&lt;&gt;#DIV/0!")</f>
        <v>2</v>
      </c>
      <c r="AK128" s="2679" t="b">
        <v>0</v>
      </c>
      <c r="AL128" s="2625">
        <f t="shared" si="51"/>
        <v>2</v>
      </c>
      <c r="AM128" s="2677"/>
    </row>
    <row r="129" spans="1:39" ht="30" customHeight="1">
      <c r="A129" s="3797"/>
      <c r="B129" s="3768"/>
      <c r="C129" s="3756"/>
      <c r="D129" s="3775"/>
      <c r="E129" s="3765"/>
      <c r="F129" s="2565" t="s">
        <v>3591</v>
      </c>
      <c r="G129" s="2571" t="s">
        <v>3382</v>
      </c>
      <c r="H129" s="2572" t="s">
        <v>3405</v>
      </c>
      <c r="I129" s="2573" t="str">
        <f t="shared" si="57"/>
        <v/>
      </c>
      <c r="J129" s="2573" t="str">
        <f t="shared" si="58"/>
        <v>●</v>
      </c>
      <c r="K129" s="2573" t="str">
        <f t="shared" si="59"/>
        <v/>
      </c>
      <c r="L129" s="3758"/>
      <c r="M129" s="2740"/>
      <c r="N129" s="3739"/>
      <c r="O129" s="2599"/>
      <c r="Q129" s="2576" t="s">
        <v>428</v>
      </c>
      <c r="R129" s="2576" t="s">
        <v>1465</v>
      </c>
      <c r="S129" s="2576" t="s">
        <v>1616</v>
      </c>
      <c r="T129" s="2576" t="s">
        <v>1721</v>
      </c>
      <c r="U129" s="2576" t="s">
        <v>1619</v>
      </c>
      <c r="V129" s="2576" t="s">
        <v>385</v>
      </c>
      <c r="W129" s="2576" t="s">
        <v>1620</v>
      </c>
      <c r="X129" s="2576" t="s">
        <v>383</v>
      </c>
      <c r="Y129" s="2576" t="s">
        <v>1722</v>
      </c>
      <c r="Z129" s="2618" t="str">
        <f t="shared" si="34"/>
        <v>対象</v>
      </c>
      <c r="AB129" s="2635"/>
      <c r="AD129" s="2620">
        <f>スコア!$Z$191</f>
        <v>3</v>
      </c>
      <c r="AE129" s="2620">
        <f>スコア!$AB$191</f>
        <v>0</v>
      </c>
      <c r="AF129" s="2621">
        <f t="shared" si="61"/>
        <v>3</v>
      </c>
      <c r="AG129" s="2622">
        <f t="shared" si="49"/>
        <v>2</v>
      </c>
      <c r="AH129" s="2623"/>
      <c r="AI129" s="2647">
        <f t="shared" si="50"/>
        <v>2</v>
      </c>
      <c r="AJ129" s="2656"/>
      <c r="AK129" s="2681"/>
      <c r="AL129" s="2630"/>
      <c r="AM129" s="2677"/>
    </row>
    <row r="130" spans="1:39" ht="30" customHeight="1">
      <c r="A130" s="3797"/>
      <c r="B130" s="3768"/>
      <c r="C130" s="3756"/>
      <c r="D130" s="2564" t="s">
        <v>3951</v>
      </c>
      <c r="E130" s="2567" t="s">
        <v>3377</v>
      </c>
      <c r="F130" s="2565" t="s">
        <v>4032</v>
      </c>
      <c r="G130" s="2571" t="s">
        <v>3382</v>
      </c>
      <c r="H130" s="2572" t="s">
        <v>3406</v>
      </c>
      <c r="I130" s="2573" t="str">
        <f t="shared" si="57"/>
        <v/>
      </c>
      <c r="J130" s="2573" t="str">
        <f t="shared" si="58"/>
        <v>●</v>
      </c>
      <c r="K130" s="2573" t="str">
        <f t="shared" si="59"/>
        <v/>
      </c>
      <c r="L130" s="2580" t="str">
        <f>IF(L30="","（3.8.3の採点により自動転記）",L30)</f>
        <v>（3.8.3の採点により自動転記）</v>
      </c>
      <c r="M130" s="2565"/>
      <c r="N130" s="2575">
        <f t="shared" ref="N130:N138" si="62">IF(Z130="対象外","対象外",AL130)</f>
        <v>2</v>
      </c>
      <c r="O130" s="2599"/>
      <c r="Q130" s="2576" t="s">
        <v>428</v>
      </c>
      <c r="R130" s="2576" t="s">
        <v>1465</v>
      </c>
      <c r="S130" s="2576" t="s">
        <v>1616</v>
      </c>
      <c r="T130" s="2576" t="s">
        <v>1721</v>
      </c>
      <c r="U130" s="2576" t="s">
        <v>1619</v>
      </c>
      <c r="V130" s="2576" t="s">
        <v>385</v>
      </c>
      <c r="W130" s="2576" t="s">
        <v>1620</v>
      </c>
      <c r="X130" s="2576" t="s">
        <v>383</v>
      </c>
      <c r="Y130" s="2576" t="s">
        <v>1722</v>
      </c>
      <c r="Z130" s="2618" t="str">
        <f t="shared" si="34"/>
        <v>対象</v>
      </c>
      <c r="AB130" s="2635"/>
      <c r="AC130" s="2605"/>
      <c r="AD130" s="2655">
        <f>スコア!$Z$192</f>
        <v>2.9999999999999996</v>
      </c>
      <c r="AE130" s="2655">
        <f>スコア!$AB$192</f>
        <v>0</v>
      </c>
      <c r="AF130" s="2621">
        <f t="shared" si="61"/>
        <v>2.9999999999999996</v>
      </c>
      <c r="AG130" s="2622">
        <f t="shared" si="49"/>
        <v>2</v>
      </c>
      <c r="AH130" s="2623"/>
      <c r="AI130" s="2622">
        <f t="shared" si="50"/>
        <v>2</v>
      </c>
      <c r="AJ130" s="2656">
        <f t="shared" si="56"/>
        <v>2</v>
      </c>
      <c r="AK130" s="2682" t="b">
        <v>0</v>
      </c>
      <c r="AL130" s="2651">
        <f t="shared" si="51"/>
        <v>2</v>
      </c>
      <c r="AM130" s="2659"/>
    </row>
    <row r="131" spans="1:39" ht="30" customHeight="1">
      <c r="A131" s="3797"/>
      <c r="B131" s="3768"/>
      <c r="C131" s="3756"/>
      <c r="D131" s="2564" t="s">
        <v>3952</v>
      </c>
      <c r="E131" s="2565" t="s">
        <v>3883</v>
      </c>
      <c r="F131" s="2565" t="s">
        <v>3379</v>
      </c>
      <c r="G131" s="2571" t="s">
        <v>3382</v>
      </c>
      <c r="H131" s="2572" t="s">
        <v>3407</v>
      </c>
      <c r="I131" s="2573" t="str">
        <f t="shared" si="57"/>
        <v/>
      </c>
      <c r="J131" s="2573" t="str">
        <f t="shared" si="58"/>
        <v>●</v>
      </c>
      <c r="K131" s="2573" t="str">
        <f t="shared" si="59"/>
        <v/>
      </c>
      <c r="L131" s="2580" t="str">
        <f>IF(L31="","（3.8.4の採点により自動転記）",L31)</f>
        <v>（3.8.4の採点により自動転記）</v>
      </c>
      <c r="M131" s="2565"/>
      <c r="N131" s="2575">
        <f t="shared" si="62"/>
        <v>2</v>
      </c>
      <c r="O131" s="2599"/>
      <c r="Q131" s="2576" t="s">
        <v>428</v>
      </c>
      <c r="R131" s="2576" t="s">
        <v>1465</v>
      </c>
      <c r="S131" s="2576" t="s">
        <v>1616</v>
      </c>
      <c r="T131" s="2576" t="s">
        <v>1721</v>
      </c>
      <c r="U131" s="2576" t="s">
        <v>1619</v>
      </c>
      <c r="V131" s="2576" t="s">
        <v>385</v>
      </c>
      <c r="W131" s="2576" t="s">
        <v>1620</v>
      </c>
      <c r="X131" s="2576" t="s">
        <v>383</v>
      </c>
      <c r="Y131" s="2576" t="s">
        <v>1722</v>
      </c>
      <c r="Z131" s="2618" t="str">
        <f t="shared" si="34"/>
        <v>対象</v>
      </c>
      <c r="AB131" s="2635"/>
      <c r="AC131" s="2605"/>
      <c r="AD131" s="2620">
        <f>スコア!$Z$176</f>
        <v>3</v>
      </c>
      <c r="AE131" s="2620">
        <f>スコア!$AB$176</f>
        <v>0</v>
      </c>
      <c r="AF131" s="2621">
        <f t="shared" si="61"/>
        <v>3</v>
      </c>
      <c r="AG131" s="2622">
        <f t="shared" si="49"/>
        <v>2</v>
      </c>
      <c r="AH131" s="2623"/>
      <c r="AI131" s="2622">
        <f t="shared" si="50"/>
        <v>2</v>
      </c>
      <c r="AJ131" s="2583">
        <f t="shared" si="56"/>
        <v>2</v>
      </c>
      <c r="AK131" s="2624" t="b">
        <v>0</v>
      </c>
      <c r="AL131" s="2625">
        <f t="shared" si="51"/>
        <v>2</v>
      </c>
      <c r="AM131" s="2659"/>
    </row>
    <row r="132" spans="1:39" ht="32.25" customHeight="1">
      <c r="A132" s="3797"/>
      <c r="B132" s="3769"/>
      <c r="C132" s="3757"/>
      <c r="D132" s="2564" t="s">
        <v>3953</v>
      </c>
      <c r="E132" s="2567" t="s">
        <v>3381</v>
      </c>
      <c r="F132" s="2565" t="s">
        <v>4065</v>
      </c>
      <c r="G132" s="2571" t="s">
        <v>3382</v>
      </c>
      <c r="H132" s="2572" t="s">
        <v>3408</v>
      </c>
      <c r="I132" s="2573" t="str">
        <f t="shared" si="57"/>
        <v/>
      </c>
      <c r="J132" s="2573" t="str">
        <f t="shared" si="58"/>
        <v>●</v>
      </c>
      <c r="K132" s="2573" t="str">
        <f t="shared" si="59"/>
        <v/>
      </c>
      <c r="L132" s="2580" t="str">
        <f>IF(L32="","（3.8.5の採点により自動転記）",L32)</f>
        <v>（3.8.5の採点により自動転記）</v>
      </c>
      <c r="M132" s="2737"/>
      <c r="N132" s="2575">
        <f t="shared" si="62"/>
        <v>2</v>
      </c>
      <c r="O132" s="2599"/>
      <c r="Q132" s="2576" t="s">
        <v>428</v>
      </c>
      <c r="R132" s="2576" t="s">
        <v>1465</v>
      </c>
      <c r="S132" s="2576" t="s">
        <v>1616</v>
      </c>
      <c r="T132" s="2576" t="s">
        <v>1721</v>
      </c>
      <c r="U132" s="2576" t="s">
        <v>1619</v>
      </c>
      <c r="V132" s="2576" t="s">
        <v>385</v>
      </c>
      <c r="W132" s="2576" t="s">
        <v>1620</v>
      </c>
      <c r="X132" s="2576" t="s">
        <v>383</v>
      </c>
      <c r="Y132" s="2576" t="s">
        <v>1722</v>
      </c>
      <c r="Z132" s="2618" t="str">
        <f t="shared" si="34"/>
        <v>対象</v>
      </c>
      <c r="AB132" s="2619"/>
      <c r="AC132" s="2605"/>
      <c r="AD132" s="2620">
        <f>スコア!$Z$167</f>
        <v>3</v>
      </c>
      <c r="AE132" s="2620">
        <f>スコア!$AB$167</f>
        <v>0</v>
      </c>
      <c r="AF132" s="2621">
        <f t="shared" si="61"/>
        <v>3</v>
      </c>
      <c r="AG132" s="2622">
        <f t="shared" si="49"/>
        <v>2</v>
      </c>
      <c r="AH132" s="2623"/>
      <c r="AI132" s="2622">
        <f t="shared" si="50"/>
        <v>2</v>
      </c>
      <c r="AJ132" s="2583">
        <f t="shared" si="56"/>
        <v>2</v>
      </c>
      <c r="AK132" s="2633" t="b">
        <v>0</v>
      </c>
      <c r="AL132" s="2780">
        <f t="shared" si="51"/>
        <v>2</v>
      </c>
      <c r="AM132" s="2658"/>
    </row>
    <row r="133" spans="1:39" ht="30" customHeight="1">
      <c r="A133" s="3797"/>
      <c r="B133" s="2568" t="s">
        <v>3947</v>
      </c>
      <c r="C133" s="2569" t="s">
        <v>3592</v>
      </c>
      <c r="D133" s="2564" t="s">
        <v>3596</v>
      </c>
      <c r="E133" s="2565" t="s">
        <v>3594</v>
      </c>
      <c r="F133" s="2565" t="s">
        <v>4105</v>
      </c>
      <c r="G133" s="2571" t="s">
        <v>3382</v>
      </c>
      <c r="H133" s="2572" t="s">
        <v>3595</v>
      </c>
      <c r="I133" s="2573" t="str">
        <f t="shared" si="57"/>
        <v>●</v>
      </c>
      <c r="J133" s="2573" t="str">
        <f t="shared" si="58"/>
        <v/>
      </c>
      <c r="K133" s="2573" t="str">
        <f t="shared" si="59"/>
        <v/>
      </c>
      <c r="L133" s="2578"/>
      <c r="M133" s="2565"/>
      <c r="N133" s="2575">
        <f t="shared" si="62"/>
        <v>1</v>
      </c>
      <c r="O133" s="2599"/>
      <c r="Q133" s="2576" t="s">
        <v>428</v>
      </c>
      <c r="R133" s="2576" t="s">
        <v>1465</v>
      </c>
      <c r="S133" s="2576" t="s">
        <v>1616</v>
      </c>
      <c r="T133" s="2576" t="s">
        <v>1721</v>
      </c>
      <c r="U133" s="2576" t="s">
        <v>1619</v>
      </c>
      <c r="V133" s="2576" t="s">
        <v>385</v>
      </c>
      <c r="W133" s="2576" t="s">
        <v>1620</v>
      </c>
      <c r="X133" s="2576" t="s">
        <v>383</v>
      </c>
      <c r="Y133" s="2576" t="s">
        <v>1722</v>
      </c>
      <c r="Z133" s="2618" t="str">
        <f t="shared" si="34"/>
        <v>対象</v>
      </c>
      <c r="AB133" s="2635"/>
      <c r="AC133" s="2605"/>
      <c r="AD133" s="2620">
        <f>IF(SUM(VALUE(採点Q3!G79)+VALUE(採点Q3!G82))=0,1,IF(SUM(VALUE(採点Q3!G79)+VALUE(採点Q3!G82))=1,4,5))</f>
        <v>1</v>
      </c>
      <c r="AE133" s="2635"/>
      <c r="AF133" s="2621">
        <f t="shared" si="61"/>
        <v>1</v>
      </c>
      <c r="AG133" s="2622">
        <f t="shared" si="49"/>
        <v>1</v>
      </c>
      <c r="AH133" s="2623"/>
      <c r="AI133" s="2622">
        <f t="shared" si="50"/>
        <v>1</v>
      </c>
      <c r="AJ133" s="2583">
        <f t="shared" si="56"/>
        <v>1</v>
      </c>
      <c r="AK133" s="2683" t="b">
        <v>0</v>
      </c>
      <c r="AL133" s="2625">
        <f t="shared" si="51"/>
        <v>1</v>
      </c>
      <c r="AM133" s="2662">
        <f>AVERAGEIFS(AL133,AL133,"&lt;&gt;0",AL133,"&lt;&gt;#DIV/0!")</f>
        <v>1</v>
      </c>
    </row>
    <row r="134" spans="1:39" ht="80.25" customHeight="1">
      <c r="A134" s="3797"/>
      <c r="B134" s="2568" t="s">
        <v>3597</v>
      </c>
      <c r="C134" s="2569" t="s">
        <v>3954</v>
      </c>
      <c r="D134" s="2564" t="s">
        <v>3599</v>
      </c>
      <c r="E134" s="2567" t="s">
        <v>4077</v>
      </c>
      <c r="F134" s="2567" t="s">
        <v>4053</v>
      </c>
      <c r="G134" s="2571" t="s">
        <v>3382</v>
      </c>
      <c r="H134" s="2789" t="s">
        <v>3398</v>
      </c>
      <c r="I134" s="2573" t="str">
        <f t="shared" si="57"/>
        <v>●</v>
      </c>
      <c r="J134" s="2573" t="str">
        <f t="shared" si="58"/>
        <v/>
      </c>
      <c r="K134" s="2573" t="str">
        <f t="shared" si="59"/>
        <v/>
      </c>
      <c r="L134" s="2589" t="str">
        <f>IF(L89="","（9.1.2の採点により自動転記）",L89)</f>
        <v>（9.1.2の採点により自動転記）</v>
      </c>
      <c r="M134" s="2565"/>
      <c r="N134" s="2575">
        <f t="shared" si="62"/>
        <v>1</v>
      </c>
      <c r="O134" s="2599"/>
      <c r="Q134" s="2576" t="s">
        <v>428</v>
      </c>
      <c r="R134" s="2576" t="s">
        <v>1465</v>
      </c>
      <c r="S134" s="2576" t="s">
        <v>1616</v>
      </c>
      <c r="T134" s="2576" t="s">
        <v>1721</v>
      </c>
      <c r="U134" s="2576" t="s">
        <v>1619</v>
      </c>
      <c r="V134" s="2576" t="s">
        <v>385</v>
      </c>
      <c r="W134" s="2576" t="s">
        <v>1620</v>
      </c>
      <c r="X134" s="2576" t="s">
        <v>383</v>
      </c>
      <c r="Y134" s="2576" t="s">
        <v>1722</v>
      </c>
      <c r="Z134" s="2618" t="str">
        <f t="shared" si="34"/>
        <v>対象</v>
      </c>
      <c r="AB134" s="2639">
        <f>AB89</f>
        <v>1</v>
      </c>
      <c r="AC134" s="2605"/>
      <c r="AD134" s="2635"/>
      <c r="AE134" s="2635"/>
      <c r="AF134" s="2635"/>
      <c r="AG134" s="2635"/>
      <c r="AH134" s="2636"/>
      <c r="AI134" s="2622">
        <f t="shared" si="50"/>
        <v>1</v>
      </c>
      <c r="AJ134" s="2583">
        <f t="shared" si="56"/>
        <v>1</v>
      </c>
      <c r="AK134" s="2683" t="b">
        <v>0</v>
      </c>
      <c r="AL134" s="2625">
        <f t="shared" si="51"/>
        <v>1</v>
      </c>
      <c r="AM134" s="2621">
        <f>AVERAGEIFS(AL134,AL134,"&lt;&gt;0",AL134,"&lt;&gt;#DIV/0!")</f>
        <v>1</v>
      </c>
    </row>
    <row r="135" spans="1:39" ht="30" customHeight="1">
      <c r="A135" s="3797"/>
      <c r="B135" s="2568" t="s">
        <v>3955</v>
      </c>
      <c r="C135" s="2569" t="s">
        <v>3917</v>
      </c>
      <c r="D135" s="2564" t="s">
        <v>3964</v>
      </c>
      <c r="E135" s="2565" t="s">
        <v>3957</v>
      </c>
      <c r="F135" s="2565" t="s">
        <v>3919</v>
      </c>
      <c r="G135" s="2571" t="s">
        <v>3382</v>
      </c>
      <c r="H135" s="2572" t="s">
        <v>4066</v>
      </c>
      <c r="I135" s="2573" t="str">
        <f t="shared" si="57"/>
        <v>●</v>
      </c>
      <c r="J135" s="2573" t="str">
        <f t="shared" si="58"/>
        <v/>
      </c>
      <c r="K135" s="2573" t="str">
        <f t="shared" si="59"/>
        <v/>
      </c>
      <c r="L135" s="2589" t="str">
        <f>IF(L87="","（8.5.1の採点により自動転記）",L87)</f>
        <v>（8.5.1の採点により自動転記）</v>
      </c>
      <c r="M135" s="2565"/>
      <c r="N135" s="2575">
        <f t="shared" si="62"/>
        <v>1</v>
      </c>
      <c r="O135" s="2599"/>
      <c r="Q135" s="2576" t="s">
        <v>428</v>
      </c>
      <c r="R135" s="2576" t="s">
        <v>1465</v>
      </c>
      <c r="S135" s="2576" t="s">
        <v>1616</v>
      </c>
      <c r="T135" s="2576" t="s">
        <v>1721</v>
      </c>
      <c r="U135" s="2576" t="s">
        <v>1619</v>
      </c>
      <c r="V135" s="2576" t="s">
        <v>385</v>
      </c>
      <c r="W135" s="2576" t="s">
        <v>1620</v>
      </c>
      <c r="X135" s="2576" t="s">
        <v>383</v>
      </c>
      <c r="Y135" s="2576" t="s">
        <v>1722</v>
      </c>
      <c r="Z135" s="2618" t="str">
        <f t="shared" si="34"/>
        <v>対象</v>
      </c>
      <c r="AB135" s="2635"/>
      <c r="AC135" s="2605"/>
      <c r="AD135" s="2620">
        <f>IF(SUM(VALUE(採点Q3!G58)+VALUE(採点Q3!G77))=0,1,3)</f>
        <v>1</v>
      </c>
      <c r="AE135" s="2635"/>
      <c r="AF135" s="2621">
        <f>IF(AE135=0,AD135,IF(AD135=0,AE135,AD135*$AD$6+AE135*$AE$6))</f>
        <v>1</v>
      </c>
      <c r="AG135" s="2622">
        <f>IF(AF135=0,"#DIV/0!",IF(AF135&lt;2,1,IF(AF135&lt;3,2,3)))</f>
        <v>1</v>
      </c>
      <c r="AH135" s="2623"/>
      <c r="AI135" s="2622">
        <f t="shared" si="50"/>
        <v>1</v>
      </c>
      <c r="AJ135" s="2583">
        <f t="shared" si="56"/>
        <v>1</v>
      </c>
      <c r="AK135" s="2683" t="b">
        <v>0</v>
      </c>
      <c r="AL135" s="2625">
        <f t="shared" si="51"/>
        <v>1</v>
      </c>
      <c r="AM135" s="2621">
        <f>AVERAGEIFS(AL135,AL135,"&lt;&gt;0",AL135,"&lt;&gt;#DIV/0!")</f>
        <v>1</v>
      </c>
    </row>
    <row r="136" spans="1:39" ht="48.75" customHeight="1">
      <c r="A136" s="3797"/>
      <c r="B136" s="2568" t="s">
        <v>3956</v>
      </c>
      <c r="C136" s="2569" t="s">
        <v>3598</v>
      </c>
      <c r="D136" s="2564" t="s">
        <v>3963</v>
      </c>
      <c r="E136" s="2565" t="s">
        <v>3600</v>
      </c>
      <c r="F136" s="2565" t="s">
        <v>4106</v>
      </c>
      <c r="G136" s="2571" t="s">
        <v>3382</v>
      </c>
      <c r="H136" s="2572" t="s">
        <v>3398</v>
      </c>
      <c r="I136" s="2567"/>
      <c r="J136" s="2567"/>
      <c r="K136" s="2567"/>
      <c r="L136" s="2578"/>
      <c r="M136" s="2565"/>
      <c r="N136" s="2575">
        <f t="shared" si="62"/>
        <v>3</v>
      </c>
      <c r="O136" s="2599"/>
      <c r="Q136" s="2576" t="s">
        <v>428</v>
      </c>
      <c r="R136" s="2576" t="s">
        <v>1465</v>
      </c>
      <c r="S136" s="2576" t="s">
        <v>1616</v>
      </c>
      <c r="T136" s="2576" t="s">
        <v>1721</v>
      </c>
      <c r="U136" s="2576" t="s">
        <v>1619</v>
      </c>
      <c r="V136" s="2576" t="s">
        <v>385</v>
      </c>
      <c r="W136" s="2576" t="s">
        <v>1620</v>
      </c>
      <c r="X136" s="2576" t="s">
        <v>383</v>
      </c>
      <c r="Y136" s="2576" t="s">
        <v>1722</v>
      </c>
      <c r="Z136" s="2618" t="str">
        <f t="shared" si="34"/>
        <v>対象</v>
      </c>
      <c r="AB136" s="2639">
        <v>3</v>
      </c>
      <c r="AC136" s="2605"/>
      <c r="AD136" s="2635"/>
      <c r="AE136" s="2635"/>
      <c r="AF136" s="2635"/>
      <c r="AG136" s="2635"/>
      <c r="AH136" s="2636"/>
      <c r="AI136" s="2622">
        <f t="shared" si="50"/>
        <v>3</v>
      </c>
      <c r="AJ136" s="2583">
        <f t="shared" si="56"/>
        <v>3</v>
      </c>
      <c r="AK136" s="2683" t="b">
        <v>0</v>
      </c>
      <c r="AL136" s="2625">
        <f t="shared" si="51"/>
        <v>3</v>
      </c>
      <c r="AM136" s="2646">
        <f>AVERAGEIFS(AL136,AL136,"&lt;&gt;0",AL136,"&lt;&gt;#DIV/0!")</f>
        <v>3</v>
      </c>
    </row>
    <row r="137" spans="1:39" ht="29.25">
      <c r="A137" s="3798"/>
      <c r="B137" s="2777" t="s">
        <v>3961</v>
      </c>
      <c r="C137" s="2786" t="s">
        <v>3959</v>
      </c>
      <c r="D137" s="2564" t="s">
        <v>3962</v>
      </c>
      <c r="E137" s="2565" t="s">
        <v>3960</v>
      </c>
      <c r="F137" s="2565" t="s">
        <v>3958</v>
      </c>
      <c r="G137" s="2571" t="s">
        <v>3382</v>
      </c>
      <c r="H137" s="2572" t="s">
        <v>4067</v>
      </c>
      <c r="I137" s="2573" t="str">
        <f t="shared" ref="I137" si="63">IF(AI137=1,"●","")</f>
        <v>●</v>
      </c>
      <c r="J137" s="2573" t="str">
        <f t="shared" ref="J137" si="64">IF(AI137=2,"●","")</f>
        <v/>
      </c>
      <c r="K137" s="2573" t="str">
        <f t="shared" ref="K137" si="65">IF(AI137=3,"●","")</f>
        <v/>
      </c>
      <c r="L137" s="2578"/>
      <c r="M137" s="2565"/>
      <c r="N137" s="2575">
        <f t="shared" ref="N137" si="66">IF(Z137="対象外","対象外",AL137)</f>
        <v>1</v>
      </c>
      <c r="O137" s="2599"/>
      <c r="Q137" s="2576" t="s">
        <v>428</v>
      </c>
      <c r="R137" s="2576" t="s">
        <v>1465</v>
      </c>
      <c r="S137" s="2576" t="s">
        <v>1616</v>
      </c>
      <c r="T137" s="2576" t="s">
        <v>1721</v>
      </c>
      <c r="U137" s="2576" t="s">
        <v>1619</v>
      </c>
      <c r="V137" s="2576" t="s">
        <v>385</v>
      </c>
      <c r="W137" s="2576" t="s">
        <v>1620</v>
      </c>
      <c r="X137" s="2576" t="s">
        <v>383</v>
      </c>
      <c r="Y137" s="2576" t="s">
        <v>1722</v>
      </c>
      <c r="Z137" s="2618" t="str">
        <f t="shared" ref="Z137" si="67">IF(AG137="#DIV/0!","対象外",IF(AND($Q$4="〇",Q137&lt;&gt;"")+AND($R$4="〇",R137&lt;&gt;"")+AND($S$4="〇",S137&lt;&gt;"")+AND($T$4="〇",T137&lt;&gt;"")+AND($U$4="〇",U137&lt;&gt;"")+AND($V$4="〇",V137&lt;&gt;"")+AND($W$4="〇",W137&lt;&gt;"")+AND($X$4="〇",X137&lt;&gt;"")+AND($Y$4="〇",Y137&lt;&gt;"")=0,"対象外","対象"))</f>
        <v>対象</v>
      </c>
      <c r="AB137" s="2790"/>
      <c r="AC137" s="2605"/>
      <c r="AD137" s="2620">
        <f>IF(SUM(VALUE(採点Q3!G57)+VALUE(採点Q3!G75))=0,1,3)</f>
        <v>1</v>
      </c>
      <c r="AE137" s="2635"/>
      <c r="AF137" s="2621">
        <f>IF(AE137=0,AD137,IF(AD137=0,AE137,AD137*$AD$6+AE137*$AE$6))</f>
        <v>1</v>
      </c>
      <c r="AG137" s="2622">
        <f>IF(AF137=0,"#DIV/0!",IF(AF137&lt;2,1,IF(AF137&lt;3,2,3)))</f>
        <v>1</v>
      </c>
      <c r="AH137" s="2636"/>
      <c r="AI137" s="2622">
        <f t="shared" ref="AI137" si="68">IF(Z137="対象外","#DIV/0!",IF(AG137="",AB137,IF(AB137="",AG137,0)))</f>
        <v>1</v>
      </c>
      <c r="AJ137" s="2583">
        <f t="shared" ref="AJ137" si="69">AVERAGEIFS(AI137,AI137,"&lt;&gt;0",AI137,"&lt;&gt;#DIV/0!")</f>
        <v>1</v>
      </c>
      <c r="AK137" s="2683" t="b">
        <v>0</v>
      </c>
      <c r="AL137" s="2625">
        <f t="shared" ref="AL137" si="70">IF(AK137=FALSE,AJ137,IF(AJ137=1,2,3))</f>
        <v>1</v>
      </c>
      <c r="AM137" s="2646">
        <f>AVERAGEIFS(AL137,AL137,"&lt;&gt;0",AL137,"&lt;&gt;#DIV/0!")</f>
        <v>1</v>
      </c>
    </row>
    <row r="138" spans="1:39" ht="30" customHeight="1">
      <c r="A138" s="3800" t="s">
        <v>3550</v>
      </c>
      <c r="B138" s="3770" t="s">
        <v>3601</v>
      </c>
      <c r="C138" s="3740" t="s">
        <v>3602</v>
      </c>
      <c r="D138" s="2564" t="s">
        <v>3603</v>
      </c>
      <c r="E138" s="2565" t="s">
        <v>3781</v>
      </c>
      <c r="F138" s="2567" t="s">
        <v>3767</v>
      </c>
      <c r="G138" s="2571" t="s">
        <v>3382</v>
      </c>
      <c r="H138" s="2572" t="s">
        <v>3512</v>
      </c>
      <c r="I138" s="2573" t="str">
        <f>IF(AI138=1,"●","")</f>
        <v/>
      </c>
      <c r="J138" s="2573" t="str">
        <f>IF(AI138=2,"●","")</f>
        <v>●</v>
      </c>
      <c r="K138" s="2573" t="str">
        <f>IF(AI138=3,"●","")</f>
        <v/>
      </c>
      <c r="L138" s="2580" t="str">
        <f>IF(L79="","（8.4.1の採点により自動転記）",L79)</f>
        <v>（8.4.1の採点により自動転記）</v>
      </c>
      <c r="M138" s="2565"/>
      <c r="N138" s="2575">
        <f t="shared" si="62"/>
        <v>2</v>
      </c>
      <c r="O138" s="2599"/>
      <c r="Q138" s="2576" t="s">
        <v>428</v>
      </c>
      <c r="R138" s="2576" t="s">
        <v>1465</v>
      </c>
      <c r="S138" s="2576" t="s">
        <v>1616</v>
      </c>
      <c r="T138" s="2576" t="s">
        <v>1721</v>
      </c>
      <c r="U138" s="2576" t="s">
        <v>1619</v>
      </c>
      <c r="V138" s="2576" t="s">
        <v>385</v>
      </c>
      <c r="W138" s="2576" t="s">
        <v>1620</v>
      </c>
      <c r="X138" s="2576" t="s">
        <v>383</v>
      </c>
      <c r="Y138" s="2576" t="s">
        <v>1722</v>
      </c>
      <c r="Z138" s="2618" t="str">
        <f t="shared" si="34"/>
        <v>対象</v>
      </c>
      <c r="AB138" s="2635"/>
      <c r="AC138" s="2605"/>
      <c r="AD138" s="2620">
        <f>スコア!$Z$83</f>
        <v>3</v>
      </c>
      <c r="AE138" s="2620">
        <f>スコア!$AB$83</f>
        <v>0</v>
      </c>
      <c r="AF138" s="2621">
        <f t="shared" ref="AF138:AF143" si="71">IF(AE138=0,AD138,IF(AD138=0,AE138,AD138*$AD$6+AE138*$AE$6))</f>
        <v>3</v>
      </c>
      <c r="AG138" s="2622">
        <f t="shared" si="49"/>
        <v>2</v>
      </c>
      <c r="AH138" s="2623"/>
      <c r="AI138" s="2622">
        <f t="shared" si="50"/>
        <v>2</v>
      </c>
      <c r="AJ138" s="2583">
        <f t="shared" si="56"/>
        <v>2</v>
      </c>
      <c r="AK138" s="2624" t="b">
        <v>0</v>
      </c>
      <c r="AL138" s="2625">
        <f t="shared" si="51"/>
        <v>2</v>
      </c>
      <c r="AM138" s="2660">
        <f>AVERAGEIFS(AL138:AL145,AL138:AL145,"&lt;&gt;0",AL138:AL145,"&lt;&gt;#DIV/0!")</f>
        <v>2</v>
      </c>
    </row>
    <row r="139" spans="1:39" ht="30" customHeight="1">
      <c r="A139" s="3800"/>
      <c r="B139" s="3768"/>
      <c r="C139" s="3741"/>
      <c r="D139" s="2564" t="s">
        <v>3604</v>
      </c>
      <c r="E139" s="2565" t="s">
        <v>3782</v>
      </c>
      <c r="F139" s="2567" t="s">
        <v>3515</v>
      </c>
      <c r="G139" s="2571" t="s">
        <v>3382</v>
      </c>
      <c r="H139" s="2572" t="s">
        <v>3516</v>
      </c>
      <c r="I139" s="2573" t="str">
        <f t="shared" ref="I139:I145" si="72">IF(AI139=1,"●","")</f>
        <v/>
      </c>
      <c r="J139" s="2573" t="str">
        <f t="shared" ref="J139:J145" si="73">IF(AI139=2,"●","")</f>
        <v>●</v>
      </c>
      <c r="K139" s="2573" t="str">
        <f t="shared" ref="K139:K145" si="74">IF(AI139=3,"●","")</f>
        <v/>
      </c>
      <c r="L139" s="2580" t="str">
        <f>IF(L80="","（8.4.2の採点により自動転記）",L80)</f>
        <v>（8.4.2の採点により自動転記）</v>
      </c>
      <c r="M139" s="2565"/>
      <c r="N139" s="2575">
        <f t="shared" ref="N139:N175" si="75">IF(Z139="対象外","対象外",AL139)</f>
        <v>2</v>
      </c>
      <c r="O139" s="2599"/>
      <c r="Q139" s="2576" t="s">
        <v>428</v>
      </c>
      <c r="R139" s="2576" t="s">
        <v>1465</v>
      </c>
      <c r="S139" s="2576" t="s">
        <v>1616</v>
      </c>
      <c r="T139" s="2576" t="s">
        <v>1721</v>
      </c>
      <c r="U139" s="2576" t="s">
        <v>1619</v>
      </c>
      <c r="V139" s="2576" t="s">
        <v>385</v>
      </c>
      <c r="W139" s="2576" t="s">
        <v>1620</v>
      </c>
      <c r="X139" s="2576" t="s">
        <v>383</v>
      </c>
      <c r="Y139" s="2576" t="s">
        <v>1722</v>
      </c>
      <c r="Z139" s="2618" t="str">
        <f t="shared" si="34"/>
        <v>対象</v>
      </c>
      <c r="AB139" s="2635"/>
      <c r="AC139" s="2605"/>
      <c r="AD139" s="2620">
        <f>スコア!$Z$84</f>
        <v>3</v>
      </c>
      <c r="AE139" s="2620">
        <f>スコア!$AB$84</f>
        <v>0</v>
      </c>
      <c r="AF139" s="2621">
        <f t="shared" si="71"/>
        <v>3</v>
      </c>
      <c r="AG139" s="2622">
        <f t="shared" si="49"/>
        <v>2</v>
      </c>
      <c r="AH139" s="2623"/>
      <c r="AI139" s="2622">
        <f t="shared" si="50"/>
        <v>2</v>
      </c>
      <c r="AJ139" s="2583">
        <f t="shared" si="56"/>
        <v>2</v>
      </c>
      <c r="AK139" s="2624" t="b">
        <v>0</v>
      </c>
      <c r="AL139" s="2625">
        <f t="shared" si="51"/>
        <v>2</v>
      </c>
      <c r="AM139" s="2659"/>
    </row>
    <row r="140" spans="1:39" ht="30" customHeight="1">
      <c r="A140" s="3800"/>
      <c r="B140" s="3768"/>
      <c r="C140" s="3741"/>
      <c r="D140" s="2564" t="s">
        <v>3605</v>
      </c>
      <c r="E140" s="2565" t="s">
        <v>3783</v>
      </c>
      <c r="F140" s="2567" t="s">
        <v>4049</v>
      </c>
      <c r="G140" s="2571" t="s">
        <v>3382</v>
      </c>
      <c r="H140" s="2572" t="s">
        <v>3812</v>
      </c>
      <c r="I140" s="2573" t="str">
        <f t="shared" si="72"/>
        <v/>
      </c>
      <c r="J140" s="2573" t="str">
        <f t="shared" si="73"/>
        <v>●</v>
      </c>
      <c r="K140" s="2573" t="str">
        <f t="shared" si="74"/>
        <v/>
      </c>
      <c r="L140" s="2580" t="str">
        <f>IF(L81="","（8.4.3の採点により自動転記）",L81)</f>
        <v>（8.4.3の採点により自動転記）</v>
      </c>
      <c r="M140" s="2565"/>
      <c r="N140" s="2575">
        <f t="shared" si="75"/>
        <v>2</v>
      </c>
      <c r="O140" s="2599"/>
      <c r="Q140" s="2576" t="s">
        <v>428</v>
      </c>
      <c r="R140" s="2576" t="s">
        <v>1465</v>
      </c>
      <c r="S140" s="2576" t="s">
        <v>1616</v>
      </c>
      <c r="T140" s="2576" t="s">
        <v>1721</v>
      </c>
      <c r="U140" s="2576" t="s">
        <v>1619</v>
      </c>
      <c r="V140" s="2576" t="s">
        <v>385</v>
      </c>
      <c r="W140" s="2576" t="s">
        <v>1620</v>
      </c>
      <c r="X140" s="2576" t="s">
        <v>383</v>
      </c>
      <c r="Y140" s="2576" t="s">
        <v>1722</v>
      </c>
      <c r="Z140" s="2618" t="str">
        <f t="shared" si="34"/>
        <v>対象</v>
      </c>
      <c r="AB140" s="2635"/>
      <c r="AC140" s="2605"/>
      <c r="AD140" s="2620">
        <f>スコア!$Z$85</f>
        <v>3</v>
      </c>
      <c r="AE140" s="2620">
        <f>スコア!$AB$85</f>
        <v>0</v>
      </c>
      <c r="AF140" s="2621">
        <f t="shared" si="71"/>
        <v>3</v>
      </c>
      <c r="AG140" s="2622">
        <f t="shared" si="49"/>
        <v>2</v>
      </c>
      <c r="AH140" s="2623"/>
      <c r="AI140" s="2628">
        <f t="shared" si="50"/>
        <v>2</v>
      </c>
      <c r="AJ140" s="2642">
        <f t="shared" si="56"/>
        <v>2</v>
      </c>
      <c r="AK140" s="2684" t="b">
        <v>0</v>
      </c>
      <c r="AL140" s="2625">
        <f t="shared" si="51"/>
        <v>2</v>
      </c>
      <c r="AM140" s="2659"/>
    </row>
    <row r="141" spans="1:39" ht="30" customHeight="1">
      <c r="A141" s="3800"/>
      <c r="B141" s="3768"/>
      <c r="C141" s="3741"/>
      <c r="D141" s="2564" t="s">
        <v>3606</v>
      </c>
      <c r="E141" s="2565" t="s">
        <v>3607</v>
      </c>
      <c r="F141" s="2567" t="s">
        <v>3608</v>
      </c>
      <c r="G141" s="2571" t="s">
        <v>3382</v>
      </c>
      <c r="H141" s="2572" t="s">
        <v>3609</v>
      </c>
      <c r="I141" s="2573" t="str">
        <f t="shared" si="72"/>
        <v/>
      </c>
      <c r="J141" s="2573" t="str">
        <f t="shared" si="73"/>
        <v>●</v>
      </c>
      <c r="K141" s="2573" t="str">
        <f t="shared" si="74"/>
        <v/>
      </c>
      <c r="L141" s="2580" t="str">
        <f>IF(L82="","（8.4.4の採点により自動転記）",L82)</f>
        <v>（8.4.4の採点により自動転記）</v>
      </c>
      <c r="M141" s="2565"/>
      <c r="N141" s="2575">
        <f t="shared" si="75"/>
        <v>2</v>
      </c>
      <c r="O141" s="2599"/>
      <c r="Q141" s="2576" t="s">
        <v>428</v>
      </c>
      <c r="R141" s="2576" t="s">
        <v>1465</v>
      </c>
      <c r="S141" s="2576" t="s">
        <v>1616</v>
      </c>
      <c r="T141" s="2576" t="s">
        <v>1721</v>
      </c>
      <c r="U141" s="2576" t="s">
        <v>1619</v>
      </c>
      <c r="V141" s="2576" t="s">
        <v>385</v>
      </c>
      <c r="W141" s="2576" t="s">
        <v>1620</v>
      </c>
      <c r="X141" s="2576" t="s">
        <v>383</v>
      </c>
      <c r="Y141" s="2576" t="s">
        <v>1722</v>
      </c>
      <c r="Z141" s="2618" t="str">
        <f t="shared" si="34"/>
        <v>対象</v>
      </c>
      <c r="AB141" s="2635"/>
      <c r="AD141" s="2620">
        <f>スコア!$Z$86</f>
        <v>3</v>
      </c>
      <c r="AE141" s="2620">
        <f>スコア!$AB$86</f>
        <v>0</v>
      </c>
      <c r="AF141" s="2621">
        <f t="shared" si="71"/>
        <v>3</v>
      </c>
      <c r="AG141" s="2622">
        <f t="shared" si="49"/>
        <v>2</v>
      </c>
      <c r="AH141" s="2623"/>
      <c r="AI141" s="2628">
        <f>IF(Z141="対象外","#DIV/0!",IF(AG141="",AB141,IF(AB141="",AG141,0)))</f>
        <v>2</v>
      </c>
      <c r="AJ141" s="2642">
        <f>AVERAGEIFS(AI141,AI141,"&lt;&gt;0",AI141,"&lt;&gt;#DIV/0!")</f>
        <v>2</v>
      </c>
      <c r="AK141" s="2685" t="b">
        <v>0</v>
      </c>
      <c r="AL141" s="2625">
        <f t="shared" si="51"/>
        <v>2</v>
      </c>
      <c r="AM141" s="2659"/>
    </row>
    <row r="142" spans="1:39" ht="30" customHeight="1">
      <c r="A142" s="3800"/>
      <c r="B142" s="3768"/>
      <c r="C142" s="3741"/>
      <c r="D142" s="2564" t="s">
        <v>3610</v>
      </c>
      <c r="E142" s="2567" t="s">
        <v>3611</v>
      </c>
      <c r="F142" s="2567" t="s">
        <v>3612</v>
      </c>
      <c r="G142" s="2571" t="s">
        <v>3382</v>
      </c>
      <c r="H142" s="2572" t="s">
        <v>3613</v>
      </c>
      <c r="I142" s="2573" t="str">
        <f t="shared" si="72"/>
        <v/>
      </c>
      <c r="J142" s="2573" t="str">
        <f t="shared" si="73"/>
        <v>●</v>
      </c>
      <c r="K142" s="2573" t="str">
        <f t="shared" si="74"/>
        <v/>
      </c>
      <c r="L142" s="2580" t="str">
        <f>IF(L83="","（8.4.5の採点により自動転記）",L83)</f>
        <v>（8.4.5の採点により自動転記）</v>
      </c>
      <c r="M142" s="2565"/>
      <c r="N142" s="2575">
        <f t="shared" si="75"/>
        <v>2</v>
      </c>
      <c r="O142" s="2599"/>
      <c r="Q142" s="2576" t="s">
        <v>428</v>
      </c>
      <c r="R142" s="2576" t="s">
        <v>1465</v>
      </c>
      <c r="S142" s="2576" t="s">
        <v>1616</v>
      </c>
      <c r="T142" s="2576" t="s">
        <v>1721</v>
      </c>
      <c r="U142" s="2576" t="s">
        <v>1619</v>
      </c>
      <c r="V142" s="2576" t="s">
        <v>385</v>
      </c>
      <c r="W142" s="2576" t="s">
        <v>1620</v>
      </c>
      <c r="X142" s="2576" t="s">
        <v>383</v>
      </c>
      <c r="Y142" s="2576" t="s">
        <v>1722</v>
      </c>
      <c r="Z142" s="2618" t="str">
        <f t="shared" si="34"/>
        <v>対象</v>
      </c>
      <c r="AB142" s="2635"/>
      <c r="AD142" s="2620">
        <f>スコア!$Z$87</f>
        <v>3</v>
      </c>
      <c r="AE142" s="2620">
        <f>スコア!$AB$87</f>
        <v>0</v>
      </c>
      <c r="AF142" s="2621">
        <f t="shared" si="71"/>
        <v>3</v>
      </c>
      <c r="AG142" s="2622">
        <f t="shared" si="49"/>
        <v>2</v>
      </c>
      <c r="AI142" s="2628">
        <f>IF(Z142="対象外","#DIV/0!",IF(AG142="",AB142,IF(AB142="",AG142,0)))</f>
        <v>2</v>
      </c>
      <c r="AJ142" s="2642">
        <f>AVERAGEIFS(AI142,AI142,"&lt;&gt;0",AI142,"&lt;&gt;#DIV/0!")</f>
        <v>2</v>
      </c>
      <c r="AK142" s="2686" t="b">
        <v>0</v>
      </c>
      <c r="AL142" s="2625">
        <f t="shared" si="51"/>
        <v>2</v>
      </c>
      <c r="AM142" s="2659"/>
    </row>
    <row r="143" spans="1:39" ht="30" customHeight="1">
      <c r="A143" s="3800"/>
      <c r="B143" s="3768"/>
      <c r="C143" s="3741"/>
      <c r="D143" s="2564" t="s">
        <v>3614</v>
      </c>
      <c r="E143" s="2567" t="s">
        <v>3615</v>
      </c>
      <c r="F143" s="2567" t="s">
        <v>3616</v>
      </c>
      <c r="G143" s="2571" t="s">
        <v>3382</v>
      </c>
      <c r="H143" s="2572" t="s">
        <v>3617</v>
      </c>
      <c r="I143" s="2573" t="str">
        <f t="shared" si="72"/>
        <v/>
      </c>
      <c r="J143" s="2573" t="str">
        <f t="shared" si="73"/>
        <v>●</v>
      </c>
      <c r="K143" s="2573" t="str">
        <f t="shared" si="74"/>
        <v/>
      </c>
      <c r="L143" s="2580" t="str">
        <f>IF(L84="","（8.4.6の採点により自動転記）",L84)</f>
        <v>（8.4.6の採点により自動転記）</v>
      </c>
      <c r="M143" s="2565"/>
      <c r="N143" s="2575">
        <f t="shared" si="75"/>
        <v>2</v>
      </c>
      <c r="O143" s="2599"/>
      <c r="Q143" s="2576" t="s">
        <v>428</v>
      </c>
      <c r="R143" s="2576" t="s">
        <v>1465</v>
      </c>
      <c r="S143" s="2576" t="s">
        <v>1616</v>
      </c>
      <c r="T143" s="2576" t="s">
        <v>1721</v>
      </c>
      <c r="U143" s="2576" t="s">
        <v>1619</v>
      </c>
      <c r="V143" s="2576" t="s">
        <v>385</v>
      </c>
      <c r="W143" s="2576" t="s">
        <v>1620</v>
      </c>
      <c r="X143" s="2576" t="s">
        <v>383</v>
      </c>
      <c r="Y143" s="2576" t="s">
        <v>1722</v>
      </c>
      <c r="Z143" s="2618" t="str">
        <f t="shared" ref="Z143:Z195" si="76">IF(AG143="#DIV/0!","対象外",IF(AND($Q$4="〇",Q143&lt;&gt;"")+AND($R$4="〇",R143&lt;&gt;"")+AND($S$4="〇",S143&lt;&gt;"")+AND($T$4="〇",T143&lt;&gt;"")+AND($U$4="〇",U143&lt;&gt;"")+AND($V$4="〇",V143&lt;&gt;"")+AND($W$4="〇",W143&lt;&gt;"")+AND($X$4="〇",X143&lt;&gt;"")+AND($Y$4="〇",Y143&lt;&gt;"")=0,"対象外","対象"))</f>
        <v>対象</v>
      </c>
      <c r="AB143" s="2635"/>
      <c r="AD143" s="2620">
        <f>スコア!$Z$88</f>
        <v>3</v>
      </c>
      <c r="AE143" s="2620">
        <f>スコア!$AB$88</f>
        <v>0</v>
      </c>
      <c r="AF143" s="2621">
        <f t="shared" si="71"/>
        <v>3</v>
      </c>
      <c r="AG143" s="2622">
        <f t="shared" si="49"/>
        <v>2</v>
      </c>
      <c r="AI143" s="2622">
        <f>IF(Z143="対象外","#DIV/0!",IF(AG143="",AB143,IF(AB143="",AG143,0)))</f>
        <v>2</v>
      </c>
      <c r="AJ143" s="2583">
        <f>AVERAGEIFS(AI143,AI143,"&lt;&gt;0",AI143,"&lt;&gt;#DIV/0!")</f>
        <v>2</v>
      </c>
      <c r="AK143" s="2686" t="b">
        <v>0</v>
      </c>
      <c r="AL143" s="2625">
        <f t="shared" si="51"/>
        <v>2</v>
      </c>
      <c r="AM143" s="2659"/>
    </row>
    <row r="144" spans="1:39" ht="62.25" customHeight="1">
      <c r="A144" s="3800"/>
      <c r="B144" s="3768"/>
      <c r="C144" s="3741"/>
      <c r="D144" s="2564" t="s">
        <v>3618</v>
      </c>
      <c r="E144" s="2565" t="s">
        <v>3519</v>
      </c>
      <c r="F144" s="2565" t="s">
        <v>4068</v>
      </c>
      <c r="G144" s="2571" t="s">
        <v>3382</v>
      </c>
      <c r="H144" s="2577" t="s">
        <v>3398</v>
      </c>
      <c r="I144" s="2573" t="str">
        <f t="shared" si="72"/>
        <v>●</v>
      </c>
      <c r="J144" s="2573" t="str">
        <f t="shared" si="73"/>
        <v/>
      </c>
      <c r="K144" s="2573" t="str">
        <f t="shared" si="74"/>
        <v/>
      </c>
      <c r="L144" s="2580" t="str">
        <f>IF(L85="","（8.4.7の採点により自動転記）",L85)</f>
        <v>（8.4.7の採点により自動転記）</v>
      </c>
      <c r="M144" s="2565"/>
      <c r="N144" s="2575">
        <f t="shared" si="75"/>
        <v>1</v>
      </c>
      <c r="O144" s="2599"/>
      <c r="Q144" s="2576" t="s">
        <v>428</v>
      </c>
      <c r="R144" s="2576" t="s">
        <v>1465</v>
      </c>
      <c r="S144" s="2576" t="s">
        <v>1616</v>
      </c>
      <c r="T144" s="2576" t="s">
        <v>1721</v>
      </c>
      <c r="U144" s="2576" t="s">
        <v>1619</v>
      </c>
      <c r="V144" s="2576" t="s">
        <v>385</v>
      </c>
      <c r="W144" s="2576" t="s">
        <v>1620</v>
      </c>
      <c r="X144" s="2576" t="s">
        <v>383</v>
      </c>
      <c r="Y144" s="2576" t="s">
        <v>1722</v>
      </c>
      <c r="Z144" s="2618" t="str">
        <f t="shared" si="76"/>
        <v>対象</v>
      </c>
      <c r="AB144" s="2639">
        <f>AB85</f>
        <v>1</v>
      </c>
      <c r="AC144" s="2605"/>
      <c r="AD144" s="2635"/>
      <c r="AE144" s="2635"/>
      <c r="AF144" s="2635"/>
      <c r="AG144" s="2635"/>
      <c r="AH144" s="2636"/>
      <c r="AI144" s="2687">
        <f t="shared" ref="AI144:AI183" si="77">IF(Z144="対象外","#DIV/0!",IF(AG144="",AB144,IF(AB144="",AG144,0)))</f>
        <v>1</v>
      </c>
      <c r="AJ144" s="2656">
        <f t="shared" ref="AJ144:AJ183" si="78">AVERAGEIFS(AI144,AI144,"&lt;&gt;0",AI144,"&lt;&gt;#DIV/0!")</f>
        <v>1</v>
      </c>
      <c r="AK144" s="2682" t="b">
        <v>0</v>
      </c>
      <c r="AL144" s="2688">
        <f t="shared" si="51"/>
        <v>1</v>
      </c>
      <c r="AM144" s="2659"/>
    </row>
    <row r="145" spans="1:39" ht="31.5">
      <c r="A145" s="3800"/>
      <c r="B145" s="3769"/>
      <c r="C145" s="3742"/>
      <c r="D145" s="2564" t="s">
        <v>3619</v>
      </c>
      <c r="E145" s="2565" t="s">
        <v>3520</v>
      </c>
      <c r="F145" s="2565" t="s">
        <v>3620</v>
      </c>
      <c r="G145" s="2571" t="s">
        <v>3382</v>
      </c>
      <c r="H145" s="2577" t="s">
        <v>3398</v>
      </c>
      <c r="I145" s="2573" t="str">
        <f t="shared" si="72"/>
        <v/>
      </c>
      <c r="J145" s="2573" t="str">
        <f t="shared" si="73"/>
        <v/>
      </c>
      <c r="K145" s="2573" t="str">
        <f t="shared" si="74"/>
        <v>●</v>
      </c>
      <c r="L145" s="2580" t="str">
        <f>IF(L86="","（8.4.8の採点により自動転記）",L86)</f>
        <v>（8.4.8の採点により自動転記）</v>
      </c>
      <c r="M145" s="2565"/>
      <c r="N145" s="2575">
        <f t="shared" si="75"/>
        <v>3</v>
      </c>
      <c r="O145" s="2599"/>
      <c r="Q145" s="2576" t="s">
        <v>428</v>
      </c>
      <c r="R145" s="2576" t="s">
        <v>1465</v>
      </c>
      <c r="S145" s="2576" t="s">
        <v>1616</v>
      </c>
      <c r="T145" s="2576" t="s">
        <v>1721</v>
      </c>
      <c r="U145" s="2576" t="s">
        <v>1619</v>
      </c>
      <c r="V145" s="2576" t="s">
        <v>385</v>
      </c>
      <c r="W145" s="2576" t="s">
        <v>1620</v>
      </c>
      <c r="X145" s="2576" t="s">
        <v>383</v>
      </c>
      <c r="Y145" s="2576" t="s">
        <v>1722</v>
      </c>
      <c r="Z145" s="2618" t="str">
        <f t="shared" si="76"/>
        <v>対象</v>
      </c>
      <c r="AB145" s="2639">
        <f>AB86</f>
        <v>3</v>
      </c>
      <c r="AC145" s="2605"/>
      <c r="AD145" s="2635"/>
      <c r="AE145" s="2635"/>
      <c r="AF145" s="2635"/>
      <c r="AG145" s="2635"/>
      <c r="AH145" s="2636"/>
      <c r="AI145" s="2622">
        <f t="shared" si="77"/>
        <v>3</v>
      </c>
      <c r="AJ145" s="2583">
        <f t="shared" si="78"/>
        <v>3</v>
      </c>
      <c r="AK145" s="2624" t="b">
        <v>0</v>
      </c>
      <c r="AL145" s="2625">
        <f t="shared" si="51"/>
        <v>3</v>
      </c>
      <c r="AM145" s="2661"/>
    </row>
    <row r="146" spans="1:39" ht="31.5">
      <c r="A146" s="3800"/>
      <c r="B146" s="3770" t="s">
        <v>3621</v>
      </c>
      <c r="C146" s="3755" t="s">
        <v>3970</v>
      </c>
      <c r="D146" s="2564" t="s">
        <v>3622</v>
      </c>
      <c r="E146" s="2565" t="s">
        <v>3973</v>
      </c>
      <c r="F146" s="2567" t="s">
        <v>3683</v>
      </c>
      <c r="G146" s="2571" t="s">
        <v>3382</v>
      </c>
      <c r="H146" s="2572" t="s">
        <v>3684</v>
      </c>
      <c r="I146" s="2573" t="str">
        <f t="shared" ref="I146:I153" si="79">IF(AI146=1,"●","")</f>
        <v/>
      </c>
      <c r="J146" s="2573" t="str">
        <f t="shared" ref="J146:J153" si="80">IF(AI146=2,"●","")</f>
        <v>●</v>
      </c>
      <c r="K146" s="2573" t="str">
        <f t="shared" ref="K146:K153" si="81">IF(AI146=3,"●","")</f>
        <v/>
      </c>
      <c r="L146" s="2592" t="str">
        <f>IF(L77="","（8.3.5の採点により自動転記）",L77)</f>
        <v>（8.3.5の採点により自動転記）</v>
      </c>
      <c r="M146" s="2565"/>
      <c r="N146" s="2575">
        <f t="shared" si="75"/>
        <v>2</v>
      </c>
      <c r="O146" s="2599"/>
      <c r="Q146" s="2576" t="s">
        <v>428</v>
      </c>
      <c r="R146" s="2576" t="s">
        <v>1465</v>
      </c>
      <c r="S146" s="2576" t="s">
        <v>1616</v>
      </c>
      <c r="T146" s="2576" t="s">
        <v>1721</v>
      </c>
      <c r="U146" s="2576" t="s">
        <v>1619</v>
      </c>
      <c r="V146" s="2576" t="s">
        <v>385</v>
      </c>
      <c r="W146" s="2576" t="s">
        <v>1620</v>
      </c>
      <c r="X146" s="2576" t="s">
        <v>383</v>
      </c>
      <c r="Y146" s="2576" t="s">
        <v>1722</v>
      </c>
      <c r="Z146" s="2618" t="str">
        <f>IF(AG146="#DIV/0!","対象外",IF(AND($Q$4="〇",Q146&lt;&gt;"")+AND($R$4="〇",R146&lt;&gt;"")+AND($S$4="〇",S146&lt;&gt;"")+AND($T$4="〇",T146&lt;&gt;"")+AND($U$4="〇",U146&lt;&gt;"")+AND($V$4="〇",V146&lt;&gt;"")+AND($W$4="〇",W146&lt;&gt;"")+AND($X$4="〇",X146&lt;&gt;"")+AND($Y$4="〇",Y146&lt;&gt;"")=0,"対象外","対象"))</f>
        <v>対象</v>
      </c>
      <c r="AB146" s="2635"/>
      <c r="AC146" s="2605"/>
      <c r="AD146" s="2620">
        <f>スコア!$Z$156</f>
        <v>3</v>
      </c>
      <c r="AE146" s="2620">
        <f>スコア!$AB$156</f>
        <v>0</v>
      </c>
      <c r="AF146" s="2621">
        <f t="shared" ref="AF146:AF153" si="82">IF(AE146=0,AD146,IF(AD146=0,AE146,AD146*$AD$6+AE146*$AE$6))</f>
        <v>3</v>
      </c>
      <c r="AG146" s="2622">
        <f>IF(AF146=0,"#DIV/0!",IF(AF146&lt;2,1,IF(AF146&lt;4,2,3)))</f>
        <v>2</v>
      </c>
      <c r="AH146" s="2623"/>
      <c r="AI146" s="2622">
        <f>IF(Z146="対象外","#DIV/0!",IF(AG146="",AB146,IF(AB146="",AG146,0)))</f>
        <v>2</v>
      </c>
      <c r="AJ146" s="2583">
        <f>AVERAGEIFS(AI146,AI146,"&lt;&gt;0",AI146,"&lt;&gt;#DIV/0!")</f>
        <v>2</v>
      </c>
      <c r="AK146" s="2683" t="b">
        <v>0</v>
      </c>
      <c r="AL146" s="2625">
        <f>IF(AK146=FALSE,AJ146,IF(AJ146=1,2,3))</f>
        <v>2</v>
      </c>
      <c r="AM146" s="2621">
        <f>AVERAGEIFS(AL146:AL147,AL146:AL147,"&lt;&gt;0",AL146:AL147,"&lt;&gt;#DIV/0!")</f>
        <v>1.5</v>
      </c>
    </row>
    <row r="147" spans="1:39" ht="29.25">
      <c r="A147" s="3800"/>
      <c r="B147" s="3769"/>
      <c r="C147" s="3757"/>
      <c r="D147" s="2564" t="s">
        <v>3971</v>
      </c>
      <c r="E147" s="2565" t="s">
        <v>3972</v>
      </c>
      <c r="F147" s="2565" t="s">
        <v>3919</v>
      </c>
      <c r="G147" s="2571" t="s">
        <v>3382</v>
      </c>
      <c r="H147" s="2572" t="s">
        <v>4069</v>
      </c>
      <c r="I147" s="2573" t="str">
        <f t="shared" si="79"/>
        <v>●</v>
      </c>
      <c r="J147" s="2573" t="str">
        <f t="shared" si="80"/>
        <v/>
      </c>
      <c r="K147" s="2573" t="str">
        <f t="shared" si="81"/>
        <v/>
      </c>
      <c r="L147" s="2785" t="str">
        <f>IF(L87="","（8.5.1の採点により自動転記）",L87)</f>
        <v>（8.5.1の採点により自動転記）</v>
      </c>
      <c r="M147" s="2565"/>
      <c r="N147" s="2575">
        <f t="shared" si="75"/>
        <v>1</v>
      </c>
      <c r="O147" s="2599"/>
      <c r="Q147" s="2576" t="s">
        <v>428</v>
      </c>
      <c r="R147" s="2576" t="s">
        <v>1465</v>
      </c>
      <c r="S147" s="2576" t="s">
        <v>1616</v>
      </c>
      <c r="T147" s="2576" t="s">
        <v>1721</v>
      </c>
      <c r="U147" s="2576" t="s">
        <v>1619</v>
      </c>
      <c r="V147" s="2576" t="s">
        <v>385</v>
      </c>
      <c r="W147" s="2576" t="s">
        <v>1620</v>
      </c>
      <c r="X147" s="2576" t="s">
        <v>383</v>
      </c>
      <c r="Y147" s="2576" t="s">
        <v>1722</v>
      </c>
      <c r="Z147" s="2618" t="str">
        <f>IF(AG147="#DIV/0!","対象外",IF(AND($Q$4="〇",Q147&lt;&gt;"")+AND($R$4="〇",R147&lt;&gt;"")+AND($S$4="〇",S147&lt;&gt;"")+AND($T$4="〇",T147&lt;&gt;"")+AND($U$4="〇",U147&lt;&gt;"")+AND($V$4="〇",V147&lt;&gt;"")+AND($W$4="〇",W147&lt;&gt;"")+AND($X$4="〇",X147&lt;&gt;"")+AND($Y$4="〇",Y147&lt;&gt;"")=0,"対象外","対象"))</f>
        <v>対象</v>
      </c>
      <c r="AB147" s="2635"/>
      <c r="AC147" s="2605"/>
      <c r="AD147" s="2620">
        <f>IF(SUM(VALUE(採点Q3!G58)+VALUE(採点Q3!G75))=0,1,5)</f>
        <v>1</v>
      </c>
      <c r="AE147" s="2635"/>
      <c r="AF147" s="2621">
        <f>IF(AE147=0,AD147,IF(AD147=0,AE147,AD147*$AD$6+AE147*$AE$6))</f>
        <v>1</v>
      </c>
      <c r="AG147" s="2622">
        <f>IF(AF147=0,"#DIV/0!",IF(AF147&lt;2,1,IF(AF147&lt;4,2,3)))</f>
        <v>1</v>
      </c>
      <c r="AH147" s="2623"/>
      <c r="AI147" s="2622">
        <f>IF(Z147="対象外","#DIV/0!",IF(AG147="",AB147,IF(AB147="",AG147,0)))</f>
        <v>1</v>
      </c>
      <c r="AJ147" s="2583">
        <f>AVERAGEIFS(AI147,AI147,"&lt;&gt;0",AI147,"&lt;&gt;#DIV/0!")</f>
        <v>1</v>
      </c>
      <c r="AK147" s="2638" t="b">
        <v>0</v>
      </c>
      <c r="AL147" s="2625">
        <f>IF(AK147=FALSE,AJ147,IF(AJ147=1,2,3))</f>
        <v>1</v>
      </c>
      <c r="AM147" s="2659"/>
    </row>
    <row r="148" spans="1:39" ht="30" customHeight="1">
      <c r="A148" s="3800"/>
      <c r="B148" s="3770" t="s">
        <v>3623</v>
      </c>
      <c r="C148" s="3740" t="s">
        <v>3974</v>
      </c>
      <c r="D148" s="2564" t="s">
        <v>3624</v>
      </c>
      <c r="E148" s="2565" t="s">
        <v>3625</v>
      </c>
      <c r="F148" s="2567" t="s">
        <v>3784</v>
      </c>
      <c r="G148" s="2571" t="s">
        <v>3382</v>
      </c>
      <c r="H148" s="2572" t="s">
        <v>3626</v>
      </c>
      <c r="I148" s="2573" t="str">
        <f t="shared" si="79"/>
        <v/>
      </c>
      <c r="J148" s="2573" t="str">
        <f t="shared" si="80"/>
        <v>●</v>
      </c>
      <c r="K148" s="2573" t="str">
        <f t="shared" si="81"/>
        <v/>
      </c>
      <c r="L148" s="2578"/>
      <c r="M148" s="2565"/>
      <c r="N148" s="2575">
        <f t="shared" si="75"/>
        <v>2</v>
      </c>
      <c r="O148" s="2599"/>
      <c r="Q148" s="2576" t="s">
        <v>428</v>
      </c>
      <c r="R148" s="2576" t="s">
        <v>1465</v>
      </c>
      <c r="S148" s="2576" t="s">
        <v>1616</v>
      </c>
      <c r="T148" s="2576" t="s">
        <v>1721</v>
      </c>
      <c r="U148" s="2576" t="s">
        <v>1619</v>
      </c>
      <c r="V148" s="2576" t="s">
        <v>385</v>
      </c>
      <c r="W148" s="2576" t="s">
        <v>1620</v>
      </c>
      <c r="X148" s="2576" t="s">
        <v>383</v>
      </c>
      <c r="Y148" s="2576" t="s">
        <v>1722</v>
      </c>
      <c r="Z148" s="2618" t="str">
        <f t="shared" si="76"/>
        <v>対象</v>
      </c>
      <c r="AB148" s="2635"/>
      <c r="AC148" s="2605"/>
      <c r="AD148" s="2620">
        <f>スコア!$Z$106</f>
        <v>3</v>
      </c>
      <c r="AE148" s="2620">
        <f>スコア!$AB$106</f>
        <v>0</v>
      </c>
      <c r="AF148" s="2621">
        <f t="shared" si="82"/>
        <v>3</v>
      </c>
      <c r="AG148" s="2622">
        <f t="shared" ref="AG148:AG153" si="83">IF(AF148=0,"#DIV/0!",IF(AF148&lt;2,1,IF(AF148&lt;4,2,3)))</f>
        <v>2</v>
      </c>
      <c r="AH148" s="2623"/>
      <c r="AI148" s="2622">
        <f t="shared" si="77"/>
        <v>2</v>
      </c>
      <c r="AJ148" s="2583">
        <f t="shared" si="78"/>
        <v>2</v>
      </c>
      <c r="AK148" s="2624" t="b">
        <v>0</v>
      </c>
      <c r="AL148" s="2625">
        <f t="shared" si="51"/>
        <v>2</v>
      </c>
      <c r="AM148" s="2660">
        <f>AVERAGEIFS(AL148:AL153,AL148:AL153,"&lt;&gt;0",AL148:AL153,"&lt;&gt;#DIV/0!")</f>
        <v>2</v>
      </c>
    </row>
    <row r="149" spans="1:39" ht="30" customHeight="1">
      <c r="A149" s="3800"/>
      <c r="B149" s="3768"/>
      <c r="C149" s="3741"/>
      <c r="D149" s="2564" t="s">
        <v>3627</v>
      </c>
      <c r="E149" s="2565" t="s">
        <v>3785</v>
      </c>
      <c r="F149" s="2567" t="s">
        <v>3628</v>
      </c>
      <c r="G149" s="2571" t="s">
        <v>3382</v>
      </c>
      <c r="H149" s="2572" t="s">
        <v>3629</v>
      </c>
      <c r="I149" s="2573" t="str">
        <f t="shared" si="79"/>
        <v/>
      </c>
      <c r="J149" s="2573" t="str">
        <f t="shared" si="80"/>
        <v>●</v>
      </c>
      <c r="K149" s="2573" t="str">
        <f t="shared" si="81"/>
        <v/>
      </c>
      <c r="L149" s="2578"/>
      <c r="M149" s="2565"/>
      <c r="N149" s="2575">
        <f t="shared" si="75"/>
        <v>2</v>
      </c>
      <c r="O149" s="2599"/>
      <c r="Q149" s="2576" t="s">
        <v>428</v>
      </c>
      <c r="R149" s="2576" t="s">
        <v>1465</v>
      </c>
      <c r="S149" s="2576" t="s">
        <v>1616</v>
      </c>
      <c r="T149" s="2576" t="s">
        <v>1721</v>
      </c>
      <c r="U149" s="2576" t="s">
        <v>1619</v>
      </c>
      <c r="V149" s="2576" t="s">
        <v>385</v>
      </c>
      <c r="W149" s="2576" t="s">
        <v>1620</v>
      </c>
      <c r="X149" s="2576" t="s">
        <v>383</v>
      </c>
      <c r="Y149" s="2576" t="s">
        <v>1722</v>
      </c>
      <c r="Z149" s="2618" t="str">
        <f t="shared" si="76"/>
        <v>対象</v>
      </c>
      <c r="AB149" s="2635"/>
      <c r="AC149" s="2605"/>
      <c r="AD149" s="2620">
        <f>スコア!$Z$107</f>
        <v>3</v>
      </c>
      <c r="AE149" s="2620">
        <f>スコア!$AB$107</f>
        <v>0</v>
      </c>
      <c r="AF149" s="2621">
        <f t="shared" si="82"/>
        <v>3</v>
      </c>
      <c r="AG149" s="2622">
        <f t="shared" si="83"/>
        <v>2</v>
      </c>
      <c r="AH149" s="2623"/>
      <c r="AI149" s="2622">
        <f t="shared" si="77"/>
        <v>2</v>
      </c>
      <c r="AJ149" s="2583">
        <f t="shared" si="78"/>
        <v>2</v>
      </c>
      <c r="AK149" s="2624" t="b">
        <v>0</v>
      </c>
      <c r="AL149" s="2625">
        <f t="shared" si="51"/>
        <v>2</v>
      </c>
      <c r="AM149" s="2659"/>
    </row>
    <row r="150" spans="1:39" ht="30" customHeight="1">
      <c r="A150" s="3800"/>
      <c r="B150" s="3768"/>
      <c r="C150" s="3741"/>
      <c r="D150" s="2564" t="s">
        <v>3630</v>
      </c>
      <c r="E150" s="2565" t="s">
        <v>3631</v>
      </c>
      <c r="F150" s="2567" t="s">
        <v>3632</v>
      </c>
      <c r="G150" s="2571" t="s">
        <v>3382</v>
      </c>
      <c r="H150" s="2572" t="s">
        <v>3633</v>
      </c>
      <c r="I150" s="2573" t="str">
        <f t="shared" si="79"/>
        <v/>
      </c>
      <c r="J150" s="2573" t="str">
        <f t="shared" si="80"/>
        <v>●</v>
      </c>
      <c r="K150" s="2573" t="str">
        <f t="shared" si="81"/>
        <v/>
      </c>
      <c r="L150" s="2578"/>
      <c r="M150" s="2565"/>
      <c r="N150" s="2575">
        <f t="shared" si="75"/>
        <v>2</v>
      </c>
      <c r="O150" s="2599"/>
      <c r="Q150" s="2576" t="s">
        <v>428</v>
      </c>
      <c r="R150" s="2576" t="s">
        <v>1465</v>
      </c>
      <c r="S150" s="2576" t="s">
        <v>1616</v>
      </c>
      <c r="T150" s="2576" t="s">
        <v>1721</v>
      </c>
      <c r="U150" s="2576" t="s">
        <v>1619</v>
      </c>
      <c r="V150" s="2576" t="s">
        <v>385</v>
      </c>
      <c r="W150" s="2576" t="s">
        <v>1620</v>
      </c>
      <c r="X150" s="2576" t="s">
        <v>383</v>
      </c>
      <c r="Y150" s="2576" t="s">
        <v>1722</v>
      </c>
      <c r="Z150" s="2618" t="str">
        <f t="shared" si="76"/>
        <v>対象</v>
      </c>
      <c r="AB150" s="2635"/>
      <c r="AC150" s="2605"/>
      <c r="AD150" s="2620">
        <f>スコア!$Z$108</f>
        <v>3</v>
      </c>
      <c r="AE150" s="2620">
        <f>スコア!$AB$108</f>
        <v>0</v>
      </c>
      <c r="AF150" s="2621">
        <f t="shared" si="82"/>
        <v>3</v>
      </c>
      <c r="AG150" s="2622">
        <f t="shared" si="83"/>
        <v>2</v>
      </c>
      <c r="AH150" s="2623"/>
      <c r="AI150" s="2622">
        <f t="shared" si="77"/>
        <v>2</v>
      </c>
      <c r="AJ150" s="2583">
        <f t="shared" si="78"/>
        <v>2</v>
      </c>
      <c r="AK150" s="2624" t="b">
        <v>0</v>
      </c>
      <c r="AL150" s="2625">
        <f t="shared" si="51"/>
        <v>2</v>
      </c>
      <c r="AM150" s="2659"/>
    </row>
    <row r="151" spans="1:39" ht="30" customHeight="1">
      <c r="A151" s="3800"/>
      <c r="B151" s="3768"/>
      <c r="C151" s="3741"/>
      <c r="D151" s="2564" t="s">
        <v>3634</v>
      </c>
      <c r="E151" s="2565" t="s">
        <v>3635</v>
      </c>
      <c r="F151" s="2567" t="s">
        <v>3636</v>
      </c>
      <c r="G151" s="2571" t="s">
        <v>3382</v>
      </c>
      <c r="H151" s="2572" t="s">
        <v>3637</v>
      </c>
      <c r="I151" s="2573" t="str">
        <f t="shared" si="79"/>
        <v/>
      </c>
      <c r="J151" s="2573" t="str">
        <f t="shared" si="80"/>
        <v>●</v>
      </c>
      <c r="K151" s="2573" t="str">
        <f t="shared" si="81"/>
        <v/>
      </c>
      <c r="L151" s="2578"/>
      <c r="M151" s="2565"/>
      <c r="N151" s="2575">
        <f t="shared" si="75"/>
        <v>2</v>
      </c>
      <c r="O151" s="2599"/>
      <c r="Q151" s="2576" t="s">
        <v>428</v>
      </c>
      <c r="R151" s="2576" t="s">
        <v>1465</v>
      </c>
      <c r="S151" s="2576" t="s">
        <v>1616</v>
      </c>
      <c r="T151" s="2576" t="s">
        <v>1721</v>
      </c>
      <c r="U151" s="2576" t="s">
        <v>1619</v>
      </c>
      <c r="V151" s="2576" t="s">
        <v>385</v>
      </c>
      <c r="W151" s="2576" t="s">
        <v>1620</v>
      </c>
      <c r="X151" s="2576" t="s">
        <v>383</v>
      </c>
      <c r="Y151" s="2576" t="s">
        <v>1722</v>
      </c>
      <c r="Z151" s="2618" t="str">
        <f t="shared" si="76"/>
        <v>対象</v>
      </c>
      <c r="AB151" s="2635"/>
      <c r="AC151" s="2605"/>
      <c r="AD151" s="2620">
        <f>スコア!$Z$109</f>
        <v>3</v>
      </c>
      <c r="AE151" s="2620">
        <f>スコア!$AB$109</f>
        <v>0</v>
      </c>
      <c r="AF151" s="2621">
        <f t="shared" si="82"/>
        <v>3</v>
      </c>
      <c r="AG151" s="2622">
        <f t="shared" si="83"/>
        <v>2</v>
      </c>
      <c r="AH151" s="2623"/>
      <c r="AI151" s="2622">
        <f t="shared" si="77"/>
        <v>2</v>
      </c>
      <c r="AJ151" s="2583">
        <f t="shared" si="78"/>
        <v>2</v>
      </c>
      <c r="AK151" s="2624" t="b">
        <v>0</v>
      </c>
      <c r="AL151" s="2625">
        <f t="shared" si="51"/>
        <v>2</v>
      </c>
      <c r="AM151" s="2659"/>
    </row>
    <row r="152" spans="1:39" ht="30" customHeight="1">
      <c r="A152" s="3800"/>
      <c r="B152" s="3768"/>
      <c r="C152" s="3741"/>
      <c r="D152" s="2564" t="s">
        <v>3638</v>
      </c>
      <c r="E152" s="2565" t="s">
        <v>3639</v>
      </c>
      <c r="F152" s="2567" t="s">
        <v>3640</v>
      </c>
      <c r="G152" s="2571" t="s">
        <v>3382</v>
      </c>
      <c r="H152" s="2572" t="s">
        <v>3641</v>
      </c>
      <c r="I152" s="2573" t="str">
        <f t="shared" si="79"/>
        <v/>
      </c>
      <c r="J152" s="2573" t="str">
        <f t="shared" si="80"/>
        <v>●</v>
      </c>
      <c r="K152" s="2573" t="str">
        <f t="shared" si="81"/>
        <v/>
      </c>
      <c r="L152" s="2578"/>
      <c r="M152" s="2565"/>
      <c r="N152" s="2575">
        <f t="shared" si="75"/>
        <v>2</v>
      </c>
      <c r="O152" s="2599"/>
      <c r="Q152" s="2576" t="s">
        <v>428</v>
      </c>
      <c r="R152" s="2576" t="s">
        <v>1465</v>
      </c>
      <c r="S152" s="2576" t="s">
        <v>1616</v>
      </c>
      <c r="T152" s="2576" t="s">
        <v>1721</v>
      </c>
      <c r="U152" s="2576" t="s">
        <v>1619</v>
      </c>
      <c r="V152" s="2576" t="s">
        <v>385</v>
      </c>
      <c r="W152" s="2576" t="s">
        <v>1620</v>
      </c>
      <c r="X152" s="2576" t="s">
        <v>383</v>
      </c>
      <c r="Y152" s="2576" t="s">
        <v>1722</v>
      </c>
      <c r="Z152" s="2618" t="str">
        <f t="shared" si="76"/>
        <v>対象</v>
      </c>
      <c r="AB152" s="2635"/>
      <c r="AC152" s="2605"/>
      <c r="AD152" s="2620">
        <f>スコア!$Z$110</f>
        <v>3</v>
      </c>
      <c r="AE152" s="2620">
        <f>スコア!$AB$110</f>
        <v>0</v>
      </c>
      <c r="AF152" s="2621">
        <f t="shared" si="82"/>
        <v>3</v>
      </c>
      <c r="AG152" s="2622">
        <f t="shared" si="83"/>
        <v>2</v>
      </c>
      <c r="AH152" s="2623"/>
      <c r="AI152" s="2622">
        <f t="shared" si="77"/>
        <v>2</v>
      </c>
      <c r="AJ152" s="2583">
        <f t="shared" si="78"/>
        <v>2</v>
      </c>
      <c r="AK152" s="2624" t="b">
        <v>0</v>
      </c>
      <c r="AL152" s="2625">
        <f t="shared" si="51"/>
        <v>2</v>
      </c>
      <c r="AM152" s="2659"/>
    </row>
    <row r="153" spans="1:39" ht="30" customHeight="1">
      <c r="A153" s="3800"/>
      <c r="B153" s="3769"/>
      <c r="C153" s="3742"/>
      <c r="D153" s="2564" t="s">
        <v>3642</v>
      </c>
      <c r="E153" s="2565" t="s">
        <v>3643</v>
      </c>
      <c r="F153" s="2567" t="s">
        <v>4070</v>
      </c>
      <c r="G153" s="2571" t="s">
        <v>3382</v>
      </c>
      <c r="H153" s="2572" t="s">
        <v>3644</v>
      </c>
      <c r="I153" s="2573" t="str">
        <f t="shared" si="79"/>
        <v/>
      </c>
      <c r="J153" s="2573" t="str">
        <f t="shared" si="80"/>
        <v>●</v>
      </c>
      <c r="K153" s="2573" t="str">
        <f t="shared" si="81"/>
        <v/>
      </c>
      <c r="L153" s="2578"/>
      <c r="M153" s="2565"/>
      <c r="N153" s="2575">
        <f t="shared" si="75"/>
        <v>2</v>
      </c>
      <c r="O153" s="2599"/>
      <c r="Q153" s="2576" t="s">
        <v>428</v>
      </c>
      <c r="R153" s="2576" t="s">
        <v>1465</v>
      </c>
      <c r="S153" s="2576" t="s">
        <v>1616</v>
      </c>
      <c r="T153" s="2576" t="s">
        <v>1721</v>
      </c>
      <c r="U153" s="2576" t="s">
        <v>1619</v>
      </c>
      <c r="V153" s="2576" t="s">
        <v>385</v>
      </c>
      <c r="W153" s="2576" t="s">
        <v>1620</v>
      </c>
      <c r="X153" s="2576" t="s">
        <v>383</v>
      </c>
      <c r="Y153" s="2576" t="s">
        <v>1722</v>
      </c>
      <c r="Z153" s="2618" t="str">
        <f t="shared" si="76"/>
        <v>対象</v>
      </c>
      <c r="AB153" s="2635"/>
      <c r="AC153" s="2605"/>
      <c r="AD153" s="2620">
        <f>スコア!$Z$111</f>
        <v>3</v>
      </c>
      <c r="AE153" s="2620">
        <f>スコア!$AB$111</f>
        <v>0</v>
      </c>
      <c r="AF153" s="2621">
        <f t="shared" si="82"/>
        <v>3</v>
      </c>
      <c r="AG153" s="2622">
        <f t="shared" si="83"/>
        <v>2</v>
      </c>
      <c r="AH153" s="2623"/>
      <c r="AI153" s="2622">
        <f t="shared" si="77"/>
        <v>2</v>
      </c>
      <c r="AJ153" s="2583">
        <f t="shared" si="78"/>
        <v>2</v>
      </c>
      <c r="AK153" s="2624" t="b">
        <v>0</v>
      </c>
      <c r="AL153" s="2625">
        <f t="shared" si="51"/>
        <v>2</v>
      </c>
      <c r="AM153" s="2659"/>
    </row>
    <row r="154" spans="1:39" ht="47.25">
      <c r="A154" s="3800"/>
      <c r="B154" s="3768" t="s">
        <v>3980</v>
      </c>
      <c r="C154" s="3741" t="s">
        <v>3981</v>
      </c>
      <c r="D154" s="2564" t="s">
        <v>3982</v>
      </c>
      <c r="E154" s="2565" t="s">
        <v>4112</v>
      </c>
      <c r="F154" s="2565" t="s">
        <v>3648</v>
      </c>
      <c r="G154" s="2571" t="s">
        <v>3382</v>
      </c>
      <c r="H154" s="2577" t="s">
        <v>3398</v>
      </c>
      <c r="I154" s="2567"/>
      <c r="J154" s="2567"/>
      <c r="K154" s="2567"/>
      <c r="L154" s="2578"/>
      <c r="M154" s="2565"/>
      <c r="N154" s="2575">
        <f t="shared" si="75"/>
        <v>3</v>
      </c>
      <c r="O154" s="2599"/>
      <c r="Q154" s="2576" t="s">
        <v>428</v>
      </c>
      <c r="R154" s="2576" t="s">
        <v>1465</v>
      </c>
      <c r="S154" s="2576" t="s">
        <v>1616</v>
      </c>
      <c r="T154" s="2576" t="s">
        <v>1721</v>
      </c>
      <c r="U154" s="2576" t="s">
        <v>1619</v>
      </c>
      <c r="V154" s="2576" t="s">
        <v>385</v>
      </c>
      <c r="W154" s="2576" t="s">
        <v>1620</v>
      </c>
      <c r="X154" s="2576" t="s">
        <v>383</v>
      </c>
      <c r="Y154" s="2576" t="s">
        <v>1722</v>
      </c>
      <c r="Z154" s="2618" t="str">
        <f t="shared" si="76"/>
        <v>対象</v>
      </c>
      <c r="AB154" s="2639">
        <v>3</v>
      </c>
      <c r="AC154" s="2605"/>
      <c r="AD154" s="2635"/>
      <c r="AE154" s="2635"/>
      <c r="AF154" s="2635"/>
      <c r="AG154" s="2635"/>
      <c r="AH154" s="2636"/>
      <c r="AI154" s="2622">
        <f t="shared" si="77"/>
        <v>3</v>
      </c>
      <c r="AJ154" s="2583">
        <f t="shared" si="78"/>
        <v>3</v>
      </c>
      <c r="AK154" s="2624" t="b">
        <v>0</v>
      </c>
      <c r="AL154" s="2625">
        <f t="shared" si="51"/>
        <v>3</v>
      </c>
      <c r="AM154" s="2660">
        <f>AVERAGEIFS(AL154:AL159,AL154:AL159,"&lt;&gt;0",AL154:AL159,"&lt;&gt;#DIV/0!")</f>
        <v>2.3333333333333335</v>
      </c>
    </row>
    <row r="155" spans="1:39" ht="30" customHeight="1">
      <c r="A155" s="3800"/>
      <c r="B155" s="3768"/>
      <c r="C155" s="3741"/>
      <c r="D155" s="2564" t="s">
        <v>3983</v>
      </c>
      <c r="E155" s="2567" t="s">
        <v>3786</v>
      </c>
      <c r="F155" s="2567" t="s">
        <v>4071</v>
      </c>
      <c r="G155" s="2571" t="s">
        <v>3382</v>
      </c>
      <c r="H155" s="2572" t="s">
        <v>3816</v>
      </c>
      <c r="I155" s="2573" t="str">
        <f>IF(AI155=1,"●","")</f>
        <v/>
      </c>
      <c r="J155" s="2573" t="str">
        <f>IF(AI155=2,"●","")</f>
        <v>●</v>
      </c>
      <c r="K155" s="2573" t="str">
        <f>IF(AI155=3,"●","")</f>
        <v/>
      </c>
      <c r="L155" s="2580" t="str">
        <f>IF(L73="","（8.3.1の採点により自動転記）",L73)</f>
        <v>（8.3.1の採点により自動転記）</v>
      </c>
      <c r="M155" s="2565"/>
      <c r="N155" s="2575">
        <f t="shared" si="75"/>
        <v>2</v>
      </c>
      <c r="O155" s="2599"/>
      <c r="Q155" s="2576" t="s">
        <v>428</v>
      </c>
      <c r="R155" s="2576" t="s">
        <v>1465</v>
      </c>
      <c r="S155" s="2576" t="s">
        <v>1616</v>
      </c>
      <c r="T155" s="2576" t="s">
        <v>1721</v>
      </c>
      <c r="U155" s="2576" t="s">
        <v>1619</v>
      </c>
      <c r="V155" s="2576" t="s">
        <v>385</v>
      </c>
      <c r="W155" s="2576" t="s">
        <v>1620</v>
      </c>
      <c r="X155" s="2576" t="s">
        <v>383</v>
      </c>
      <c r="Y155" s="2576" t="s">
        <v>1722</v>
      </c>
      <c r="Z155" s="2618" t="str">
        <f t="shared" si="76"/>
        <v>対象</v>
      </c>
      <c r="AB155" s="2635"/>
      <c r="AC155" s="2605"/>
      <c r="AD155" s="2620">
        <f>スコア!$Z$152</f>
        <v>2</v>
      </c>
      <c r="AE155" s="2620">
        <f>スコア!$AB$152</f>
        <v>0</v>
      </c>
      <c r="AF155" s="2621">
        <f>IF(AE155=0,AD155,IF(AD155=0,AE155,AD155*$AD$6+AE155*$AE$6))</f>
        <v>2</v>
      </c>
      <c r="AG155" s="2622">
        <f t="shared" ref="AG155:AG183" si="84">IF(AF155=0,"#DIV/0!",IF(AF155&lt;2,1,IF(AF155&lt;4,2,3)))</f>
        <v>2</v>
      </c>
      <c r="AH155" s="2623"/>
      <c r="AI155" s="2622">
        <f t="shared" si="77"/>
        <v>2</v>
      </c>
      <c r="AJ155" s="2583">
        <f t="shared" si="78"/>
        <v>2</v>
      </c>
      <c r="AK155" s="2624" t="b">
        <v>0</v>
      </c>
      <c r="AL155" s="2625">
        <f t="shared" si="51"/>
        <v>2</v>
      </c>
      <c r="AM155" s="2659"/>
    </row>
    <row r="156" spans="1:39" ht="30" customHeight="1">
      <c r="A156" s="3800"/>
      <c r="B156" s="3768"/>
      <c r="C156" s="3741"/>
      <c r="D156" s="2564" t="s">
        <v>3645</v>
      </c>
      <c r="E156" s="2567" t="s">
        <v>3787</v>
      </c>
      <c r="F156" s="2567" t="s">
        <v>3494</v>
      </c>
      <c r="G156" s="2571" t="s">
        <v>3382</v>
      </c>
      <c r="H156" s="2572" t="s">
        <v>3495</v>
      </c>
      <c r="I156" s="2573" t="str">
        <f t="shared" ref="I156:I168" si="85">IF(AI156=1,"●","")</f>
        <v/>
      </c>
      <c r="J156" s="2573" t="str">
        <f t="shared" ref="J156:J168" si="86">IF(AI156=2,"●","")</f>
        <v>●</v>
      </c>
      <c r="K156" s="2573" t="str">
        <f t="shared" ref="K156:K168" si="87">IF(AI156=3,"●","")</f>
        <v/>
      </c>
      <c r="L156" s="2580" t="str">
        <f>IF(L74="","（8.3.2の採点により自動転記）",L74)</f>
        <v>（8.3.2の採点により自動転記）</v>
      </c>
      <c r="M156" s="2565"/>
      <c r="N156" s="2575">
        <f t="shared" si="75"/>
        <v>2</v>
      </c>
      <c r="O156" s="2599"/>
      <c r="Q156" s="2576" t="s">
        <v>428</v>
      </c>
      <c r="R156" s="2576" t="s">
        <v>1465</v>
      </c>
      <c r="S156" s="2576" t="s">
        <v>1616</v>
      </c>
      <c r="T156" s="2576" t="s">
        <v>1721</v>
      </c>
      <c r="U156" s="2576" t="s">
        <v>1619</v>
      </c>
      <c r="V156" s="2576" t="s">
        <v>385</v>
      </c>
      <c r="W156" s="2576" t="s">
        <v>1620</v>
      </c>
      <c r="X156" s="2576" t="s">
        <v>383</v>
      </c>
      <c r="Y156" s="2576" t="s">
        <v>1722</v>
      </c>
      <c r="Z156" s="2618" t="str">
        <f t="shared" si="76"/>
        <v>対象</v>
      </c>
      <c r="AB156" s="2635"/>
      <c r="AC156" s="2605"/>
      <c r="AD156" s="2620">
        <f>スコア!$Z$153</f>
        <v>3</v>
      </c>
      <c r="AE156" s="2620">
        <f>スコア!$AB$153</f>
        <v>0</v>
      </c>
      <c r="AF156" s="2621">
        <f t="shared" ref="AF156:AF168" si="88">IF(AE156=0,AD156,IF(AD156=0,AE156,AD156*$AD$6+AE156*$AE$6))</f>
        <v>3</v>
      </c>
      <c r="AG156" s="2622">
        <f t="shared" si="84"/>
        <v>2</v>
      </c>
      <c r="AH156" s="2623"/>
      <c r="AI156" s="2622">
        <f t="shared" si="77"/>
        <v>2</v>
      </c>
      <c r="AJ156" s="2583">
        <f t="shared" si="78"/>
        <v>2</v>
      </c>
      <c r="AK156" s="2624" t="b">
        <v>0</v>
      </c>
      <c r="AL156" s="2625">
        <f t="shared" si="51"/>
        <v>2</v>
      </c>
      <c r="AM156" s="2659"/>
    </row>
    <row r="157" spans="1:39" ht="30" customHeight="1">
      <c r="A157" s="3800"/>
      <c r="B157" s="3768"/>
      <c r="C157" s="3741"/>
      <c r="D157" s="2564" t="s">
        <v>3647</v>
      </c>
      <c r="E157" s="2567" t="s">
        <v>3788</v>
      </c>
      <c r="F157" s="2567" t="s">
        <v>3765</v>
      </c>
      <c r="G157" s="2571" t="s">
        <v>3382</v>
      </c>
      <c r="H157" s="2572" t="s">
        <v>3498</v>
      </c>
      <c r="I157" s="2573" t="str">
        <f t="shared" si="85"/>
        <v/>
      </c>
      <c r="J157" s="2573" t="str">
        <f t="shared" si="86"/>
        <v>●</v>
      </c>
      <c r="K157" s="2573" t="str">
        <f t="shared" si="87"/>
        <v/>
      </c>
      <c r="L157" s="2580" t="str">
        <f>IF(L75="","（8.3.3の採点により自動転記）",L75)</f>
        <v>（8.3.3の採点により自動転記）</v>
      </c>
      <c r="M157" s="2565"/>
      <c r="N157" s="2575">
        <f t="shared" si="75"/>
        <v>2</v>
      </c>
      <c r="O157" s="2599"/>
      <c r="Q157" s="2576" t="s">
        <v>428</v>
      </c>
      <c r="R157" s="2576" t="s">
        <v>1465</v>
      </c>
      <c r="S157" s="2576" t="s">
        <v>1616</v>
      </c>
      <c r="T157" s="2576" t="s">
        <v>1721</v>
      </c>
      <c r="U157" s="2576" t="s">
        <v>1619</v>
      </c>
      <c r="V157" s="2576" t="s">
        <v>385</v>
      </c>
      <c r="W157" s="2576" t="s">
        <v>1620</v>
      </c>
      <c r="X157" s="2576" t="s">
        <v>383</v>
      </c>
      <c r="Y157" s="2576" t="s">
        <v>1722</v>
      </c>
      <c r="Z157" s="2618" t="str">
        <f t="shared" si="76"/>
        <v>対象</v>
      </c>
      <c r="AB157" s="2635"/>
      <c r="AC157" s="2605"/>
      <c r="AD157" s="2620">
        <f>スコア!$Z$154</f>
        <v>3</v>
      </c>
      <c r="AE157" s="2620">
        <f>スコア!$AB$154</f>
        <v>0</v>
      </c>
      <c r="AF157" s="2621">
        <f t="shared" si="88"/>
        <v>3</v>
      </c>
      <c r="AG157" s="2622">
        <f t="shared" si="84"/>
        <v>2</v>
      </c>
      <c r="AH157" s="2623"/>
      <c r="AI157" s="2622">
        <f t="shared" si="77"/>
        <v>2</v>
      </c>
      <c r="AJ157" s="2583">
        <f t="shared" si="78"/>
        <v>2</v>
      </c>
      <c r="AK157" s="2624" t="b">
        <v>0</v>
      </c>
      <c r="AL157" s="2625">
        <f t="shared" si="51"/>
        <v>2</v>
      </c>
      <c r="AM157" s="2659"/>
    </row>
    <row r="158" spans="1:39" ht="30" customHeight="1">
      <c r="A158" s="3800"/>
      <c r="B158" s="3768"/>
      <c r="C158" s="3741"/>
      <c r="D158" s="2564" t="s">
        <v>3649</v>
      </c>
      <c r="E158" s="2567" t="s">
        <v>3789</v>
      </c>
      <c r="F158" s="2567" t="s">
        <v>3501</v>
      </c>
      <c r="G158" s="2571" t="s">
        <v>3382</v>
      </c>
      <c r="H158" s="2572" t="s">
        <v>3502</v>
      </c>
      <c r="I158" s="2573" t="str">
        <f t="shared" si="85"/>
        <v/>
      </c>
      <c r="J158" s="2573" t="str">
        <f t="shared" si="86"/>
        <v/>
      </c>
      <c r="K158" s="2573" t="str">
        <f t="shared" si="87"/>
        <v>●</v>
      </c>
      <c r="L158" s="2580" t="str">
        <f>IF(L76="","（8.3.4の採点により自動転記）",L76)</f>
        <v>（8.3.4の採点により自動転記）</v>
      </c>
      <c r="M158" s="2565"/>
      <c r="N158" s="2575">
        <f t="shared" si="75"/>
        <v>3</v>
      </c>
      <c r="O158" s="2599"/>
      <c r="Q158" s="2576" t="s">
        <v>428</v>
      </c>
      <c r="R158" s="2576" t="s">
        <v>1465</v>
      </c>
      <c r="S158" s="2576" t="s">
        <v>1616</v>
      </c>
      <c r="T158" s="2576" t="s">
        <v>1721</v>
      </c>
      <c r="U158" s="2576" t="s">
        <v>1619</v>
      </c>
      <c r="V158" s="2576" t="s">
        <v>385</v>
      </c>
      <c r="W158" s="2576" t="s">
        <v>1620</v>
      </c>
      <c r="X158" s="2576" t="s">
        <v>383</v>
      </c>
      <c r="Y158" s="2576" t="s">
        <v>1722</v>
      </c>
      <c r="Z158" s="2618" t="str">
        <f t="shared" si="76"/>
        <v>対象</v>
      </c>
      <c r="AB158" s="2635"/>
      <c r="AC158" s="2605"/>
      <c r="AD158" s="2620">
        <f>スコア!$Z$155</f>
        <v>4</v>
      </c>
      <c r="AE158" s="2620">
        <f>スコア!$AB$155</f>
        <v>0</v>
      </c>
      <c r="AF158" s="2621">
        <f t="shared" si="88"/>
        <v>4</v>
      </c>
      <c r="AG158" s="2622">
        <f t="shared" si="84"/>
        <v>3</v>
      </c>
      <c r="AH158" s="2623"/>
      <c r="AI158" s="2622">
        <f t="shared" si="77"/>
        <v>3</v>
      </c>
      <c r="AJ158" s="2583">
        <f t="shared" si="78"/>
        <v>3</v>
      </c>
      <c r="AK158" s="2624" t="b">
        <v>0</v>
      </c>
      <c r="AL158" s="2625">
        <f t="shared" si="51"/>
        <v>3</v>
      </c>
      <c r="AM158" s="2659"/>
    </row>
    <row r="159" spans="1:39" ht="30" customHeight="1">
      <c r="A159" s="3800"/>
      <c r="B159" s="3769"/>
      <c r="C159" s="3742"/>
      <c r="D159" s="2564" t="s">
        <v>3650</v>
      </c>
      <c r="E159" s="2567" t="s">
        <v>3790</v>
      </c>
      <c r="F159" s="2567" t="s">
        <v>3507</v>
      </c>
      <c r="G159" s="2571" t="s">
        <v>3382</v>
      </c>
      <c r="H159" s="2572" t="s">
        <v>3508</v>
      </c>
      <c r="I159" s="2573" t="str">
        <f t="shared" si="85"/>
        <v/>
      </c>
      <c r="J159" s="2573" t="str">
        <f t="shared" si="86"/>
        <v>●</v>
      </c>
      <c r="K159" s="2573" t="str">
        <f t="shared" si="87"/>
        <v/>
      </c>
      <c r="L159" s="2580" t="str">
        <f>IF(L78="","（8.3.6の採点により自動転記）",L78)</f>
        <v>（8.3.6の採点により自動転記）</v>
      </c>
      <c r="M159" s="2565"/>
      <c r="N159" s="2575">
        <f t="shared" si="75"/>
        <v>2</v>
      </c>
      <c r="O159" s="2599"/>
      <c r="Q159" s="2576" t="s">
        <v>428</v>
      </c>
      <c r="R159" s="2576" t="s">
        <v>1465</v>
      </c>
      <c r="S159" s="2576" t="s">
        <v>1616</v>
      </c>
      <c r="T159" s="2576" t="s">
        <v>1721</v>
      </c>
      <c r="U159" s="2576" t="s">
        <v>1619</v>
      </c>
      <c r="V159" s="2576" t="s">
        <v>385</v>
      </c>
      <c r="W159" s="2576" t="s">
        <v>1620</v>
      </c>
      <c r="X159" s="2576" t="s">
        <v>383</v>
      </c>
      <c r="Y159" s="2576" t="s">
        <v>1722</v>
      </c>
      <c r="Z159" s="2618" t="str">
        <f t="shared" si="76"/>
        <v>対象</v>
      </c>
      <c r="AB159" s="2635"/>
      <c r="AC159" s="2605"/>
      <c r="AD159" s="2620">
        <f>スコア!$Z$157</f>
        <v>3</v>
      </c>
      <c r="AE159" s="2620">
        <f>スコア!$AB$157</f>
        <v>0</v>
      </c>
      <c r="AF159" s="2621">
        <f t="shared" si="88"/>
        <v>3</v>
      </c>
      <c r="AG159" s="2622">
        <f t="shared" si="84"/>
        <v>2</v>
      </c>
      <c r="AH159" s="2623"/>
      <c r="AI159" s="2622">
        <f t="shared" si="77"/>
        <v>2</v>
      </c>
      <c r="AJ159" s="2583">
        <f t="shared" si="78"/>
        <v>2</v>
      </c>
      <c r="AK159" s="2624" t="b">
        <v>0</v>
      </c>
      <c r="AL159" s="2625">
        <f t="shared" si="51"/>
        <v>2</v>
      </c>
      <c r="AM159" s="2659"/>
    </row>
    <row r="160" spans="1:39" ht="30" customHeight="1">
      <c r="A160" s="3800"/>
      <c r="B160" s="3770" t="s">
        <v>3651</v>
      </c>
      <c r="C160" s="3740" t="s">
        <v>3984</v>
      </c>
      <c r="D160" s="2564" t="s">
        <v>3652</v>
      </c>
      <c r="E160" s="2565" t="s">
        <v>3791</v>
      </c>
      <c r="F160" s="2565" t="s">
        <v>3653</v>
      </c>
      <c r="G160" s="2571" t="s">
        <v>3382</v>
      </c>
      <c r="H160" s="2572" t="s">
        <v>3436</v>
      </c>
      <c r="I160" s="2573" t="str">
        <f t="shared" si="85"/>
        <v/>
      </c>
      <c r="J160" s="2573" t="str">
        <f t="shared" si="86"/>
        <v>●</v>
      </c>
      <c r="K160" s="2573" t="str">
        <f t="shared" si="87"/>
        <v/>
      </c>
      <c r="L160" s="2580" t="str">
        <f>IF(L48="","（6.1.1の採点により自動転記）",L48)</f>
        <v>（6.1.1の採点により自動転記）</v>
      </c>
      <c r="M160" s="2565"/>
      <c r="N160" s="2575">
        <f t="shared" si="75"/>
        <v>2</v>
      </c>
      <c r="O160" s="2599"/>
      <c r="Q160" s="2576" t="s">
        <v>428</v>
      </c>
      <c r="R160" s="2576" t="s">
        <v>1465</v>
      </c>
      <c r="S160" s="2576" t="s">
        <v>1616</v>
      </c>
      <c r="T160" s="2576" t="s">
        <v>1721</v>
      </c>
      <c r="U160" s="2576" t="s">
        <v>1619</v>
      </c>
      <c r="V160" s="2576" t="s">
        <v>385</v>
      </c>
      <c r="W160" s="2576" t="s">
        <v>1620</v>
      </c>
      <c r="X160" s="2576" t="s">
        <v>383</v>
      </c>
      <c r="Y160" s="2576" t="s">
        <v>1722</v>
      </c>
      <c r="Z160" s="2618" t="str">
        <f t="shared" si="76"/>
        <v>対象</v>
      </c>
      <c r="AB160" s="2635"/>
      <c r="AC160" s="2605"/>
      <c r="AD160" s="2620">
        <f>スコア!$Z$147</f>
        <v>3</v>
      </c>
      <c r="AE160" s="2620">
        <f>スコア!$AB$147</f>
        <v>0</v>
      </c>
      <c r="AF160" s="2621">
        <f t="shared" si="88"/>
        <v>3</v>
      </c>
      <c r="AG160" s="2622">
        <f t="shared" si="84"/>
        <v>2</v>
      </c>
      <c r="AH160" s="2623"/>
      <c r="AI160" s="2622">
        <f t="shared" si="77"/>
        <v>2</v>
      </c>
      <c r="AJ160" s="2583">
        <f t="shared" si="78"/>
        <v>2</v>
      </c>
      <c r="AK160" s="2624" t="b">
        <v>0</v>
      </c>
      <c r="AL160" s="2625">
        <f t="shared" si="51"/>
        <v>2</v>
      </c>
      <c r="AM160" s="2660">
        <f>AVERAGEIFS(AL160:AL163,AL160:AL163,"&lt;&gt;0",AL160:AL163,"&lt;&gt;#DIV/0!")</f>
        <v>2</v>
      </c>
    </row>
    <row r="161" spans="1:39" ht="30" customHeight="1">
      <c r="A161" s="3800"/>
      <c r="B161" s="3768"/>
      <c r="C161" s="3741"/>
      <c r="D161" s="2564" t="s">
        <v>3654</v>
      </c>
      <c r="E161" s="2565" t="s">
        <v>3985</v>
      </c>
      <c r="F161" s="2565" t="s">
        <v>4107</v>
      </c>
      <c r="G161" s="2571" t="s">
        <v>3382</v>
      </c>
      <c r="H161" s="2572" t="s">
        <v>4010</v>
      </c>
      <c r="I161" s="2573" t="str">
        <f t="shared" si="85"/>
        <v/>
      </c>
      <c r="J161" s="2573" t="str">
        <f t="shared" si="86"/>
        <v/>
      </c>
      <c r="K161" s="2573" t="str">
        <f t="shared" si="87"/>
        <v/>
      </c>
      <c r="L161" s="2580"/>
      <c r="M161" s="2565"/>
      <c r="N161" s="2575" t="str">
        <f t="shared" si="75"/>
        <v>対象外</v>
      </c>
      <c r="O161" s="2599"/>
      <c r="Q161" s="2576" t="s">
        <v>428</v>
      </c>
      <c r="R161" s="2576" t="s">
        <v>1465</v>
      </c>
      <c r="S161" s="2576" t="s">
        <v>1616</v>
      </c>
      <c r="T161" s="2576" t="s">
        <v>1721</v>
      </c>
      <c r="U161" s="2576" t="s">
        <v>1619</v>
      </c>
      <c r="V161" s="2576" t="s">
        <v>385</v>
      </c>
      <c r="W161" s="2576"/>
      <c r="X161" s="2576"/>
      <c r="Y161" s="2576"/>
      <c r="Z161" s="2618" t="str">
        <f t="shared" si="76"/>
        <v>対象外</v>
      </c>
      <c r="AB161" s="2635"/>
      <c r="AC161" s="2605"/>
      <c r="AD161" s="2620">
        <f>スコア!$Z$60</f>
        <v>0</v>
      </c>
      <c r="AE161" s="2620">
        <f>スコア!$AB$60</f>
        <v>0</v>
      </c>
      <c r="AF161" s="2621">
        <f t="shared" si="88"/>
        <v>0</v>
      </c>
      <c r="AG161" s="2622" t="str">
        <f t="shared" si="84"/>
        <v>#DIV/0!</v>
      </c>
      <c r="AH161" s="2623"/>
      <c r="AI161" s="2622" t="str">
        <f t="shared" si="77"/>
        <v>#DIV/0!</v>
      </c>
      <c r="AJ161" s="2583" t="e">
        <f t="shared" si="78"/>
        <v>#DIV/0!</v>
      </c>
      <c r="AK161" s="2624" t="b">
        <v>0</v>
      </c>
      <c r="AL161" s="2625" t="e">
        <f t="shared" si="51"/>
        <v>#DIV/0!</v>
      </c>
      <c r="AM161" s="2659"/>
    </row>
    <row r="162" spans="1:39" ht="30" customHeight="1">
      <c r="A162" s="3800"/>
      <c r="B162" s="3768"/>
      <c r="C162" s="3741"/>
      <c r="D162" s="2564" t="s">
        <v>3655</v>
      </c>
      <c r="E162" s="2565" t="s">
        <v>3792</v>
      </c>
      <c r="F162" s="2565" t="s">
        <v>4072</v>
      </c>
      <c r="G162" s="2571" t="s">
        <v>3382</v>
      </c>
      <c r="H162" s="2572" t="s">
        <v>3656</v>
      </c>
      <c r="I162" s="2573" t="str">
        <f t="shared" si="85"/>
        <v/>
      </c>
      <c r="J162" s="2573" t="str">
        <f t="shared" si="86"/>
        <v>●</v>
      </c>
      <c r="K162" s="2573" t="str">
        <f t="shared" si="87"/>
        <v/>
      </c>
      <c r="L162" s="2578"/>
      <c r="M162" s="2565"/>
      <c r="N162" s="2575">
        <f t="shared" si="75"/>
        <v>2</v>
      </c>
      <c r="O162" s="2599"/>
      <c r="Q162" s="2576" t="s">
        <v>428</v>
      </c>
      <c r="R162" s="2576" t="s">
        <v>1465</v>
      </c>
      <c r="S162" s="2576" t="s">
        <v>1616</v>
      </c>
      <c r="T162" s="2576" t="s">
        <v>1721</v>
      </c>
      <c r="U162" s="2576" t="s">
        <v>1619</v>
      </c>
      <c r="V162" s="2576" t="s">
        <v>385</v>
      </c>
      <c r="W162" s="2576" t="s">
        <v>1620</v>
      </c>
      <c r="X162" s="2576" t="s">
        <v>383</v>
      </c>
      <c r="Y162" s="2576" t="s">
        <v>1722</v>
      </c>
      <c r="Z162" s="2618" t="str">
        <f t="shared" si="76"/>
        <v>対象</v>
      </c>
      <c r="AB162" s="2635"/>
      <c r="AC162" s="2605"/>
      <c r="AD162" s="2620">
        <f>スコア!$Z$181</f>
        <v>3</v>
      </c>
      <c r="AE162" s="2620">
        <f>スコア!$AB$181</f>
        <v>0</v>
      </c>
      <c r="AF162" s="2621">
        <f t="shared" si="88"/>
        <v>3</v>
      </c>
      <c r="AG162" s="2622">
        <f t="shared" si="84"/>
        <v>2</v>
      </c>
      <c r="AH162" s="2623"/>
      <c r="AI162" s="2622">
        <f t="shared" si="77"/>
        <v>2</v>
      </c>
      <c r="AJ162" s="2583">
        <f t="shared" si="78"/>
        <v>2</v>
      </c>
      <c r="AK162" s="2624" t="b">
        <v>0</v>
      </c>
      <c r="AL162" s="2625">
        <f t="shared" si="51"/>
        <v>2</v>
      </c>
      <c r="AM162" s="2659"/>
    </row>
    <row r="163" spans="1:39" ht="30" customHeight="1">
      <c r="A163" s="3800"/>
      <c r="B163" s="3769"/>
      <c r="C163" s="3742"/>
      <c r="D163" s="2564" t="s">
        <v>3657</v>
      </c>
      <c r="E163" s="2567" t="s">
        <v>3760</v>
      </c>
      <c r="F163" s="2567" t="s">
        <v>4073</v>
      </c>
      <c r="G163" s="2571" t="s">
        <v>3382</v>
      </c>
      <c r="H163" s="2572" t="s">
        <v>3475</v>
      </c>
      <c r="I163" s="2573" t="str">
        <f t="shared" si="85"/>
        <v/>
      </c>
      <c r="J163" s="2573" t="str">
        <f t="shared" si="86"/>
        <v>●</v>
      </c>
      <c r="K163" s="2573" t="str">
        <f t="shared" si="87"/>
        <v/>
      </c>
      <c r="L163" s="2580" t="str">
        <f>IF(L62="","（7.5.1の採点により自動転記）",L62)</f>
        <v>（7.5.1の採点により自動転記）</v>
      </c>
      <c r="M163" s="2565"/>
      <c r="N163" s="2575">
        <f t="shared" si="75"/>
        <v>2</v>
      </c>
      <c r="O163" s="2599"/>
      <c r="Q163" s="2576" t="s">
        <v>428</v>
      </c>
      <c r="R163" s="2576" t="s">
        <v>1465</v>
      </c>
      <c r="S163" s="2576" t="s">
        <v>1616</v>
      </c>
      <c r="T163" s="2576" t="s">
        <v>1721</v>
      </c>
      <c r="U163" s="2576" t="s">
        <v>1619</v>
      </c>
      <c r="V163" s="2576" t="s">
        <v>385</v>
      </c>
      <c r="W163" s="2576" t="s">
        <v>1620</v>
      </c>
      <c r="X163" s="2576" t="s">
        <v>383</v>
      </c>
      <c r="Y163" s="2576" t="s">
        <v>1722</v>
      </c>
      <c r="Z163" s="2618" t="str">
        <f t="shared" si="76"/>
        <v>対象</v>
      </c>
      <c r="AB163" s="2635"/>
      <c r="AC163" s="2605"/>
      <c r="AD163" s="2620">
        <f>スコア!$Z$138</f>
        <v>3</v>
      </c>
      <c r="AE163" s="2620">
        <f>スコア!$AB$138</f>
        <v>0</v>
      </c>
      <c r="AF163" s="2621">
        <f t="shared" si="88"/>
        <v>3</v>
      </c>
      <c r="AG163" s="2622">
        <f t="shared" si="84"/>
        <v>2</v>
      </c>
      <c r="AH163" s="2636"/>
      <c r="AI163" s="2622">
        <f t="shared" si="77"/>
        <v>2</v>
      </c>
      <c r="AJ163" s="2583">
        <f t="shared" si="78"/>
        <v>2</v>
      </c>
      <c r="AK163" s="2624" t="b">
        <v>0</v>
      </c>
      <c r="AL163" s="2625">
        <f t="shared" si="51"/>
        <v>2</v>
      </c>
      <c r="AM163" s="2662"/>
    </row>
    <row r="164" spans="1:39" ht="30" customHeight="1">
      <c r="A164" s="3800"/>
      <c r="B164" s="3770" t="s">
        <v>3658</v>
      </c>
      <c r="C164" s="3755" t="s">
        <v>3976</v>
      </c>
      <c r="D164" s="2564" t="s">
        <v>3659</v>
      </c>
      <c r="E164" s="2565" t="s">
        <v>3569</v>
      </c>
      <c r="F164" s="2565" t="s">
        <v>4058</v>
      </c>
      <c r="G164" s="2571" t="s">
        <v>3382</v>
      </c>
      <c r="H164" s="2572" t="s">
        <v>3570</v>
      </c>
      <c r="I164" s="2573" t="str">
        <f>IF(AI164=1,"●","")</f>
        <v/>
      </c>
      <c r="J164" s="2573" t="str">
        <f>IF(AI164=2,"●","")</f>
        <v>●</v>
      </c>
      <c r="K164" s="2573" t="str">
        <f>IF(AI164=3,"●","")</f>
        <v/>
      </c>
      <c r="L164" s="2580" t="str">
        <f>IF(L53="","（6.5.1の採点により自動転記）",L53)</f>
        <v>（6.5.1の採点により自動転記）</v>
      </c>
      <c r="M164" s="2565"/>
      <c r="N164" s="2575">
        <f t="shared" ref="N164:N169" si="89">IF(Z164="対象外","対象外",AL164)</f>
        <v>2</v>
      </c>
      <c r="O164" s="2599"/>
      <c r="Q164" s="2576" t="s">
        <v>428</v>
      </c>
      <c r="R164" s="2576" t="s">
        <v>1465</v>
      </c>
      <c r="S164" s="2576" t="s">
        <v>1616</v>
      </c>
      <c r="T164" s="2576" t="s">
        <v>1721</v>
      </c>
      <c r="U164" s="2576" t="s">
        <v>1619</v>
      </c>
      <c r="V164" s="2576" t="s">
        <v>385</v>
      </c>
      <c r="W164" s="2576" t="s">
        <v>1620</v>
      </c>
      <c r="X164" s="2576" t="s">
        <v>383</v>
      </c>
      <c r="Y164" s="2576" t="s">
        <v>1722</v>
      </c>
      <c r="Z164" s="2618" t="str">
        <f>IF(AG164="#DIV/0!","対象外",IF(AND($Q$4="〇",Q164&lt;&gt;"")+AND($R$4="〇",R164&lt;&gt;"")+AND($S$4="〇",S164&lt;&gt;"")+AND($T$4="〇",T164&lt;&gt;"")+AND($U$4="〇",U164&lt;&gt;"")+AND($V$4="〇",V164&lt;&gt;"")+AND($W$4="〇",W164&lt;&gt;"")+AND($X$4="〇",X164&lt;&gt;"")+AND($Y$4="〇",Y164&lt;&gt;"")=0,"対象外","対象"))</f>
        <v>対象</v>
      </c>
      <c r="AB164" s="2635"/>
      <c r="AC164" s="2605"/>
      <c r="AD164" s="2620">
        <f>スコア!$Z$179</f>
        <v>3</v>
      </c>
      <c r="AE164" s="2620">
        <f>スコア!$AB$179</f>
        <v>0</v>
      </c>
      <c r="AF164" s="2621">
        <f>IF(AE164=0,AD164,IF(AD164=0,AE164,AD164*$AD$6+AE164*$AE$6))</f>
        <v>3</v>
      </c>
      <c r="AG164" s="2622">
        <f>IF(AF164=0,"#DIV/0!",IF(AF164&lt;2,1,IF(AF164&lt;4,2,3)))</f>
        <v>2</v>
      </c>
      <c r="AH164" s="2623"/>
      <c r="AI164" s="2622">
        <f>IF(Z164="対象外","#DIV/0!",IF(AG164="",AB164,IF(AB164="",AG164,0)))</f>
        <v>2</v>
      </c>
      <c r="AJ164" s="2583">
        <f>AVERAGEIFS(AI164,AI164,"&lt;&gt;0",AI164,"&lt;&gt;#DIV/0!")</f>
        <v>2</v>
      </c>
      <c r="AK164" s="2624" t="b">
        <v>0</v>
      </c>
      <c r="AL164" s="2625">
        <f>IF(AK164=FALSE,AJ164,IF(AJ164=1,2,3))</f>
        <v>2</v>
      </c>
      <c r="AM164" s="2660">
        <f>AVERAGEIFS(AL164:AL167,AL164:AL167,"&lt;&gt;0",AL164:AL167,"&lt;&gt;#DIV/0!")</f>
        <v>1.75</v>
      </c>
    </row>
    <row r="165" spans="1:39" ht="30" customHeight="1">
      <c r="A165" s="3800"/>
      <c r="B165" s="3768"/>
      <c r="C165" s="3756"/>
      <c r="D165" s="2564" t="s">
        <v>3977</v>
      </c>
      <c r="E165" s="2565" t="s">
        <v>3566</v>
      </c>
      <c r="F165" s="2565" t="s">
        <v>3775</v>
      </c>
      <c r="G165" s="2571" t="s">
        <v>3382</v>
      </c>
      <c r="H165" s="2572" t="s">
        <v>3567</v>
      </c>
      <c r="I165" s="2573" t="str">
        <f>IF(AI165=1,"●","")</f>
        <v/>
      </c>
      <c r="J165" s="2573" t="str">
        <f>IF(AI165=2,"●","")</f>
        <v>●</v>
      </c>
      <c r="K165" s="2573" t="str">
        <f>IF(AI165=3,"●","")</f>
        <v/>
      </c>
      <c r="L165" s="2580" t="str">
        <f>IF(L111="","（11.4.1の採点により自動転記）",L111)</f>
        <v>（11.4.1の採点により自動転記）</v>
      </c>
      <c r="M165" s="2565"/>
      <c r="N165" s="2575">
        <f t="shared" si="89"/>
        <v>2</v>
      </c>
      <c r="O165" s="2599"/>
      <c r="Q165" s="2576" t="s">
        <v>428</v>
      </c>
      <c r="R165" s="2576" t="s">
        <v>1465</v>
      </c>
      <c r="S165" s="2576" t="s">
        <v>1616</v>
      </c>
      <c r="T165" s="2576" t="s">
        <v>1721</v>
      </c>
      <c r="U165" s="2576" t="s">
        <v>1619</v>
      </c>
      <c r="V165" s="2576" t="s">
        <v>385</v>
      </c>
      <c r="W165" s="2576" t="s">
        <v>1620</v>
      </c>
      <c r="X165" s="2576" t="s">
        <v>383</v>
      </c>
      <c r="Y165" s="2576" t="s">
        <v>1722</v>
      </c>
      <c r="Z165" s="2618" t="str">
        <f>IF(AG165="#DIV/0!","対象外",IF(AND($Q$4="〇",Q165&lt;&gt;"")+AND($R$4="〇",R165&lt;&gt;"")+AND($S$4="〇",S165&lt;&gt;"")+AND($T$4="〇",T165&lt;&gt;"")+AND($U$4="〇",U165&lt;&gt;"")+AND($V$4="〇",V165&lt;&gt;"")+AND($W$4="〇",W165&lt;&gt;"")+AND($X$4="〇",X165&lt;&gt;"")+AND($Y$4="〇",Y165&lt;&gt;"")=0,"対象外","対象"))</f>
        <v>対象</v>
      </c>
      <c r="AB165" s="2635"/>
      <c r="AC165" s="2605"/>
      <c r="AD165" s="2620">
        <f>スコア!$Z$175</f>
        <v>3</v>
      </c>
      <c r="AE165" s="2620">
        <f>スコア!$AB$175</f>
        <v>0</v>
      </c>
      <c r="AF165" s="2621">
        <f>IF(AE165=0,AD165,IF(AD165=0,AE165,AD165*$AD$6+AE165*$AE$6))</f>
        <v>3</v>
      </c>
      <c r="AG165" s="2622">
        <f>IF(AF165=0,"#DIV/0!",IF(AF165&lt;2,1,IF(AF165&lt;4,2,3)))</f>
        <v>2</v>
      </c>
      <c r="AH165" s="2623"/>
      <c r="AI165" s="2622">
        <f>IF(Z165="対象外","#DIV/0!",IF(AG165="",AB165,IF(AB165="",AG165,0)))</f>
        <v>2</v>
      </c>
      <c r="AJ165" s="2583">
        <f>AVERAGEIFS(AI165,AI165,"&lt;&gt;0",AI165,"&lt;&gt;#DIV/0!")</f>
        <v>2</v>
      </c>
      <c r="AK165" s="2624" t="b">
        <v>0</v>
      </c>
      <c r="AL165" s="2625">
        <f>IF(AK165=FALSE,AJ165,IF(AJ165=1,2,3))</f>
        <v>2</v>
      </c>
      <c r="AM165" s="2659"/>
    </row>
    <row r="166" spans="1:39" ht="51" customHeight="1">
      <c r="A166" s="3800"/>
      <c r="B166" s="3768"/>
      <c r="C166" s="3756"/>
      <c r="D166" s="2564" t="s">
        <v>3978</v>
      </c>
      <c r="E166" s="2565" t="s">
        <v>3646</v>
      </c>
      <c r="F166" s="2565" t="s">
        <v>4060</v>
      </c>
      <c r="G166" s="2571" t="s">
        <v>3382</v>
      </c>
      <c r="H166" s="2577" t="s">
        <v>3398</v>
      </c>
      <c r="I166" s="2573" t="str">
        <f>IF(AI166=1,"●","")</f>
        <v>●</v>
      </c>
      <c r="J166" s="2573" t="str">
        <f>IF(AI166=2,"●","")</f>
        <v/>
      </c>
      <c r="K166" s="2573" t="str">
        <f>IF(AI166=3,"●","")</f>
        <v/>
      </c>
      <c r="L166" s="2580" t="str">
        <f>IF(L52="","（6.4.1の採点により自動転記）",L52)</f>
        <v>（6.4.1の採点により自動転記）</v>
      </c>
      <c r="M166" s="2565"/>
      <c r="N166" s="2575">
        <f t="shared" si="89"/>
        <v>1</v>
      </c>
      <c r="O166" s="2599"/>
      <c r="Q166" s="2576" t="s">
        <v>428</v>
      </c>
      <c r="R166" s="2576" t="s">
        <v>1465</v>
      </c>
      <c r="S166" s="2576" t="s">
        <v>1616</v>
      </c>
      <c r="T166" s="2576" t="s">
        <v>1721</v>
      </c>
      <c r="U166" s="2576" t="s">
        <v>1619</v>
      </c>
      <c r="V166" s="2576" t="s">
        <v>385</v>
      </c>
      <c r="W166" s="2576" t="s">
        <v>1620</v>
      </c>
      <c r="X166" s="2576" t="s">
        <v>383</v>
      </c>
      <c r="Y166" s="2576" t="s">
        <v>1722</v>
      </c>
      <c r="Z166" s="2618" t="str">
        <f>IF(AG166="#DIV/0!","対象外",IF(AND($Q$4="〇",Q166&lt;&gt;"")+AND($R$4="〇",R166&lt;&gt;"")+AND($S$4="〇",S166&lt;&gt;"")+AND($T$4="〇",T166&lt;&gt;"")+AND($U$4="〇",U166&lt;&gt;"")+AND($V$4="〇",V166&lt;&gt;"")+AND($W$4="〇",W166&lt;&gt;"")+AND($X$4="〇",X166&lt;&gt;"")+AND($Y$4="〇",Y166&lt;&gt;"")=0,"対象外","対象"))</f>
        <v>対象</v>
      </c>
      <c r="AB166" s="2639">
        <f>AB52</f>
        <v>1</v>
      </c>
      <c r="AC166" s="2605"/>
      <c r="AD166" s="2635"/>
      <c r="AE166" s="2635"/>
      <c r="AF166" s="2635"/>
      <c r="AG166" s="2635"/>
      <c r="AH166" s="2636"/>
      <c r="AI166" s="2622">
        <f>IF(Z166="対象外","#DIV/0!",IF(AG166="",AB166,IF(AB166="",AG166,0)))</f>
        <v>1</v>
      </c>
      <c r="AJ166" s="2583">
        <f>AVERAGEIFS(AI166,AI166,"&lt;&gt;0",AI166,"&lt;&gt;#DIV/0!")</f>
        <v>1</v>
      </c>
      <c r="AK166" s="2624" t="b">
        <v>0</v>
      </c>
      <c r="AL166" s="2625">
        <f>IF(AK166=FALSE,AJ166,IF(AJ166=1,2,3))</f>
        <v>1</v>
      </c>
      <c r="AM166" s="2659"/>
    </row>
    <row r="167" spans="1:39" ht="30" customHeight="1">
      <c r="A167" s="3800"/>
      <c r="B167" s="3769"/>
      <c r="C167" s="3757"/>
      <c r="D167" s="2564" t="s">
        <v>3979</v>
      </c>
      <c r="E167" s="2567" t="s">
        <v>3660</v>
      </c>
      <c r="F167" s="2565" t="s">
        <v>3793</v>
      </c>
      <c r="G167" s="2571" t="s">
        <v>3382</v>
      </c>
      <c r="H167" s="2572" t="s">
        <v>3661</v>
      </c>
      <c r="I167" s="2573" t="str">
        <f>IF(AI167=1,"●","")</f>
        <v/>
      </c>
      <c r="J167" s="2573" t="str">
        <f>IF(AI167=2,"●","")</f>
        <v>●</v>
      </c>
      <c r="K167" s="2573" t="str">
        <f>IF(AI167=3,"●","")</f>
        <v/>
      </c>
      <c r="L167" s="2580" t="str">
        <f>IF(L32="","（3.8.5の採点により自動転記）",L32)</f>
        <v>（3.8.5の採点により自動転記）</v>
      </c>
      <c r="M167" s="2565"/>
      <c r="N167" s="2575">
        <f t="shared" si="89"/>
        <v>2</v>
      </c>
      <c r="O167" s="2599"/>
      <c r="Q167" s="2576" t="s">
        <v>428</v>
      </c>
      <c r="R167" s="2576" t="s">
        <v>1465</v>
      </c>
      <c r="S167" s="2576" t="s">
        <v>1616</v>
      </c>
      <c r="T167" s="2576" t="s">
        <v>1721</v>
      </c>
      <c r="U167" s="2576" t="s">
        <v>1619</v>
      </c>
      <c r="V167" s="2576" t="s">
        <v>385</v>
      </c>
      <c r="W167" s="2576" t="s">
        <v>1620</v>
      </c>
      <c r="X167" s="2576" t="s">
        <v>383</v>
      </c>
      <c r="Y167" s="2576" t="s">
        <v>1722</v>
      </c>
      <c r="Z167" s="2618" t="str">
        <f>IF(AG167="#DIV/0!","対象外",IF(AND($Q$4="〇",Q167&lt;&gt;"")+AND($R$4="〇",R167&lt;&gt;"")+AND($S$4="〇",S167&lt;&gt;"")+AND($T$4="〇",T167&lt;&gt;"")+AND($U$4="〇",U167&lt;&gt;"")+AND($V$4="〇",V167&lt;&gt;"")+AND($W$4="〇",W167&lt;&gt;"")+AND($X$4="〇",X167&lt;&gt;"")+AND($Y$4="〇",Y167&lt;&gt;"")=0,"対象外","対象"))</f>
        <v>対象</v>
      </c>
      <c r="AB167" s="2635"/>
      <c r="AC167" s="2605"/>
      <c r="AD167" s="2620">
        <f>スコア!$Z$167</f>
        <v>3</v>
      </c>
      <c r="AE167" s="2620">
        <f>スコア!$AB$167</f>
        <v>0</v>
      </c>
      <c r="AF167" s="2621">
        <f>IF(AE167=0,AD167,IF(AD167=0,AE167,AD167*$AD$6+AE167*$AE$6))</f>
        <v>3</v>
      </c>
      <c r="AG167" s="2622">
        <f>IF(AF167=0,"#DIV/0!",IF(AF167&lt;2,1,IF(AF167&lt;4,2,3)))</f>
        <v>2</v>
      </c>
      <c r="AH167" s="2623"/>
      <c r="AI167" s="2622">
        <f>IF(Z167="対象外","#DIV/0!",IF(AG167="",AB167,IF(AB167="",AG167,0)))</f>
        <v>2</v>
      </c>
      <c r="AJ167" s="2583">
        <f>AVERAGEIFS(AI167,AI167,"&lt;&gt;0",AI167,"&lt;&gt;#DIV/0!")</f>
        <v>2</v>
      </c>
      <c r="AK167" s="2683" t="b">
        <v>0</v>
      </c>
      <c r="AL167" s="2625">
        <f>IF(AK167=FALSE,AJ167,IF(AJ167=1,2,3))</f>
        <v>2</v>
      </c>
      <c r="AM167" s="2662"/>
    </row>
    <row r="168" spans="1:39" ht="31.5">
      <c r="A168" s="3800"/>
      <c r="B168" s="2568" t="s">
        <v>3662</v>
      </c>
      <c r="C168" s="2569" t="s">
        <v>3975</v>
      </c>
      <c r="D168" s="2564" t="s">
        <v>3663</v>
      </c>
      <c r="E168" s="2567" t="s">
        <v>4079</v>
      </c>
      <c r="F168" s="2567" t="s">
        <v>3794</v>
      </c>
      <c r="G168" s="2571" t="s">
        <v>3382</v>
      </c>
      <c r="H168" s="2572" t="s">
        <v>3481</v>
      </c>
      <c r="I168" s="2573" t="str">
        <f t="shared" si="85"/>
        <v/>
      </c>
      <c r="J168" s="2573" t="str">
        <f t="shared" si="86"/>
        <v>●</v>
      </c>
      <c r="K168" s="2573" t="str">
        <f t="shared" si="87"/>
        <v/>
      </c>
      <c r="L168" s="2580" t="str">
        <f>IF(L65="","（7.8.1の採点により自動転記）",L65)</f>
        <v>（7.8.1の採点により自動転記）</v>
      </c>
      <c r="M168" s="2565"/>
      <c r="N168" s="2575">
        <f t="shared" si="89"/>
        <v>2</v>
      </c>
      <c r="O168" s="2599"/>
      <c r="Q168" s="2576" t="s">
        <v>428</v>
      </c>
      <c r="R168" s="2576" t="s">
        <v>1465</v>
      </c>
      <c r="S168" s="2576" t="s">
        <v>1616</v>
      </c>
      <c r="T168" s="2576" t="s">
        <v>1721</v>
      </c>
      <c r="U168" s="2576" t="s">
        <v>1619</v>
      </c>
      <c r="V168" s="2576" t="s">
        <v>385</v>
      </c>
      <c r="W168" s="2576" t="s">
        <v>1620</v>
      </c>
      <c r="X168" s="2576" t="s">
        <v>383</v>
      </c>
      <c r="Y168" s="2576" t="s">
        <v>1722</v>
      </c>
      <c r="Z168" s="2618" t="str">
        <f t="shared" si="76"/>
        <v>対象</v>
      </c>
      <c r="AB168" s="2635"/>
      <c r="AC168" s="2605"/>
      <c r="AD168" s="2620">
        <f>スコア!$Z$173</f>
        <v>3</v>
      </c>
      <c r="AE168" s="2620">
        <f>スコア!$AB$173</f>
        <v>0</v>
      </c>
      <c r="AF168" s="2621">
        <f t="shared" si="88"/>
        <v>3</v>
      </c>
      <c r="AG168" s="2622">
        <f t="shared" si="84"/>
        <v>2</v>
      </c>
      <c r="AH168" s="2623"/>
      <c r="AI168" s="2622">
        <f t="shared" si="77"/>
        <v>2</v>
      </c>
      <c r="AJ168" s="2583">
        <f t="shared" si="78"/>
        <v>2</v>
      </c>
      <c r="AK168" s="2683" t="b">
        <v>0</v>
      </c>
      <c r="AL168" s="2625">
        <f t="shared" si="51"/>
        <v>2</v>
      </c>
      <c r="AM168" s="2621">
        <f>AVERAGEIFS(AL168,AL168,"&lt;&gt;0",AL168,"&lt;&gt;#DIV/0!")</f>
        <v>2</v>
      </c>
    </row>
    <row r="169" spans="1:39" ht="94.5">
      <c r="A169" s="3800"/>
      <c r="B169" s="2564" t="s">
        <v>3664</v>
      </c>
      <c r="C169" s="2567" t="s">
        <v>3665</v>
      </c>
      <c r="D169" s="2564" t="s">
        <v>3666</v>
      </c>
      <c r="E169" s="2565" t="s">
        <v>4108</v>
      </c>
      <c r="F169" s="2565" t="s">
        <v>4113</v>
      </c>
      <c r="G169" s="2571" t="s">
        <v>3382</v>
      </c>
      <c r="H169" s="2577" t="s">
        <v>3398</v>
      </c>
      <c r="I169" s="2567"/>
      <c r="J169" s="2567"/>
      <c r="K169" s="2567"/>
      <c r="L169" s="2578"/>
      <c r="M169" s="2565"/>
      <c r="N169" s="2575">
        <f t="shared" si="89"/>
        <v>3</v>
      </c>
      <c r="O169" s="2599"/>
      <c r="Q169" s="2576" t="s">
        <v>428</v>
      </c>
      <c r="R169" s="2576" t="s">
        <v>1465</v>
      </c>
      <c r="S169" s="2576" t="s">
        <v>1616</v>
      </c>
      <c r="T169" s="2576" t="s">
        <v>1721</v>
      </c>
      <c r="U169" s="2576" t="s">
        <v>1619</v>
      </c>
      <c r="V169" s="2576" t="s">
        <v>385</v>
      </c>
      <c r="W169" s="2576" t="s">
        <v>1620</v>
      </c>
      <c r="X169" s="2576" t="s">
        <v>383</v>
      </c>
      <c r="Y169" s="2576" t="s">
        <v>1722</v>
      </c>
      <c r="Z169" s="2618" t="str">
        <f t="shared" si="76"/>
        <v>対象</v>
      </c>
      <c r="AB169" s="2639">
        <v>3</v>
      </c>
      <c r="AC169" s="2605"/>
      <c r="AD169" s="2635"/>
      <c r="AE169" s="2635"/>
      <c r="AF169" s="2635"/>
      <c r="AG169" s="2635"/>
      <c r="AH169" s="2636"/>
      <c r="AI169" s="2622">
        <f t="shared" si="77"/>
        <v>3</v>
      </c>
      <c r="AJ169" s="2583">
        <f t="shared" si="78"/>
        <v>3</v>
      </c>
      <c r="AK169" s="2638" t="b">
        <v>0</v>
      </c>
      <c r="AL169" s="2625">
        <f t="shared" ref="AL169" si="90">IF(AK169=FALSE,AJ169,IF(AJ169=1,2,3))</f>
        <v>3</v>
      </c>
      <c r="AM169" s="2663">
        <f>AVERAGEIFS(AL169,AL169,"&lt;&gt;0",AL169,"&lt;&gt;#DIV/0!")</f>
        <v>3</v>
      </c>
    </row>
    <row r="170" spans="1:39" ht="30" customHeight="1">
      <c r="A170" s="3801" t="s">
        <v>3551</v>
      </c>
      <c r="B170" s="2777" t="s">
        <v>3667</v>
      </c>
      <c r="C170" s="2779" t="s">
        <v>3668</v>
      </c>
      <c r="D170" s="2564" t="s">
        <v>3669</v>
      </c>
      <c r="E170" s="2567" t="s">
        <v>4080</v>
      </c>
      <c r="F170" s="2567" t="s">
        <v>3670</v>
      </c>
      <c r="G170" s="2571" t="s">
        <v>3382</v>
      </c>
      <c r="H170" s="2572" t="s">
        <v>3481</v>
      </c>
      <c r="I170" s="2573" t="str">
        <f>IF(AI170=1,"●","")</f>
        <v/>
      </c>
      <c r="J170" s="2573" t="str">
        <f>IF(AI170=2,"●","")</f>
        <v>●</v>
      </c>
      <c r="K170" s="2573" t="str">
        <f>IF(AI170=3,"●","")</f>
        <v/>
      </c>
      <c r="L170" s="2580" t="str">
        <f>IF(L65="","（7.8.1の採点により自動転記）",L65)</f>
        <v>（7.8.1の採点により自動転記）</v>
      </c>
      <c r="M170" s="2565"/>
      <c r="N170" s="2575">
        <f t="shared" si="75"/>
        <v>2</v>
      </c>
      <c r="O170" s="2599"/>
      <c r="Q170" s="2576" t="s">
        <v>428</v>
      </c>
      <c r="R170" s="2576" t="s">
        <v>1465</v>
      </c>
      <c r="S170" s="2576" t="s">
        <v>1616</v>
      </c>
      <c r="T170" s="2576" t="s">
        <v>1721</v>
      </c>
      <c r="U170" s="2576" t="s">
        <v>1619</v>
      </c>
      <c r="V170" s="2576" t="s">
        <v>385</v>
      </c>
      <c r="W170" s="2576" t="s">
        <v>1620</v>
      </c>
      <c r="X170" s="2576" t="s">
        <v>383</v>
      </c>
      <c r="Y170" s="2576" t="s">
        <v>1722</v>
      </c>
      <c r="Z170" s="2618" t="str">
        <f t="shared" si="76"/>
        <v>対象</v>
      </c>
      <c r="AB170" s="2635"/>
      <c r="AC170" s="2605"/>
      <c r="AD170" s="2620">
        <f>スコア!$Z$173</f>
        <v>3</v>
      </c>
      <c r="AE170" s="2620">
        <f>スコア!$AB$173</f>
        <v>0</v>
      </c>
      <c r="AF170" s="2621">
        <f>IF(AE170=0,AD170,IF(AD170=0,AE170,AD170*$AD$6+AE170*$AE$6))</f>
        <v>3</v>
      </c>
      <c r="AG170" s="2622">
        <f t="shared" si="84"/>
        <v>2</v>
      </c>
      <c r="AH170" s="2623"/>
      <c r="AI170" s="2622">
        <f t="shared" si="77"/>
        <v>2</v>
      </c>
      <c r="AJ170" s="2583">
        <f t="shared" si="78"/>
        <v>2</v>
      </c>
      <c r="AK170" s="2624" t="b">
        <v>0</v>
      </c>
      <c r="AL170" s="2625">
        <f t="shared" ref="AL170:AL183" si="91">IF(AK170=FALSE,AJ170,IF(AJ170=1,2,3))</f>
        <v>2</v>
      </c>
      <c r="AM170" s="2660">
        <f>AVERAGEIFS(AL170:AL170,AL170:AL170,"&lt;&gt;0",AL170:AL170,"&lt;&gt;#DIV/0!")</f>
        <v>2</v>
      </c>
    </row>
    <row r="171" spans="1:39" ht="32.25" customHeight="1">
      <c r="A171" s="3801"/>
      <c r="B171" s="2568" t="s">
        <v>3671</v>
      </c>
      <c r="C171" s="2581" t="s">
        <v>3986</v>
      </c>
      <c r="D171" s="2564" t="s">
        <v>3672</v>
      </c>
      <c r="E171" s="2565" t="s">
        <v>3987</v>
      </c>
      <c r="F171" s="2565" t="s">
        <v>4074</v>
      </c>
      <c r="G171" s="2571" t="s">
        <v>3382</v>
      </c>
      <c r="H171" s="2572" t="s">
        <v>3673</v>
      </c>
      <c r="I171" s="2573" t="str">
        <f t="shared" ref="I171:I177" si="92">IF(AI171=1,"●","")</f>
        <v/>
      </c>
      <c r="J171" s="2573" t="str">
        <f t="shared" ref="J171:J177" si="93">IF(AI171=2,"●","")</f>
        <v>●</v>
      </c>
      <c r="K171" s="2573" t="str">
        <f t="shared" ref="K171:K177" si="94">IF(AI171=3,"●","")</f>
        <v/>
      </c>
      <c r="L171" s="2589" t="str">
        <f>IF(L31="","（3.8.4の採点により自動転記）",L31)</f>
        <v>（3.8.4の採点により自動転記）</v>
      </c>
      <c r="M171" s="2565"/>
      <c r="N171" s="2575">
        <f t="shared" si="75"/>
        <v>2</v>
      </c>
      <c r="O171" s="2599"/>
      <c r="Q171" s="2576" t="s">
        <v>428</v>
      </c>
      <c r="R171" s="2576" t="s">
        <v>1465</v>
      </c>
      <c r="S171" s="2576" t="s">
        <v>1616</v>
      </c>
      <c r="T171" s="2576" t="s">
        <v>1721</v>
      </c>
      <c r="U171" s="2576" t="s">
        <v>1619</v>
      </c>
      <c r="V171" s="2576" t="s">
        <v>385</v>
      </c>
      <c r="W171" s="2576" t="s">
        <v>1620</v>
      </c>
      <c r="X171" s="2576" t="s">
        <v>383</v>
      </c>
      <c r="Y171" s="2576" t="s">
        <v>1722</v>
      </c>
      <c r="Z171" s="2618" t="str">
        <f t="shared" si="76"/>
        <v>対象</v>
      </c>
      <c r="AB171" s="2635"/>
      <c r="AC171" s="2605"/>
      <c r="AD171" s="2620">
        <f>スコア!$Z$176</f>
        <v>3</v>
      </c>
      <c r="AE171" s="2620">
        <f>スコア!$AB$176</f>
        <v>0</v>
      </c>
      <c r="AF171" s="2621">
        <f t="shared" ref="AF171:AF177" si="95">IF(AE171=0,AD171,IF(AD171=0,AE171,AD171*$AD$6+AE171*$AE$6))</f>
        <v>3</v>
      </c>
      <c r="AG171" s="2622">
        <f t="shared" si="84"/>
        <v>2</v>
      </c>
      <c r="AH171" s="2623"/>
      <c r="AI171" s="2622">
        <f t="shared" si="77"/>
        <v>2</v>
      </c>
      <c r="AJ171" s="2583">
        <f t="shared" si="78"/>
        <v>2</v>
      </c>
      <c r="AK171" s="2624" t="b">
        <v>0</v>
      </c>
      <c r="AL171" s="2625">
        <f t="shared" si="91"/>
        <v>2</v>
      </c>
      <c r="AM171" s="2660">
        <f>AVERAGEIFS(AL171:AL171,AL171:AL171,"&lt;&gt;0",AL171:AL171,"&lt;&gt;#DIV/0!")</f>
        <v>2</v>
      </c>
    </row>
    <row r="172" spans="1:39" ht="141.75">
      <c r="A172" s="3801"/>
      <c r="B172" s="3770" t="s">
        <v>3988</v>
      </c>
      <c r="C172" s="3752" t="s">
        <v>4025</v>
      </c>
      <c r="D172" s="2590" t="s">
        <v>3989</v>
      </c>
      <c r="E172" s="2567" t="s">
        <v>4023</v>
      </c>
      <c r="F172" s="2567" t="s">
        <v>3674</v>
      </c>
      <c r="G172" s="2571" t="s">
        <v>3382</v>
      </c>
      <c r="H172" s="2577" t="s">
        <v>3398</v>
      </c>
      <c r="I172" s="2579"/>
      <c r="J172" s="2567"/>
      <c r="K172" s="2579"/>
      <c r="L172" s="2578"/>
      <c r="M172" s="2565"/>
      <c r="N172" s="2575">
        <f t="shared" si="75"/>
        <v>2</v>
      </c>
      <c r="O172" s="2599"/>
      <c r="Q172" s="2576" t="s">
        <v>428</v>
      </c>
      <c r="R172" s="2576" t="s">
        <v>1465</v>
      </c>
      <c r="S172" s="2576" t="s">
        <v>1616</v>
      </c>
      <c r="T172" s="2576" t="s">
        <v>1721</v>
      </c>
      <c r="U172" s="2576" t="s">
        <v>1619</v>
      </c>
      <c r="V172" s="2576" t="s">
        <v>385</v>
      </c>
      <c r="W172" s="2576" t="s">
        <v>1620</v>
      </c>
      <c r="X172" s="2576" t="s">
        <v>383</v>
      </c>
      <c r="Y172" s="2576" t="s">
        <v>1722</v>
      </c>
      <c r="Z172" s="2618" t="str">
        <f t="shared" si="76"/>
        <v>対象</v>
      </c>
      <c r="AB172" s="2639">
        <v>2</v>
      </c>
      <c r="AC172" s="2605"/>
      <c r="AD172" s="2635"/>
      <c r="AE172" s="2635"/>
      <c r="AF172" s="2635"/>
      <c r="AG172" s="2635"/>
      <c r="AH172" s="2636"/>
      <c r="AI172" s="2622">
        <f t="shared" si="77"/>
        <v>2</v>
      </c>
      <c r="AJ172" s="2583">
        <f t="shared" si="78"/>
        <v>2</v>
      </c>
      <c r="AK172" s="2638" t="b">
        <v>0</v>
      </c>
      <c r="AL172" s="2625">
        <f t="shared" si="91"/>
        <v>2</v>
      </c>
      <c r="AM172" s="2621">
        <f>AVERAGEIFS(AL172:AL173,AL172:AL173,"&lt;&gt;0",AL172:AL173,"&lt;&gt;#DIV/0!")</f>
        <v>1.5</v>
      </c>
    </row>
    <row r="173" spans="1:39" ht="56.25" customHeight="1">
      <c r="A173" s="3801"/>
      <c r="B173" s="3769"/>
      <c r="C173" s="3753"/>
      <c r="D173" s="2590" t="s">
        <v>3990</v>
      </c>
      <c r="E173" s="2565" t="s">
        <v>3801</v>
      </c>
      <c r="F173" s="2565" t="s">
        <v>4056</v>
      </c>
      <c r="G173" s="2571" t="s">
        <v>3382</v>
      </c>
      <c r="H173" s="2577" t="s">
        <v>3398</v>
      </c>
      <c r="I173" s="2573" t="str">
        <f>IF(AI173=1,"●","")</f>
        <v>●</v>
      </c>
      <c r="J173" s="2573" t="str">
        <f>IF(AI173=2,"●","")</f>
        <v/>
      </c>
      <c r="K173" s="2573" t="str">
        <f>IF(AI173=3,"●","")</f>
        <v/>
      </c>
      <c r="L173" s="2580" t="str">
        <f>IF(L99="","（9.5.1の採点により自動転記）",L99)</f>
        <v>（9.5.1の採点により自動転記）</v>
      </c>
      <c r="M173" s="2565"/>
      <c r="N173" s="2575">
        <f>IF(Z173="対象外","対象外",AL173)</f>
        <v>1</v>
      </c>
      <c r="O173" s="2599"/>
      <c r="Q173" s="2576" t="s">
        <v>428</v>
      </c>
      <c r="R173" s="2576" t="s">
        <v>1465</v>
      </c>
      <c r="S173" s="2576" t="s">
        <v>1616</v>
      </c>
      <c r="T173" s="2576" t="s">
        <v>1721</v>
      </c>
      <c r="U173" s="2576" t="s">
        <v>1619</v>
      </c>
      <c r="V173" s="2576" t="s">
        <v>385</v>
      </c>
      <c r="W173" s="2576" t="s">
        <v>1620</v>
      </c>
      <c r="X173" s="2576" t="s">
        <v>383</v>
      </c>
      <c r="Y173" s="2576" t="s">
        <v>1722</v>
      </c>
      <c r="Z173" s="2618" t="str">
        <f>IF(AG173="#DIV/0!","対象外",IF(AND($Q$4="〇",Q173&lt;&gt;"")+AND($R$4="〇",R173&lt;&gt;"")+AND($S$4="〇",S173&lt;&gt;"")+AND($T$4="〇",T173&lt;&gt;"")+AND($U$4="〇",U173&lt;&gt;"")+AND($V$4="〇",V173&lt;&gt;"")+AND($W$4="〇",W173&lt;&gt;"")+AND($X$4="〇",X173&lt;&gt;"")+AND($Y$4="〇",Y173&lt;&gt;"")=0,"対象外","対象"))</f>
        <v>対象</v>
      </c>
      <c r="AB173" s="2639">
        <f>AB99</f>
        <v>1</v>
      </c>
      <c r="AC173" s="2605"/>
      <c r="AD173" s="2635"/>
      <c r="AE173" s="2635"/>
      <c r="AF173" s="2635"/>
      <c r="AG173" s="2635"/>
      <c r="AH173" s="2636"/>
      <c r="AI173" s="2622">
        <f>IF(Z173="対象外","#DIV/0!",IF(AG173="",AB173,IF(AB173="",AG173,0)))</f>
        <v>1</v>
      </c>
      <c r="AJ173" s="2583">
        <f>AVERAGEIFS(AI173,AI173,"&lt;&gt;0",AI173,"&lt;&gt;#DIV/0!")</f>
        <v>1</v>
      </c>
      <c r="AK173" s="2624" t="b">
        <v>0</v>
      </c>
      <c r="AL173" s="2625">
        <f>IF(AK173=FALSE,AJ173,IF(AJ173=1,2,3))</f>
        <v>1</v>
      </c>
      <c r="AM173" s="2661"/>
    </row>
    <row r="174" spans="1:39" ht="30" customHeight="1">
      <c r="A174" s="3801"/>
      <c r="B174" s="3770" t="s">
        <v>3993</v>
      </c>
      <c r="C174" s="3740" t="s">
        <v>3994</v>
      </c>
      <c r="D174" s="2564" t="s">
        <v>3991</v>
      </c>
      <c r="E174" s="2565" t="s">
        <v>3795</v>
      </c>
      <c r="F174" s="2565" t="s">
        <v>3335</v>
      </c>
      <c r="G174" s="2571" t="s">
        <v>3382</v>
      </c>
      <c r="H174" s="2572" t="s">
        <v>3383</v>
      </c>
      <c r="I174" s="2573" t="str">
        <f t="shared" si="92"/>
        <v/>
      </c>
      <c r="J174" s="2573" t="str">
        <f t="shared" si="93"/>
        <v/>
      </c>
      <c r="K174" s="2573" t="str">
        <f t="shared" si="94"/>
        <v/>
      </c>
      <c r="L174" s="2580" t="str">
        <f>IF(L9="","（3.1.1の採点により自動転記）",L9)</f>
        <v>（3.1.1の採点により自動転記）</v>
      </c>
      <c r="M174" s="2565"/>
      <c r="N174" s="2575" t="str">
        <f t="shared" si="75"/>
        <v>対象外</v>
      </c>
      <c r="O174" s="2599"/>
      <c r="Q174" s="2576" t="s">
        <v>428</v>
      </c>
      <c r="R174" s="2576" t="s">
        <v>1465</v>
      </c>
      <c r="S174" s="2576" t="s">
        <v>1616</v>
      </c>
      <c r="T174" s="2576" t="s">
        <v>1721</v>
      </c>
      <c r="U174" s="2576" t="s">
        <v>1619</v>
      </c>
      <c r="V174" s="2576" t="s">
        <v>385</v>
      </c>
      <c r="W174" s="2576" t="s">
        <v>1620</v>
      </c>
      <c r="X174" s="2576" t="s">
        <v>383</v>
      </c>
      <c r="Y174" s="2576" t="s">
        <v>1722</v>
      </c>
      <c r="Z174" s="2618" t="str">
        <f t="shared" si="76"/>
        <v>対象外</v>
      </c>
      <c r="AB174" s="2635"/>
      <c r="AC174" s="2605"/>
      <c r="AD174" s="2620">
        <f>スコア!$Z$22</f>
        <v>0</v>
      </c>
      <c r="AE174" s="2620">
        <f>スコア!$AB$22</f>
        <v>0</v>
      </c>
      <c r="AF174" s="2621">
        <f t="shared" si="95"/>
        <v>0</v>
      </c>
      <c r="AG174" s="2622" t="str">
        <f t="shared" si="84"/>
        <v>#DIV/0!</v>
      </c>
      <c r="AH174" s="2623"/>
      <c r="AI174" s="2622" t="str">
        <f t="shared" si="77"/>
        <v>#DIV/0!</v>
      </c>
      <c r="AJ174" s="2583" t="e">
        <f t="shared" si="78"/>
        <v>#DIV/0!</v>
      </c>
      <c r="AK174" s="2624" t="b">
        <v>0</v>
      </c>
      <c r="AL174" s="2625" t="e">
        <f t="shared" si="91"/>
        <v>#DIV/0!</v>
      </c>
      <c r="AM174" s="2660">
        <f>AVERAGEIFS(AL174:AL177,AL174:AL177,"&lt;&gt;0",AL174:AL177,"&lt;&gt;#DIV/0!")</f>
        <v>2</v>
      </c>
    </row>
    <row r="175" spans="1:39" ht="30" customHeight="1">
      <c r="A175" s="3801"/>
      <c r="B175" s="3768"/>
      <c r="C175" s="3741"/>
      <c r="D175" s="2564" t="s">
        <v>3992</v>
      </c>
      <c r="E175" s="2565" t="s">
        <v>3796</v>
      </c>
      <c r="F175" s="2565" t="s">
        <v>3557</v>
      </c>
      <c r="G175" s="2571" t="s">
        <v>3382</v>
      </c>
      <c r="H175" s="2572" t="s">
        <v>3384</v>
      </c>
      <c r="I175" s="2573" t="str">
        <f t="shared" si="92"/>
        <v/>
      </c>
      <c r="J175" s="2573" t="str">
        <f t="shared" si="93"/>
        <v>●</v>
      </c>
      <c r="K175" s="2573" t="str">
        <f t="shared" si="94"/>
        <v/>
      </c>
      <c r="L175" s="2580" t="str">
        <f>IF(L10="","（3.1.2の採点により自動転記）",L10)</f>
        <v>（3.1.2の採点により自動転記）</v>
      </c>
      <c r="M175" s="2565"/>
      <c r="N175" s="2575">
        <f t="shared" si="75"/>
        <v>2</v>
      </c>
      <c r="O175" s="2599"/>
      <c r="Q175" s="2576" t="s">
        <v>428</v>
      </c>
      <c r="R175" s="2576" t="s">
        <v>1465</v>
      </c>
      <c r="S175" s="2576" t="s">
        <v>1616</v>
      </c>
      <c r="T175" s="2576" t="s">
        <v>1721</v>
      </c>
      <c r="U175" s="2576" t="s">
        <v>1619</v>
      </c>
      <c r="V175" s="2576" t="s">
        <v>385</v>
      </c>
      <c r="W175" s="2576" t="s">
        <v>1620</v>
      </c>
      <c r="X175" s="2576" t="s">
        <v>383</v>
      </c>
      <c r="Y175" s="2576" t="s">
        <v>1722</v>
      </c>
      <c r="Z175" s="2618" t="str">
        <f t="shared" si="76"/>
        <v>対象</v>
      </c>
      <c r="AB175" s="2635"/>
      <c r="AC175" s="2605"/>
      <c r="AD175" s="2620">
        <f>スコア!$Z$24</f>
        <v>3</v>
      </c>
      <c r="AE175" s="2620">
        <f>スコア!$AB$24</f>
        <v>3</v>
      </c>
      <c r="AF175" s="2621">
        <f t="shared" si="95"/>
        <v>3</v>
      </c>
      <c r="AG175" s="2622">
        <f t="shared" si="84"/>
        <v>2</v>
      </c>
      <c r="AH175" s="2623"/>
      <c r="AI175" s="2622">
        <f t="shared" si="77"/>
        <v>2</v>
      </c>
      <c r="AJ175" s="2642">
        <f t="shared" si="78"/>
        <v>2</v>
      </c>
      <c r="AK175" s="2684" t="b">
        <v>0</v>
      </c>
      <c r="AL175" s="2625">
        <f t="shared" si="91"/>
        <v>2</v>
      </c>
      <c r="AM175" s="2659"/>
    </row>
    <row r="176" spans="1:39" ht="30" customHeight="1">
      <c r="A176" s="3801"/>
      <c r="B176" s="3768"/>
      <c r="C176" s="3741"/>
      <c r="D176" s="3763" t="s">
        <v>3675</v>
      </c>
      <c r="E176" s="3765" t="s">
        <v>3340</v>
      </c>
      <c r="F176" s="2566" t="s">
        <v>3341</v>
      </c>
      <c r="G176" s="2576" t="s">
        <v>3385</v>
      </c>
      <c r="H176" s="2572" t="s">
        <v>3386</v>
      </c>
      <c r="I176" s="2573" t="str">
        <f t="shared" si="92"/>
        <v/>
      </c>
      <c r="J176" s="2573" t="str">
        <f t="shared" si="93"/>
        <v/>
      </c>
      <c r="K176" s="2573" t="str">
        <f t="shared" si="94"/>
        <v/>
      </c>
      <c r="L176" s="3766" t="str">
        <f>IF(L11="","（3.1.3の採点により自動転記）",L11)</f>
        <v>（3.1.3の採点により自動転記）</v>
      </c>
      <c r="M176" s="3736"/>
      <c r="N176" s="3738" t="str">
        <f>IF(AND(Z176="対象外",Z177="対象外"),"対象外",AL176)</f>
        <v>対象外</v>
      </c>
      <c r="O176" s="2599"/>
      <c r="Q176" s="2576" t="s">
        <v>428</v>
      </c>
      <c r="R176" s="2576"/>
      <c r="S176" s="2576" t="s">
        <v>1616</v>
      </c>
      <c r="T176" s="2576" t="s">
        <v>1721</v>
      </c>
      <c r="U176" s="2576" t="s">
        <v>1619</v>
      </c>
      <c r="V176" s="2576" t="s">
        <v>385</v>
      </c>
      <c r="W176" s="2576" t="s">
        <v>1620</v>
      </c>
      <c r="X176" s="2576" t="s">
        <v>383</v>
      </c>
      <c r="Y176" s="2576"/>
      <c r="Z176" s="2618" t="str">
        <f t="shared" si="76"/>
        <v>対象外</v>
      </c>
      <c r="AB176" s="2635"/>
      <c r="AC176" s="2605"/>
      <c r="AD176" s="2620">
        <f>スコア!$Z$25</f>
        <v>0</v>
      </c>
      <c r="AE176" s="2620">
        <f>スコア!$AB$25</f>
        <v>0</v>
      </c>
      <c r="AF176" s="2621">
        <f t="shared" si="95"/>
        <v>0</v>
      </c>
      <c r="AG176" s="2622" t="str">
        <f t="shared" si="84"/>
        <v>#DIV/0!</v>
      </c>
      <c r="AH176" s="2623"/>
      <c r="AI176" s="2647" t="str">
        <f t="shared" si="77"/>
        <v>#DIV/0!</v>
      </c>
      <c r="AJ176" s="2625" t="e">
        <f>AVERAGEIFS(AI176:AI177,AI176:AI177,"&lt;&gt;0",AI176:AI177,"&lt;&gt;#DIV/0!")</f>
        <v>#DIV/0!</v>
      </c>
      <c r="AK176" s="2679" t="b">
        <v>0</v>
      </c>
      <c r="AL176" s="2625" t="e">
        <f t="shared" si="91"/>
        <v>#DIV/0!</v>
      </c>
      <c r="AM176" s="2677"/>
    </row>
    <row r="177" spans="1:39" ht="30" customHeight="1">
      <c r="A177" s="3801"/>
      <c r="B177" s="3768"/>
      <c r="C177" s="3741"/>
      <c r="D177" s="3764"/>
      <c r="E177" s="3765"/>
      <c r="F177" s="2567" t="s">
        <v>3342</v>
      </c>
      <c r="G177" s="2571" t="s">
        <v>3382</v>
      </c>
      <c r="H177" s="2572" t="s">
        <v>3387</v>
      </c>
      <c r="I177" s="2573" t="str">
        <f t="shared" si="92"/>
        <v/>
      </c>
      <c r="J177" s="2573" t="str">
        <f t="shared" si="93"/>
        <v/>
      </c>
      <c r="K177" s="2573" t="str">
        <f t="shared" si="94"/>
        <v/>
      </c>
      <c r="L177" s="3767"/>
      <c r="M177" s="3737"/>
      <c r="N177" s="3739"/>
      <c r="O177" s="2599"/>
      <c r="Q177" s="2576" t="s">
        <v>428</v>
      </c>
      <c r="R177" s="2576" t="s">
        <v>1465</v>
      </c>
      <c r="S177" s="2576" t="s">
        <v>1616</v>
      </c>
      <c r="T177" s="2576" t="s">
        <v>1721</v>
      </c>
      <c r="U177" s="2576" t="s">
        <v>1619</v>
      </c>
      <c r="V177" s="2576" t="s">
        <v>385</v>
      </c>
      <c r="W177" s="2576" t="s">
        <v>1620</v>
      </c>
      <c r="X177" s="2576" t="s">
        <v>383</v>
      </c>
      <c r="Y177" s="2576" t="s">
        <v>1722</v>
      </c>
      <c r="Z177" s="2618" t="str">
        <f t="shared" si="76"/>
        <v>対象外</v>
      </c>
      <c r="AB177" s="2635"/>
      <c r="AC177" s="2605"/>
      <c r="AD177" s="2620">
        <f>スコア!$Z$31</f>
        <v>0</v>
      </c>
      <c r="AE177" s="2620">
        <f>スコア!$AB$31</f>
        <v>0</v>
      </c>
      <c r="AF177" s="2621">
        <f t="shared" si="95"/>
        <v>0</v>
      </c>
      <c r="AG177" s="2622" t="str">
        <f t="shared" si="84"/>
        <v>#DIV/0!</v>
      </c>
      <c r="AH177" s="2623"/>
      <c r="AI177" s="2647" t="str">
        <f t="shared" si="77"/>
        <v>#DIV/0!</v>
      </c>
      <c r="AJ177" s="2630"/>
      <c r="AK177" s="2681"/>
      <c r="AL177" s="2630"/>
      <c r="AM177" s="2677"/>
    </row>
    <row r="178" spans="1:39" ht="30" customHeight="1">
      <c r="A178" s="3801"/>
      <c r="B178" s="3770" t="s">
        <v>3995</v>
      </c>
      <c r="C178" s="3740" t="s">
        <v>3924</v>
      </c>
      <c r="D178" s="2564" t="s">
        <v>3996</v>
      </c>
      <c r="E178" s="2565" t="s">
        <v>3797</v>
      </c>
      <c r="F178" s="2565" t="s">
        <v>4063</v>
      </c>
      <c r="G178" s="2571" t="s">
        <v>3382</v>
      </c>
      <c r="H178" s="2572" t="s">
        <v>4062</v>
      </c>
      <c r="I178" s="2573" t="str">
        <f t="shared" ref="I178:I183" si="96">IF(AI178=1,"●","")</f>
        <v/>
      </c>
      <c r="J178" s="2573" t="str">
        <f t="shared" ref="J178:J183" si="97">IF(AI178=2,"●","")</f>
        <v>●</v>
      </c>
      <c r="K178" s="2573" t="str">
        <f t="shared" ref="K178:K183" si="98">IF(AI178=3,"●","")</f>
        <v/>
      </c>
      <c r="L178" s="2580" t="str">
        <f>IF(L93="","（9.4.1の採点により自動転記）",L93)</f>
        <v>（9.4.1の採点により自動転記）</v>
      </c>
      <c r="M178" s="2565"/>
      <c r="N178" s="2575">
        <f t="shared" ref="N178:N195" si="99">IF(Z178="対象外","対象外",AL178)</f>
        <v>2</v>
      </c>
      <c r="O178" s="2599"/>
      <c r="Q178" s="2576" t="s">
        <v>428</v>
      </c>
      <c r="R178" s="2576" t="s">
        <v>1465</v>
      </c>
      <c r="S178" s="2576" t="s">
        <v>1616</v>
      </c>
      <c r="T178" s="2576" t="s">
        <v>1721</v>
      </c>
      <c r="U178" s="2576" t="s">
        <v>1619</v>
      </c>
      <c r="V178" s="2576" t="s">
        <v>385</v>
      </c>
      <c r="W178" s="2576" t="s">
        <v>1620</v>
      </c>
      <c r="X178" s="2576" t="s">
        <v>383</v>
      </c>
      <c r="Y178" s="2576" t="s">
        <v>1722</v>
      </c>
      <c r="Z178" s="2618" t="str">
        <f t="shared" si="76"/>
        <v>対象</v>
      </c>
      <c r="AB178" s="2635"/>
      <c r="AC178" s="2605"/>
      <c r="AD178" s="2620">
        <f>スコア!$Z$79</f>
        <v>3.0000000000000004</v>
      </c>
      <c r="AE178" s="2620">
        <f>スコア!$AB$79</f>
        <v>0</v>
      </c>
      <c r="AF178" s="2621">
        <f t="shared" ref="AF178:AF183" si="100">IF(AE178=0,AD178,IF(AD178=0,AE178,AD178*$AD$6+AE178*$AE$6))</f>
        <v>3.0000000000000004</v>
      </c>
      <c r="AG178" s="2622">
        <f t="shared" si="84"/>
        <v>2</v>
      </c>
      <c r="AH178" s="2623"/>
      <c r="AI178" s="2622">
        <f t="shared" si="77"/>
        <v>2</v>
      </c>
      <c r="AJ178" s="2583">
        <f t="shared" si="78"/>
        <v>2</v>
      </c>
      <c r="AK178" s="2624" t="b">
        <v>0</v>
      </c>
      <c r="AL178" s="2625">
        <f t="shared" si="91"/>
        <v>2</v>
      </c>
      <c r="AM178" s="2660">
        <f>AVERAGEIFS(AL178:AL183,AL178:AL183,"&lt;&gt;0",AL178:AL183,"&lt;&gt;#DIV/0!")</f>
        <v>1.8333333333333333</v>
      </c>
    </row>
    <row r="179" spans="1:39" ht="30" customHeight="1">
      <c r="A179" s="3801"/>
      <c r="B179" s="3768"/>
      <c r="C179" s="3741"/>
      <c r="D179" s="2564" t="s">
        <v>3997</v>
      </c>
      <c r="E179" s="2565" t="s">
        <v>3965</v>
      </c>
      <c r="F179" s="2567" t="s">
        <v>3798</v>
      </c>
      <c r="G179" s="2571" t="s">
        <v>3382</v>
      </c>
      <c r="H179" s="2572" t="s">
        <v>3533</v>
      </c>
      <c r="I179" s="2573" t="str">
        <f t="shared" si="96"/>
        <v/>
      </c>
      <c r="J179" s="2573" t="str">
        <f t="shared" si="97"/>
        <v>●</v>
      </c>
      <c r="K179" s="2573" t="str">
        <f t="shared" si="98"/>
        <v/>
      </c>
      <c r="L179" s="2580" t="str">
        <f>IF(L94="","（9.4.2の採点により自動転記）",L94)</f>
        <v>（9.4.2の採点により自動転記）</v>
      </c>
      <c r="M179" s="2565"/>
      <c r="N179" s="2575">
        <f t="shared" si="99"/>
        <v>2</v>
      </c>
      <c r="O179" s="2599"/>
      <c r="Q179" s="2576" t="s">
        <v>428</v>
      </c>
      <c r="R179" s="2576" t="s">
        <v>1465</v>
      </c>
      <c r="S179" s="2576" t="s">
        <v>1616</v>
      </c>
      <c r="T179" s="2576" t="s">
        <v>1721</v>
      </c>
      <c r="U179" s="2576" t="s">
        <v>1619</v>
      </c>
      <c r="V179" s="2576" t="s">
        <v>385</v>
      </c>
      <c r="W179" s="2576" t="s">
        <v>1620</v>
      </c>
      <c r="X179" s="2576" t="s">
        <v>383</v>
      </c>
      <c r="Y179" s="2576" t="s">
        <v>1722</v>
      </c>
      <c r="Z179" s="2618" t="str">
        <f t="shared" si="76"/>
        <v>対象</v>
      </c>
      <c r="AB179" s="2635"/>
      <c r="AC179" s="2605"/>
      <c r="AD179" s="2620">
        <f>スコア!$Z$94</f>
        <v>3</v>
      </c>
      <c r="AE179" s="2620">
        <f>スコア!$AB$94</f>
        <v>0</v>
      </c>
      <c r="AF179" s="2621">
        <f t="shared" si="100"/>
        <v>3</v>
      </c>
      <c r="AG179" s="2622">
        <f t="shared" si="84"/>
        <v>2</v>
      </c>
      <c r="AH179" s="2623"/>
      <c r="AI179" s="2622">
        <f t="shared" si="77"/>
        <v>2</v>
      </c>
      <c r="AJ179" s="2583">
        <f t="shared" si="78"/>
        <v>2</v>
      </c>
      <c r="AK179" s="2624" t="b">
        <v>0</v>
      </c>
      <c r="AL179" s="2625">
        <f t="shared" si="91"/>
        <v>2</v>
      </c>
      <c r="AM179" s="2665"/>
    </row>
    <row r="180" spans="1:39" ht="30" customHeight="1">
      <c r="A180" s="3801"/>
      <c r="B180" s="3768"/>
      <c r="C180" s="3741"/>
      <c r="D180" s="2564" t="s">
        <v>3998</v>
      </c>
      <c r="E180" s="2565" t="s">
        <v>3966</v>
      </c>
      <c r="F180" s="2567" t="s">
        <v>3452</v>
      </c>
      <c r="G180" s="2571" t="s">
        <v>3382</v>
      </c>
      <c r="H180" s="2572" t="s">
        <v>3534</v>
      </c>
      <c r="I180" s="2573" t="str">
        <f t="shared" si="96"/>
        <v/>
      </c>
      <c r="J180" s="2573" t="str">
        <f t="shared" si="97"/>
        <v>●</v>
      </c>
      <c r="K180" s="2573" t="str">
        <f t="shared" si="98"/>
        <v/>
      </c>
      <c r="L180" s="2580" t="str">
        <f>IF(L55="","（6.7.1の採点により自動転記）",L55)</f>
        <v>（6.7.1の採点により自動転記）</v>
      </c>
      <c r="M180" s="2565"/>
      <c r="N180" s="2575">
        <f t="shared" si="99"/>
        <v>2</v>
      </c>
      <c r="O180" s="2599"/>
      <c r="Q180" s="2576" t="s">
        <v>428</v>
      </c>
      <c r="R180" s="2576" t="s">
        <v>1465</v>
      </c>
      <c r="S180" s="2576" t="s">
        <v>1616</v>
      </c>
      <c r="T180" s="2576" t="s">
        <v>1721</v>
      </c>
      <c r="U180" s="2576" t="s">
        <v>1619</v>
      </c>
      <c r="V180" s="2576" t="s">
        <v>385</v>
      </c>
      <c r="W180" s="2576" t="s">
        <v>1620</v>
      </c>
      <c r="X180" s="2576" t="s">
        <v>383</v>
      </c>
      <c r="Y180" s="2576" t="s">
        <v>1722</v>
      </c>
      <c r="Z180" s="2618" t="str">
        <f t="shared" si="76"/>
        <v>対象</v>
      </c>
      <c r="AB180" s="2635"/>
      <c r="AC180" s="2605"/>
      <c r="AD180" s="2620">
        <f>スコア!$Z$95</f>
        <v>2</v>
      </c>
      <c r="AE180" s="2620">
        <f>スコア!$AB$95</f>
        <v>0</v>
      </c>
      <c r="AF180" s="2621">
        <f t="shared" si="100"/>
        <v>2</v>
      </c>
      <c r="AG180" s="2622">
        <f t="shared" si="84"/>
        <v>2</v>
      </c>
      <c r="AH180" s="2623"/>
      <c r="AI180" s="2622">
        <f t="shared" si="77"/>
        <v>2</v>
      </c>
      <c r="AJ180" s="2583">
        <f t="shared" si="78"/>
        <v>2</v>
      </c>
      <c r="AK180" s="2624" t="b">
        <v>0</v>
      </c>
      <c r="AL180" s="2625">
        <f t="shared" si="91"/>
        <v>2</v>
      </c>
      <c r="AM180" s="2665"/>
    </row>
    <row r="181" spans="1:39" ht="30" customHeight="1">
      <c r="A181" s="3801"/>
      <c r="B181" s="3768"/>
      <c r="C181" s="3741"/>
      <c r="D181" s="2564" t="s">
        <v>3999</v>
      </c>
      <c r="E181" s="2565" t="s">
        <v>3967</v>
      </c>
      <c r="F181" s="2567" t="s">
        <v>3535</v>
      </c>
      <c r="G181" s="2571" t="s">
        <v>3382</v>
      </c>
      <c r="H181" s="2572" t="s">
        <v>3536</v>
      </c>
      <c r="I181" s="2573" t="str">
        <f t="shared" si="96"/>
        <v/>
      </c>
      <c r="J181" s="2573" t="str">
        <f t="shared" si="97"/>
        <v>●</v>
      </c>
      <c r="K181" s="2573" t="str">
        <f t="shared" si="98"/>
        <v/>
      </c>
      <c r="L181" s="2580" t="str">
        <f>IF(L63="","（7.6.1の採点により自動転記）",L63)</f>
        <v>（7.6.1の採点により自動転記）</v>
      </c>
      <c r="M181" s="2565"/>
      <c r="N181" s="2575">
        <f t="shared" si="99"/>
        <v>2</v>
      </c>
      <c r="O181" s="2599"/>
      <c r="Q181" s="2576" t="s">
        <v>428</v>
      </c>
      <c r="R181" s="2576" t="s">
        <v>1465</v>
      </c>
      <c r="S181" s="2576" t="s">
        <v>1616</v>
      </c>
      <c r="T181" s="2576" t="s">
        <v>1721</v>
      </c>
      <c r="U181" s="2576" t="s">
        <v>1619</v>
      </c>
      <c r="V181" s="2576" t="s">
        <v>385</v>
      </c>
      <c r="W181" s="2576" t="s">
        <v>1620</v>
      </c>
      <c r="X181" s="2576" t="s">
        <v>383</v>
      </c>
      <c r="Y181" s="2576" t="s">
        <v>1722</v>
      </c>
      <c r="Z181" s="2618" t="str">
        <f t="shared" si="76"/>
        <v>対象</v>
      </c>
      <c r="AB181" s="2635"/>
      <c r="AC181" s="2605"/>
      <c r="AD181" s="2620">
        <f>スコア!$Z$96</f>
        <v>3</v>
      </c>
      <c r="AE181" s="2620">
        <f>スコア!$AB$96</f>
        <v>0</v>
      </c>
      <c r="AF181" s="2621">
        <f t="shared" si="100"/>
        <v>3</v>
      </c>
      <c r="AG181" s="2622">
        <f t="shared" si="84"/>
        <v>2</v>
      </c>
      <c r="AH181" s="2623"/>
      <c r="AI181" s="2622">
        <f t="shared" si="77"/>
        <v>2</v>
      </c>
      <c r="AJ181" s="2583">
        <f t="shared" si="78"/>
        <v>2</v>
      </c>
      <c r="AK181" s="2624" t="b">
        <v>0</v>
      </c>
      <c r="AL181" s="2625">
        <f t="shared" si="91"/>
        <v>2</v>
      </c>
      <c r="AM181" s="2665"/>
    </row>
    <row r="182" spans="1:39" ht="30" customHeight="1">
      <c r="A182" s="3801"/>
      <c r="B182" s="3768"/>
      <c r="C182" s="3741"/>
      <c r="D182" s="2564" t="s">
        <v>4000</v>
      </c>
      <c r="E182" s="2565" t="s">
        <v>3968</v>
      </c>
      <c r="F182" s="2565" t="s">
        <v>3799</v>
      </c>
      <c r="G182" s="2571" t="s">
        <v>3382</v>
      </c>
      <c r="H182" s="2572" t="s">
        <v>3814</v>
      </c>
      <c r="I182" s="2573" t="str">
        <f t="shared" si="96"/>
        <v/>
      </c>
      <c r="J182" s="2573" t="str">
        <f t="shared" si="97"/>
        <v>●</v>
      </c>
      <c r="K182" s="2573" t="str">
        <f t="shared" si="98"/>
        <v/>
      </c>
      <c r="L182" s="2580" t="str">
        <f>IF(L97="","（9.4.5の採点により自動転記）",L97)</f>
        <v>（9.4.5の採点により自動転記）</v>
      </c>
      <c r="M182" s="2565"/>
      <c r="N182" s="2575">
        <f t="shared" si="99"/>
        <v>2</v>
      </c>
      <c r="O182" s="2599"/>
      <c r="Q182" s="2576" t="s">
        <v>428</v>
      </c>
      <c r="R182" s="2576" t="s">
        <v>1465</v>
      </c>
      <c r="S182" s="2576" t="s">
        <v>1616</v>
      </c>
      <c r="T182" s="2576" t="s">
        <v>1721</v>
      </c>
      <c r="U182" s="2576" t="s">
        <v>1619</v>
      </c>
      <c r="V182" s="2576" t="s">
        <v>385</v>
      </c>
      <c r="W182" s="2576" t="s">
        <v>1620</v>
      </c>
      <c r="X182" s="2576" t="s">
        <v>383</v>
      </c>
      <c r="Y182" s="2576" t="s">
        <v>1722</v>
      </c>
      <c r="Z182" s="2618" t="str">
        <f t="shared" si="76"/>
        <v>対象</v>
      </c>
      <c r="AB182" s="2635"/>
      <c r="AC182" s="2605"/>
      <c r="AD182" s="2620">
        <f>スコア!$Z$97</f>
        <v>3</v>
      </c>
      <c r="AE182" s="2620">
        <f>スコア!$AB$97</f>
        <v>0</v>
      </c>
      <c r="AF182" s="2621">
        <f t="shared" si="100"/>
        <v>3</v>
      </c>
      <c r="AG182" s="2622">
        <f t="shared" si="84"/>
        <v>2</v>
      </c>
      <c r="AH182" s="2623"/>
      <c r="AI182" s="2622">
        <f t="shared" si="77"/>
        <v>2</v>
      </c>
      <c r="AJ182" s="2583">
        <f t="shared" si="78"/>
        <v>2</v>
      </c>
      <c r="AK182" s="2624" t="b">
        <v>0</v>
      </c>
      <c r="AL182" s="2625">
        <f t="shared" si="91"/>
        <v>2</v>
      </c>
      <c r="AM182" s="2665"/>
    </row>
    <row r="183" spans="1:39" ht="30" customHeight="1">
      <c r="A183" s="3801"/>
      <c r="B183" s="3768"/>
      <c r="C183" s="3741"/>
      <c r="D183" s="2564" t="s">
        <v>4001</v>
      </c>
      <c r="E183" s="2565" t="s">
        <v>3969</v>
      </c>
      <c r="F183" s="2565" t="s">
        <v>3800</v>
      </c>
      <c r="G183" s="2571" t="s">
        <v>3382</v>
      </c>
      <c r="H183" s="2572" t="s">
        <v>3815</v>
      </c>
      <c r="I183" s="2573" t="str">
        <f t="shared" si="96"/>
        <v>●</v>
      </c>
      <c r="J183" s="2573" t="str">
        <f t="shared" si="97"/>
        <v/>
      </c>
      <c r="K183" s="2573" t="str">
        <f t="shared" si="98"/>
        <v/>
      </c>
      <c r="L183" s="2580" t="str">
        <f>IF(L98="","（9.4.6の採点により自動転記）",L98)</f>
        <v>（9.4.6の採点により自動転記）</v>
      </c>
      <c r="M183" s="2565"/>
      <c r="N183" s="2575">
        <f t="shared" si="99"/>
        <v>1</v>
      </c>
      <c r="O183" s="2599"/>
      <c r="Q183" s="2576" t="s">
        <v>428</v>
      </c>
      <c r="R183" s="2576" t="s">
        <v>1465</v>
      </c>
      <c r="S183" s="2576" t="s">
        <v>1616</v>
      </c>
      <c r="T183" s="2576" t="s">
        <v>1721</v>
      </c>
      <c r="U183" s="2576" t="s">
        <v>1619</v>
      </c>
      <c r="V183" s="2576" t="s">
        <v>385</v>
      </c>
      <c r="W183" s="2576" t="s">
        <v>1620</v>
      </c>
      <c r="X183" s="2576" t="s">
        <v>383</v>
      </c>
      <c r="Y183" s="2576" t="s">
        <v>1722</v>
      </c>
      <c r="Z183" s="2618" t="str">
        <f t="shared" si="76"/>
        <v>対象</v>
      </c>
      <c r="AB183" s="2635"/>
      <c r="AC183" s="2605"/>
      <c r="AD183" s="2620">
        <f>スコア!$Z$98</f>
        <v>1</v>
      </c>
      <c r="AE183" s="2620">
        <f>スコア!$AB$98</f>
        <v>0</v>
      </c>
      <c r="AF183" s="2621">
        <f t="shared" si="100"/>
        <v>1</v>
      </c>
      <c r="AG183" s="2622">
        <f t="shared" si="84"/>
        <v>1</v>
      </c>
      <c r="AH183" s="2623"/>
      <c r="AI183" s="2622">
        <f t="shared" si="77"/>
        <v>1</v>
      </c>
      <c r="AJ183" s="2583">
        <f t="shared" si="78"/>
        <v>1</v>
      </c>
      <c r="AK183" s="2624" t="b">
        <v>0</v>
      </c>
      <c r="AL183" s="2625">
        <f t="shared" si="91"/>
        <v>1</v>
      </c>
      <c r="AM183" s="2665"/>
    </row>
    <row r="184" spans="1:39" ht="107.25" customHeight="1">
      <c r="A184" s="2587" t="s">
        <v>3552</v>
      </c>
      <c r="B184" s="2560" t="s">
        <v>3676</v>
      </c>
      <c r="C184" s="2705"/>
      <c r="D184" s="2705"/>
      <c r="E184" s="2705"/>
      <c r="F184" s="2711"/>
      <c r="G184" s="2712"/>
      <c r="H184" s="2713"/>
      <c r="I184" s="2561"/>
      <c r="J184" s="2561"/>
      <c r="K184" s="2561"/>
      <c r="L184" s="2714"/>
      <c r="M184" s="2715"/>
      <c r="N184" s="2710"/>
      <c r="O184" s="2599"/>
      <c r="Q184" s="2794"/>
      <c r="R184" s="2795"/>
      <c r="S184" s="2795"/>
      <c r="T184" s="2795"/>
      <c r="U184" s="2795"/>
      <c r="V184" s="2795"/>
      <c r="W184" s="2795"/>
      <c r="X184" s="2796"/>
      <c r="Y184" s="2796"/>
      <c r="Z184" s="2562"/>
      <c r="AB184" s="2722"/>
      <c r="AD184" s="2723"/>
      <c r="AE184" s="2724"/>
      <c r="AF184" s="2724"/>
      <c r="AG184" s="2725"/>
      <c r="AH184" s="2604"/>
      <c r="AI184" s="2718"/>
      <c r="AJ184" s="2724"/>
      <c r="AK184" s="2726"/>
      <c r="AL184" s="2724"/>
      <c r="AM184" s="2725"/>
    </row>
    <row r="185" spans="1:39" ht="54.75" customHeight="1">
      <c r="A185" s="3802" t="s">
        <v>3553</v>
      </c>
      <c r="B185" s="2568" t="s">
        <v>3677</v>
      </c>
      <c r="C185" s="2591" t="s">
        <v>4002</v>
      </c>
      <c r="D185" s="2564" t="s">
        <v>3678</v>
      </c>
      <c r="E185" s="2565" t="s">
        <v>3802</v>
      </c>
      <c r="F185" s="2565" t="s">
        <v>4075</v>
      </c>
      <c r="G185" s="2571" t="s">
        <v>3382</v>
      </c>
      <c r="H185" s="2572" t="s">
        <v>3589</v>
      </c>
      <c r="I185" s="2573" t="str">
        <f>IF(AI185=1,"●","")</f>
        <v>●</v>
      </c>
      <c r="J185" s="2573" t="str">
        <f>IF(AI185=2,"●","")</f>
        <v/>
      </c>
      <c r="K185" s="2573" t="str">
        <f>IF(AI185=3,"●","")</f>
        <v/>
      </c>
      <c r="L185" s="2589"/>
      <c r="M185" s="2565"/>
      <c r="N185" s="2575">
        <f t="shared" si="99"/>
        <v>1</v>
      </c>
      <c r="O185" s="2599"/>
      <c r="Q185" s="2576" t="s">
        <v>428</v>
      </c>
      <c r="R185" s="2576" t="s">
        <v>1465</v>
      </c>
      <c r="S185" s="2576" t="s">
        <v>1616</v>
      </c>
      <c r="T185" s="2576" t="s">
        <v>1721</v>
      </c>
      <c r="U185" s="2576" t="s">
        <v>1619</v>
      </c>
      <c r="V185" s="2576" t="s">
        <v>385</v>
      </c>
      <c r="W185" s="2576" t="s">
        <v>1620</v>
      </c>
      <c r="X185" s="2576" t="s">
        <v>383</v>
      </c>
      <c r="Y185" s="2576" t="s">
        <v>1722</v>
      </c>
      <c r="Z185" s="2618" t="str">
        <f t="shared" si="76"/>
        <v>対象</v>
      </c>
      <c r="AB185" s="2635"/>
      <c r="AC185" s="2605"/>
      <c r="AD185" s="2620">
        <f>スコア!$Z$113</f>
        <v>1</v>
      </c>
      <c r="AE185" s="2620">
        <f>スコア!$AB$113</f>
        <v>0</v>
      </c>
      <c r="AF185" s="2621">
        <f>IF(AE185=0,AD185,IF(AD185=0,AE185,AD185*$AD$6+AE185*$AE$6))</f>
        <v>1</v>
      </c>
      <c r="AG185" s="2622">
        <f>IF(AF185=0,"#DIV/0!",IF(AF185&lt;2,1,IF(AF185&lt;4,2,3)))</f>
        <v>1</v>
      </c>
      <c r="AH185" s="2623"/>
      <c r="AI185" s="2622">
        <f>IF(Z185="対象外","#DIV/0!",IF(AG185="",AB185,IF(AB185="",AG185,0)))</f>
        <v>1</v>
      </c>
      <c r="AJ185" s="2583">
        <f>AVERAGEIFS(AI185,AI185,"&lt;&gt;0",AI185,"&lt;&gt;#DIV/0!")</f>
        <v>1</v>
      </c>
      <c r="AK185" s="2683" t="b">
        <v>0</v>
      </c>
      <c r="AL185" s="2625">
        <f>IF(AK185=FALSE,AJ185,IF(AJ185=1,2,3))</f>
        <v>1</v>
      </c>
      <c r="AM185" s="2621">
        <f>AVERAGEIFS(AL185,AL185,"&lt;&gt;0",AL185,"&lt;&gt;#DIV/0!")</f>
        <v>1</v>
      </c>
    </row>
    <row r="186" spans="1:39" ht="63.75" customHeight="1">
      <c r="A186" s="3802"/>
      <c r="B186" s="2568" t="s">
        <v>3679</v>
      </c>
      <c r="C186" s="2569" t="s">
        <v>4003</v>
      </c>
      <c r="D186" s="2564" t="s">
        <v>3680</v>
      </c>
      <c r="E186" s="2565" t="s">
        <v>3445</v>
      </c>
      <c r="F186" s="2565" t="s">
        <v>4060</v>
      </c>
      <c r="G186" s="2571" t="s">
        <v>3382</v>
      </c>
      <c r="H186" s="2789" t="s">
        <v>3398</v>
      </c>
      <c r="I186" s="2573" t="str">
        <f>IF(AI186=1,"●","")</f>
        <v>●</v>
      </c>
      <c r="J186" s="2573" t="str">
        <f>IF(AI186=2,"●","")</f>
        <v/>
      </c>
      <c r="K186" s="2573" t="str">
        <f>IF(AI186=3,"●","")</f>
        <v/>
      </c>
      <c r="L186" s="2589" t="str">
        <f>IF(L52="","（6.4.1の採点により自動転記）",L52)</f>
        <v>（6.4.1の採点により自動転記）</v>
      </c>
      <c r="M186" s="2565"/>
      <c r="N186" s="2575">
        <f t="shared" si="99"/>
        <v>1</v>
      </c>
      <c r="O186" s="2599"/>
      <c r="Q186" s="2576" t="s">
        <v>428</v>
      </c>
      <c r="R186" s="2576" t="s">
        <v>1465</v>
      </c>
      <c r="S186" s="2576" t="s">
        <v>1616</v>
      </c>
      <c r="T186" s="2576" t="s">
        <v>1721</v>
      </c>
      <c r="U186" s="2576" t="s">
        <v>1619</v>
      </c>
      <c r="V186" s="2576" t="s">
        <v>385</v>
      </c>
      <c r="W186" s="2576" t="s">
        <v>1620</v>
      </c>
      <c r="X186" s="2576" t="s">
        <v>383</v>
      </c>
      <c r="Y186" s="2576" t="s">
        <v>1722</v>
      </c>
      <c r="Z186" s="2618" t="str">
        <f t="shared" si="76"/>
        <v>対象</v>
      </c>
      <c r="AB186" s="2639">
        <f>AB51</f>
        <v>1</v>
      </c>
      <c r="AC186" s="2605"/>
      <c r="AD186" s="2635"/>
      <c r="AE186" s="2635"/>
      <c r="AF186" s="2635"/>
      <c r="AG186" s="2635"/>
      <c r="AH186" s="2636"/>
      <c r="AI186" s="2622">
        <f>IF(Z186="対象外","#DIV/0!",IF(AG186="",AB186,IF(AB186="",AG186,0)))</f>
        <v>1</v>
      </c>
      <c r="AJ186" s="2583">
        <f>AVERAGEIFS(AI186,AI186,"&lt;&gt;0",AI186,"&lt;&gt;#DIV/0!")</f>
        <v>1</v>
      </c>
      <c r="AK186" s="2683" t="b">
        <v>0</v>
      </c>
      <c r="AL186" s="2625">
        <f>IF(AK186=FALSE,AJ186,IF(AJ186=1,2,3))</f>
        <v>1</v>
      </c>
      <c r="AM186" s="2621">
        <f>AVERAGEIFS(AL186,AL186,"&lt;&gt;0",AL186,"&lt;&gt;#DIV/0!")</f>
        <v>1</v>
      </c>
    </row>
    <row r="187" spans="1:39" ht="30" customHeight="1">
      <c r="A187" s="3802"/>
      <c r="B187" s="3770" t="s">
        <v>3681</v>
      </c>
      <c r="C187" s="3803" t="s">
        <v>4004</v>
      </c>
      <c r="D187" s="2564" t="s">
        <v>3682</v>
      </c>
      <c r="E187" s="2565" t="s">
        <v>3803</v>
      </c>
      <c r="F187" s="2567" t="s">
        <v>3683</v>
      </c>
      <c r="G187" s="2571" t="s">
        <v>3382</v>
      </c>
      <c r="H187" s="2572" t="s">
        <v>3684</v>
      </c>
      <c r="I187" s="2573" t="str">
        <f>IF(AI187=1,"●","")</f>
        <v/>
      </c>
      <c r="J187" s="2573" t="str">
        <f>IF(AI187=2,"●","")</f>
        <v>●</v>
      </c>
      <c r="K187" s="2573" t="str">
        <f>IF(AI187=3,"●","")</f>
        <v/>
      </c>
      <c r="L187" s="2592" t="str">
        <f>IF(L77="","（8.3.5の採点により自動転記）",L77)</f>
        <v>（8.3.5の採点により自動転記）</v>
      </c>
      <c r="M187" s="2565"/>
      <c r="N187" s="2575">
        <f t="shared" si="99"/>
        <v>2</v>
      </c>
      <c r="O187" s="2599"/>
      <c r="Q187" s="2576" t="s">
        <v>428</v>
      </c>
      <c r="R187" s="2576" t="s">
        <v>1465</v>
      </c>
      <c r="S187" s="2576" t="s">
        <v>1616</v>
      </c>
      <c r="T187" s="2576" t="s">
        <v>1721</v>
      </c>
      <c r="U187" s="2576" t="s">
        <v>1619</v>
      </c>
      <c r="V187" s="2576" t="s">
        <v>385</v>
      </c>
      <c r="W187" s="2576" t="s">
        <v>1620</v>
      </c>
      <c r="X187" s="2576" t="s">
        <v>383</v>
      </c>
      <c r="Y187" s="2576" t="s">
        <v>1722</v>
      </c>
      <c r="Z187" s="2618" t="str">
        <f t="shared" si="76"/>
        <v>対象</v>
      </c>
      <c r="AB187" s="2635"/>
      <c r="AC187" s="2605"/>
      <c r="AD187" s="2620">
        <f>スコア!$Z$156</f>
        <v>3</v>
      </c>
      <c r="AE187" s="2620">
        <f>スコア!$AB$156</f>
        <v>0</v>
      </c>
      <c r="AF187" s="2621">
        <f>IF(AE187=0,AD187,IF(AD187=0,AE187,AD187*$AD$6+AE187*$AE$6))</f>
        <v>3</v>
      </c>
      <c r="AG187" s="2622">
        <f>IF(AF187=0,"#DIV/0!",IF(AF187&lt;2,1,IF(AF187&lt;4,2,3)))</f>
        <v>2</v>
      </c>
      <c r="AH187" s="2623"/>
      <c r="AI187" s="2622">
        <f>IF(Z187="対象外","#DIV/0!",IF(AG187="",AB187,IF(AB187="",AG187,0)))</f>
        <v>2</v>
      </c>
      <c r="AJ187" s="2583">
        <f>AVERAGEIFS(AI187,AI187,"&lt;&gt;0",AI187,"&lt;&gt;#DIV/0!")</f>
        <v>2</v>
      </c>
      <c r="AK187" s="2683" t="b">
        <v>0</v>
      </c>
      <c r="AL187" s="2625">
        <f>IF(AK187=FALSE,AJ187,IF(AJ187=1,2,3))</f>
        <v>2</v>
      </c>
      <c r="AM187" s="2621">
        <f>AVERAGEIFS(AL187:AL188,AL187:AL188,"&lt;&gt;0",AL187:AL188,"&lt;&gt;#DIV/0!")</f>
        <v>1.5</v>
      </c>
    </row>
    <row r="188" spans="1:39" ht="30" customHeight="1">
      <c r="A188" s="3802"/>
      <c r="B188" s="3769"/>
      <c r="C188" s="3804"/>
      <c r="D188" s="2564" t="s">
        <v>4009</v>
      </c>
      <c r="E188" s="2565" t="s">
        <v>3972</v>
      </c>
      <c r="F188" s="2565" t="s">
        <v>3919</v>
      </c>
      <c r="G188" s="2571" t="s">
        <v>3382</v>
      </c>
      <c r="H188" s="2572" t="s">
        <v>4069</v>
      </c>
      <c r="I188" s="2573" t="str">
        <f t="shared" ref="I188" si="101">IF(AI188=1,"●","")</f>
        <v>●</v>
      </c>
      <c r="J188" s="2573" t="str">
        <f t="shared" ref="J188" si="102">IF(AI188=2,"●","")</f>
        <v/>
      </c>
      <c r="K188" s="2573" t="str">
        <f t="shared" ref="K188" si="103">IF(AI188=3,"●","")</f>
        <v/>
      </c>
      <c r="L188" s="2785" t="str">
        <f>IF(L87="","（8.5.1の採点により自動転記）",L87)</f>
        <v>（8.5.1の採点により自動転記）</v>
      </c>
      <c r="M188" s="2565"/>
      <c r="N188" s="2575">
        <f t="shared" si="99"/>
        <v>1</v>
      </c>
      <c r="O188" s="2599"/>
      <c r="Q188" s="2576" t="s">
        <v>428</v>
      </c>
      <c r="R188" s="2576" t="s">
        <v>1465</v>
      </c>
      <c r="S188" s="2576" t="s">
        <v>1616</v>
      </c>
      <c r="T188" s="2576" t="s">
        <v>1721</v>
      </c>
      <c r="U188" s="2576" t="s">
        <v>1619</v>
      </c>
      <c r="V188" s="2576" t="s">
        <v>385</v>
      </c>
      <c r="W188" s="2576" t="s">
        <v>1620</v>
      </c>
      <c r="X188" s="2576" t="s">
        <v>383</v>
      </c>
      <c r="Y188" s="2576" t="s">
        <v>1722</v>
      </c>
      <c r="Z188" s="2618" t="str">
        <f>IF(AG188="#DIV/0!","対象外",IF(AND($Q$4="〇",Q188&lt;&gt;"")+AND($R$4="〇",R188&lt;&gt;"")+AND($S$4="〇",S188&lt;&gt;"")+AND($T$4="〇",T188&lt;&gt;"")+AND($U$4="〇",U188&lt;&gt;"")+AND($V$4="〇",V188&lt;&gt;"")+AND($W$4="〇",W188&lt;&gt;"")+AND($X$4="〇",X188&lt;&gt;"")+AND($Y$4="〇",Y188&lt;&gt;"")=0,"対象外","対象"))</f>
        <v>対象</v>
      </c>
      <c r="AB188" s="2635"/>
      <c r="AC188" s="2605"/>
      <c r="AD188" s="2620">
        <f>IF(SUM(VALUE(採点Q3!G58)+VALUE(採点Q3!G77))=0,1,5)</f>
        <v>1</v>
      </c>
      <c r="AE188" s="2635"/>
      <c r="AF188" s="2621">
        <f t="shared" ref="AF188" si="104">IF(AE188=0,AD188,IF(AD188=0,AE188,AD188*$AD$6+AE188*$AE$6))</f>
        <v>1</v>
      </c>
      <c r="AG188" s="2622">
        <f>IF(AF188=0,"#DIV/0!",IF(AF188&lt;2,1,IF(AF188&lt;4,2,3)))</f>
        <v>1</v>
      </c>
      <c r="AH188" s="2623"/>
      <c r="AI188" s="2622">
        <f>IF(Z188="対象外","#DIV/0!",IF(AG188="",AB188,IF(AB188="",AG188,0)))</f>
        <v>1</v>
      </c>
      <c r="AJ188" s="2583">
        <f>AVERAGEIFS(AI188,AI188,"&lt;&gt;0",AI188,"&lt;&gt;#DIV/0!")</f>
        <v>1</v>
      </c>
      <c r="AK188" s="2638" t="b">
        <v>0</v>
      </c>
      <c r="AL188" s="2625">
        <f>IF(AK188=FALSE,AJ188,IF(AJ188=1,2,3))</f>
        <v>1</v>
      </c>
      <c r="AM188" s="2659"/>
    </row>
    <row r="189" spans="1:39" ht="30" customHeight="1">
      <c r="A189" s="3802"/>
      <c r="B189" s="2568" t="s">
        <v>3685</v>
      </c>
      <c r="C189" s="2569" t="s">
        <v>3686</v>
      </c>
      <c r="D189" s="2564" t="s">
        <v>3687</v>
      </c>
      <c r="E189" s="2565" t="s">
        <v>3804</v>
      </c>
      <c r="F189" s="2567" t="s">
        <v>3688</v>
      </c>
      <c r="G189" s="2571" t="s">
        <v>3382</v>
      </c>
      <c r="H189" s="2789" t="s">
        <v>3398</v>
      </c>
      <c r="I189" s="2567"/>
      <c r="J189" s="2567"/>
      <c r="K189" s="2567"/>
      <c r="L189" s="2578"/>
      <c r="M189" s="2565"/>
      <c r="N189" s="2575">
        <f t="shared" si="99"/>
        <v>1</v>
      </c>
      <c r="O189" s="2599"/>
      <c r="Q189" s="2576" t="s">
        <v>428</v>
      </c>
      <c r="R189" s="2576" t="s">
        <v>1465</v>
      </c>
      <c r="S189" s="2576" t="s">
        <v>1616</v>
      </c>
      <c r="T189" s="2576" t="s">
        <v>1721</v>
      </c>
      <c r="U189" s="2576" t="s">
        <v>1619</v>
      </c>
      <c r="V189" s="2576" t="s">
        <v>385</v>
      </c>
      <c r="W189" s="2576" t="s">
        <v>1620</v>
      </c>
      <c r="X189" s="2576" t="s">
        <v>383</v>
      </c>
      <c r="Y189" s="2576" t="s">
        <v>1722</v>
      </c>
      <c r="Z189" s="2618" t="str">
        <f t="shared" si="76"/>
        <v>対象</v>
      </c>
      <c r="AB189" s="2639">
        <v>1</v>
      </c>
      <c r="AC189" s="2605"/>
      <c r="AD189" s="2635"/>
      <c r="AE189" s="2635"/>
      <c r="AF189" s="2635"/>
      <c r="AG189" s="2635"/>
      <c r="AH189" s="2623"/>
      <c r="AI189" s="2622">
        <f>IF(Z189="対象外","#DIV/0!",IF(AG189="",AB189,IF(AB189="",AG189,0)))</f>
        <v>1</v>
      </c>
      <c r="AJ189" s="2583">
        <f>AVERAGEIFS(AI189,AI189,"&lt;&gt;0",AI189,"&lt;&gt;#DIV/0!")</f>
        <v>1</v>
      </c>
      <c r="AK189" s="2689" t="b">
        <v>0</v>
      </c>
      <c r="AL189" s="2625">
        <f>IF(AK189=FALSE,AJ189,IF(AJ189=1,2,3))</f>
        <v>1</v>
      </c>
      <c r="AM189" s="2646">
        <f>AVERAGEIFS(AL189,AL189,"&lt;&gt;0",AL189,"&lt;&gt;#DIV/0!")</f>
        <v>1</v>
      </c>
    </row>
    <row r="190" spans="1:39" ht="108" customHeight="1">
      <c r="A190" s="2588" t="s">
        <v>3554</v>
      </c>
      <c r="B190" s="2560" t="s">
        <v>3689</v>
      </c>
      <c r="C190" s="2705"/>
      <c r="D190" s="2705"/>
      <c r="E190" s="2705"/>
      <c r="F190" s="2706"/>
      <c r="G190" s="2707"/>
      <c r="H190" s="2708"/>
      <c r="I190" s="2706"/>
      <c r="J190" s="2706"/>
      <c r="K190" s="2706"/>
      <c r="L190" s="2709"/>
      <c r="M190" s="2706"/>
      <c r="N190" s="2710"/>
      <c r="O190" s="2599"/>
      <c r="Q190" s="2797"/>
      <c r="R190" s="2796"/>
      <c r="S190" s="2796"/>
      <c r="T190" s="2796"/>
      <c r="U190" s="2796"/>
      <c r="V190" s="2796"/>
      <c r="W190" s="2796"/>
      <c r="X190" s="2796"/>
      <c r="Y190" s="2796"/>
      <c r="Z190" s="2562"/>
      <c r="AB190" s="2721"/>
      <c r="AD190" s="2719"/>
      <c r="AE190" s="2706"/>
      <c r="AF190" s="2706"/>
      <c r="AG190" s="2720"/>
      <c r="AH190" s="2671"/>
      <c r="AI190" s="2718"/>
      <c r="AJ190" s="2716"/>
      <c r="AK190" s="2716"/>
      <c r="AL190" s="2716"/>
      <c r="AM190" s="2717"/>
    </row>
    <row r="191" spans="1:39" ht="31.5">
      <c r="A191" s="3799" t="s">
        <v>3555</v>
      </c>
      <c r="B191" s="3763" t="s">
        <v>3690</v>
      </c>
      <c r="C191" s="3748" t="s">
        <v>3691</v>
      </c>
      <c r="D191" s="2564" t="s">
        <v>3692</v>
      </c>
      <c r="E191" s="2565" t="s">
        <v>3803</v>
      </c>
      <c r="F191" s="2567" t="s">
        <v>3683</v>
      </c>
      <c r="G191" s="2571" t="s">
        <v>3382</v>
      </c>
      <c r="H191" s="2572" t="s">
        <v>3684</v>
      </c>
      <c r="I191" s="2573" t="str">
        <f>IF(AI191=1,"●","")</f>
        <v/>
      </c>
      <c r="J191" s="2573" t="str">
        <f>IF(AI191=2,"●","")</f>
        <v>●</v>
      </c>
      <c r="K191" s="2573" t="str">
        <f>IF(AI191=3,"●","")</f>
        <v/>
      </c>
      <c r="L191" s="2592" t="str">
        <f>IF(L81="","（8.3.5の採点により自動転記）",L81)</f>
        <v>（8.3.5の採点により自動転記）</v>
      </c>
      <c r="M191" s="2565"/>
      <c r="N191" s="2575">
        <f t="shared" ref="N191:N192" si="105">IF(Z191="対象外","対象外",AL191)</f>
        <v>2</v>
      </c>
      <c r="O191" s="2599"/>
      <c r="Q191" s="2576" t="s">
        <v>428</v>
      </c>
      <c r="R191" s="2576" t="s">
        <v>1465</v>
      </c>
      <c r="S191" s="2576" t="s">
        <v>1616</v>
      </c>
      <c r="T191" s="2576" t="s">
        <v>1721</v>
      </c>
      <c r="U191" s="2576" t="s">
        <v>1619</v>
      </c>
      <c r="V191" s="2576" t="s">
        <v>385</v>
      </c>
      <c r="W191" s="2576" t="s">
        <v>1620</v>
      </c>
      <c r="X191" s="2576" t="s">
        <v>383</v>
      </c>
      <c r="Y191" s="2576" t="s">
        <v>1722</v>
      </c>
      <c r="Z191" s="2618" t="str">
        <f t="shared" ref="Z191" si="106">IF(AG191="#DIV/0!","対象外",IF(AND($Q$4="〇",Q191&lt;&gt;"")+AND($R$4="〇",R191&lt;&gt;"")+AND($S$4="〇",S191&lt;&gt;"")+AND($T$4="〇",T191&lt;&gt;"")+AND($U$4="〇",U191&lt;&gt;"")+AND($V$4="〇",V191&lt;&gt;"")+AND($W$4="〇",W191&lt;&gt;"")+AND($X$4="〇",X191&lt;&gt;"")+AND($Y$4="〇",Y191&lt;&gt;"")=0,"対象外","対象"))</f>
        <v>対象</v>
      </c>
      <c r="AB191" s="2635"/>
      <c r="AC191" s="2605"/>
      <c r="AD191" s="2620">
        <f>スコア!$Z$156</f>
        <v>3</v>
      </c>
      <c r="AE191" s="2620">
        <f>スコア!$AB$156</f>
        <v>0</v>
      </c>
      <c r="AF191" s="2621">
        <f>IF(AE191=0,AD191,IF(AD191=0,AE191,AD191*$AD$6+AE191*$AE$6))</f>
        <v>3</v>
      </c>
      <c r="AG191" s="2622">
        <f>IF(AF191=0,"#DIV/0!",IF(AF191&lt;2,1,IF(AF191&lt;4,2,3)))</f>
        <v>2</v>
      </c>
      <c r="AH191" s="2623"/>
      <c r="AI191" s="2622">
        <f>IF(Z191="対象外","#DIV/0!",IF(AG191="",AB191,IF(AB191="",AG191,0)))</f>
        <v>2</v>
      </c>
      <c r="AJ191" s="2583">
        <f>AVERAGEIFS(AI191,AI191,"&lt;&gt;0",AI191,"&lt;&gt;#DIV/0!")</f>
        <v>2</v>
      </c>
      <c r="AK191" s="2683" t="b">
        <v>0</v>
      </c>
      <c r="AL191" s="2625">
        <f>IF(AK191=FALSE,AJ191,IF(AJ191=1,2,3))</f>
        <v>2</v>
      </c>
      <c r="AM191" s="2621">
        <f>AVERAGEIFS(AL191:AL192,AL191:AL192,"&lt;&gt;0",AL191:AL192,"&lt;&gt;#DIV/0!")</f>
        <v>1.5</v>
      </c>
    </row>
    <row r="192" spans="1:39" ht="29.25">
      <c r="A192" s="3799"/>
      <c r="B192" s="3764"/>
      <c r="C192" s="3750"/>
      <c r="D192" s="2564" t="s">
        <v>4026</v>
      </c>
      <c r="E192" s="2565" t="s">
        <v>3972</v>
      </c>
      <c r="F192" s="2565" t="s">
        <v>3919</v>
      </c>
      <c r="G192" s="2571" t="s">
        <v>3382</v>
      </c>
      <c r="H192" s="2572" t="s">
        <v>4069</v>
      </c>
      <c r="I192" s="2573" t="str">
        <f t="shared" ref="I192" si="107">IF(AI192=1,"●","")</f>
        <v>●</v>
      </c>
      <c r="J192" s="2573" t="str">
        <f t="shared" ref="J192" si="108">IF(AI192=2,"●","")</f>
        <v/>
      </c>
      <c r="K192" s="2573" t="str">
        <f t="shared" ref="K192" si="109">IF(AI192=3,"●","")</f>
        <v/>
      </c>
      <c r="L192" s="2785" t="str">
        <f>IF(L91="","（8.5.1の採点により自動転記）",L91)</f>
        <v>（8.5.1の採点により自動転記）</v>
      </c>
      <c r="M192" s="2565"/>
      <c r="N192" s="2575">
        <f t="shared" si="105"/>
        <v>1</v>
      </c>
      <c r="O192" s="2599"/>
      <c r="Q192" s="2576" t="s">
        <v>428</v>
      </c>
      <c r="R192" s="2576" t="s">
        <v>1465</v>
      </c>
      <c r="S192" s="2576" t="s">
        <v>1616</v>
      </c>
      <c r="T192" s="2576" t="s">
        <v>1721</v>
      </c>
      <c r="U192" s="2576" t="s">
        <v>1619</v>
      </c>
      <c r="V192" s="2576" t="s">
        <v>385</v>
      </c>
      <c r="W192" s="2576" t="s">
        <v>1620</v>
      </c>
      <c r="X192" s="2576" t="s">
        <v>383</v>
      </c>
      <c r="Y192" s="2576" t="s">
        <v>1722</v>
      </c>
      <c r="Z192" s="2618" t="str">
        <f>IF(AG192="#DIV/0!","対象外",IF(AND($Q$4="〇",Q192&lt;&gt;"")+AND($R$4="〇",R192&lt;&gt;"")+AND($S$4="〇",S192&lt;&gt;"")+AND($T$4="〇",T192&lt;&gt;"")+AND($U$4="〇",U192&lt;&gt;"")+AND($V$4="〇",V192&lt;&gt;"")+AND($W$4="〇",W192&lt;&gt;"")+AND($X$4="〇",X192&lt;&gt;"")+AND($Y$4="〇",Y192&lt;&gt;"")=0,"対象外","対象"))</f>
        <v>対象</v>
      </c>
      <c r="AB192" s="2635"/>
      <c r="AC192" s="2605"/>
      <c r="AD192" s="2620">
        <f>IF(SUM(VALUE(採点Q3!G58)+VALUE(採点Q3!G77))=0,1,5)</f>
        <v>1</v>
      </c>
      <c r="AE192" s="2635"/>
      <c r="AF192" s="2621">
        <f t="shared" ref="AF192" si="110">IF(AE192=0,AD192,IF(AD192=0,AE192,AD192*$AD$6+AE192*$AE$6))</f>
        <v>1</v>
      </c>
      <c r="AG192" s="2622">
        <f>IF(AF192=0,"#DIV/0!",IF(AF192&lt;2,1,IF(AF192&lt;4,2,3)))</f>
        <v>1</v>
      </c>
      <c r="AH192" s="2623"/>
      <c r="AI192" s="2622">
        <f>IF(Z192="対象外","#DIV/0!",IF(AG192="",AB192,IF(AB192="",AG192,0)))</f>
        <v>1</v>
      </c>
      <c r="AJ192" s="2583">
        <f>AVERAGEIFS(AI192,AI192,"&lt;&gt;0",AI192,"&lt;&gt;#DIV/0!")</f>
        <v>1</v>
      </c>
      <c r="AK192" s="2638" t="b">
        <v>0</v>
      </c>
      <c r="AL192" s="2625">
        <f>IF(AK192=FALSE,AJ192,IF(AJ192=1,2,3))</f>
        <v>1</v>
      </c>
      <c r="AM192" s="2659"/>
    </row>
    <row r="193" spans="1:40" ht="31.5">
      <c r="A193" s="3799"/>
      <c r="B193" s="3770" t="s">
        <v>3693</v>
      </c>
      <c r="C193" s="3755" t="s">
        <v>3694</v>
      </c>
      <c r="D193" s="2564" t="s">
        <v>3695</v>
      </c>
      <c r="E193" s="2567" t="s">
        <v>3805</v>
      </c>
      <c r="F193" s="2567" t="s">
        <v>4111</v>
      </c>
      <c r="G193" s="2571" t="s">
        <v>3382</v>
      </c>
      <c r="H193" s="2572" t="s">
        <v>3701</v>
      </c>
      <c r="I193" s="2573" t="str">
        <f>IF(AI193=1,"●","")</f>
        <v/>
      </c>
      <c r="J193" s="2573" t="str">
        <f>IF(AI193=2,"●","")</f>
        <v>●</v>
      </c>
      <c r="K193" s="2573" t="str">
        <f>IF(AI193=3,"●","")</f>
        <v/>
      </c>
      <c r="L193" s="2589" t="str">
        <f>IF(L123="","（11.8.1の採点により自動転記）",L123)</f>
        <v>（11.8.1の採点により自動転記）</v>
      </c>
      <c r="M193" s="2565"/>
      <c r="N193" s="2575">
        <f>IF(Z193="対象外","対象外",AL193)</f>
        <v>2</v>
      </c>
      <c r="O193" s="2599"/>
      <c r="Q193" s="2576" t="s">
        <v>428</v>
      </c>
      <c r="R193" s="2576" t="s">
        <v>1465</v>
      </c>
      <c r="S193" s="2576" t="s">
        <v>1616</v>
      </c>
      <c r="T193" s="2576" t="s">
        <v>1721</v>
      </c>
      <c r="U193" s="2576" t="s">
        <v>1619</v>
      </c>
      <c r="V193" s="2576" t="s">
        <v>385</v>
      </c>
      <c r="W193" s="2576" t="s">
        <v>1620</v>
      </c>
      <c r="X193" s="2576" t="s">
        <v>383</v>
      </c>
      <c r="Y193" s="2576" t="s">
        <v>1722</v>
      </c>
      <c r="Z193" s="2618" t="str">
        <f>IF(AG193="#DIV/0!","対象外",IF(AND($Q$4="〇",Q193&lt;&gt;"")+AND($R$4="〇",R193&lt;&gt;"")+AND($S$4="〇",S193&lt;&gt;"")+AND($T$4="〇",T193&lt;&gt;"")+AND($U$4="〇",U193&lt;&gt;"")+AND($V$4="〇",V193&lt;&gt;"")+AND($W$4="〇",W193&lt;&gt;"")+AND($X$4="〇",X193&lt;&gt;"")+AND($Y$4="〇",Y193&lt;&gt;"")=0,"対象外","対象"))</f>
        <v>対象</v>
      </c>
      <c r="AB193" s="2635"/>
      <c r="AC193" s="2605"/>
      <c r="AD193" s="2620">
        <f>スコア!$Z$116</f>
        <v>2</v>
      </c>
      <c r="AE193" s="2620">
        <f>スコア!$AB$116</f>
        <v>0</v>
      </c>
      <c r="AF193" s="2621">
        <f>IF(AE193=0,AD193,IF(AD193=0,AE193,AD193*$AD$6+AE193*$AE$6))</f>
        <v>2</v>
      </c>
      <c r="AG193" s="2622">
        <f>IF(AF193=0,"#DIV/0!",IF(AF193&lt;2,1,IF(AF193&lt;4,2,3)))</f>
        <v>2</v>
      </c>
      <c r="AH193" s="2636"/>
      <c r="AI193" s="2622">
        <f>IF(Z193="対象外","#DIV/0!",IF(AG193="",AB193,IF(AB193="",AG193,0)))</f>
        <v>2</v>
      </c>
      <c r="AJ193" s="2583">
        <f>AVERAGEIFS(AI193,AI193,"&lt;&gt;0",AI193,"&lt;&gt;#DIV/0!")</f>
        <v>2</v>
      </c>
      <c r="AK193" s="2683" t="b">
        <v>0</v>
      </c>
      <c r="AL193" s="2625">
        <f>IF(AK193=FALSE,AJ193,IF(AJ193=1,2,3))</f>
        <v>2</v>
      </c>
      <c r="AM193" s="2646">
        <f>AVERAGEIFS(AL193:AL194,AL193:AL194,"&lt;&gt;0",AL193:AL194,"&lt;&gt;#DIV/0!")</f>
        <v>1.5</v>
      </c>
    </row>
    <row r="194" spans="1:40" ht="28.5" customHeight="1">
      <c r="A194" s="3799"/>
      <c r="B194" s="3768"/>
      <c r="C194" s="3756"/>
      <c r="D194" s="2564" t="s">
        <v>4005</v>
      </c>
      <c r="E194" s="2565" t="s">
        <v>3774</v>
      </c>
      <c r="F194" s="2565" t="s">
        <v>4103</v>
      </c>
      <c r="G194" s="2571" t="s">
        <v>3382</v>
      </c>
      <c r="H194" s="2572" t="s">
        <v>3564</v>
      </c>
      <c r="I194" s="2573" t="str">
        <f t="shared" ref="I194" si="111">IF(AI194=1,"●","")</f>
        <v>●</v>
      </c>
      <c r="J194" s="2573" t="str">
        <f t="shared" ref="J194" si="112">IF(AI194=2,"●","")</f>
        <v/>
      </c>
      <c r="K194" s="2573" t="str">
        <f t="shared" ref="K194" si="113">IF(AI194=3,"●","")</f>
        <v/>
      </c>
      <c r="L194" s="2589" t="str">
        <f>IF(L110="","（11.3.1の採点により自動転記）",L110)</f>
        <v>（11.3.1の採点により自動転記）</v>
      </c>
      <c r="M194" s="2565"/>
      <c r="N194" s="2575">
        <f t="shared" ref="N194" si="114">IF(Z194="対象外","対象外",AL194)</f>
        <v>1</v>
      </c>
      <c r="O194" s="2599"/>
      <c r="Q194" s="2576" t="s">
        <v>428</v>
      </c>
      <c r="R194" s="2576" t="s">
        <v>1465</v>
      </c>
      <c r="S194" s="2576" t="s">
        <v>1616</v>
      </c>
      <c r="T194" s="2576" t="s">
        <v>1721</v>
      </c>
      <c r="U194" s="2576" t="s">
        <v>1619</v>
      </c>
      <c r="V194" s="2576" t="s">
        <v>385</v>
      </c>
      <c r="W194" s="2576" t="s">
        <v>1620</v>
      </c>
      <c r="X194" s="2576" t="s">
        <v>383</v>
      </c>
      <c r="Y194" s="2576" t="s">
        <v>1722</v>
      </c>
      <c r="Z194" s="2618" t="str">
        <f t="shared" ref="Z194" si="115">IF(AG194="#DIV/0!","対象外",IF(AND($Q$4="〇",Q194&lt;&gt;"")+AND($R$4="〇",R194&lt;&gt;"")+AND($S$4="〇",S194&lt;&gt;"")+AND($T$4="〇",T194&lt;&gt;"")+AND($U$4="〇",U194&lt;&gt;"")+AND($V$4="〇",V194&lt;&gt;"")+AND($W$4="〇",W194&lt;&gt;"")+AND($X$4="〇",X194&lt;&gt;"")+AND($Y$4="〇",Y194&lt;&gt;"")=0,"対象外","対象"))</f>
        <v>対象</v>
      </c>
      <c r="AB194" s="2635"/>
      <c r="AC194" s="2605"/>
      <c r="AD194" s="2620">
        <f>IF(採点Q3!G92=1,5,1)</f>
        <v>1</v>
      </c>
      <c r="AE194" s="2635"/>
      <c r="AF194" s="2621">
        <f>IF(AE194=0,AD194,IF(AD194=0,AE194,AD194*$AD$6+AE194*$AE$6))</f>
        <v>1</v>
      </c>
      <c r="AG194" s="2622">
        <f t="shared" ref="AG194" si="116">IF(AF194=0,"#DIV/0!",IF(AF194&lt;2,1,IF(AF194&lt;4,2,3)))</f>
        <v>1</v>
      </c>
      <c r="AH194" s="2623"/>
      <c r="AI194" s="2622">
        <f t="shared" ref="AI194" si="117">IF(Z194="対象外","#DIV/0!",IF(AG194="",AB194,IF(AB194="",AG194,0)))</f>
        <v>1</v>
      </c>
      <c r="AJ194" s="2583">
        <f t="shared" ref="AJ194" si="118">AVERAGEIFS(AI194,AI194,"&lt;&gt;0",AI194,"&lt;&gt;#DIV/0!")</f>
        <v>1</v>
      </c>
      <c r="AK194" s="2638" t="b">
        <v>0</v>
      </c>
      <c r="AL194" s="2625">
        <f t="shared" ref="AL194" si="119">IF(AK194=FALSE,AJ194,IF(AJ194=1,2,3))</f>
        <v>1</v>
      </c>
      <c r="AM194" s="2646">
        <f>AVERAGEIFS(AL194,AL194,"&lt;&gt;0",AL194,"&lt;&gt;#DIV/0!")</f>
        <v>1</v>
      </c>
    </row>
    <row r="195" spans="1:40" ht="63">
      <c r="A195" s="3799"/>
      <c r="B195" s="2568" t="s">
        <v>3696</v>
      </c>
      <c r="C195" s="2569" t="s">
        <v>3697</v>
      </c>
      <c r="D195" s="2564" t="s">
        <v>3698</v>
      </c>
      <c r="E195" s="2784" t="s">
        <v>4109</v>
      </c>
      <c r="F195" s="2566" t="s">
        <v>4110</v>
      </c>
      <c r="G195" s="2782" t="s">
        <v>3382</v>
      </c>
      <c r="H195" s="2788" t="s">
        <v>3398</v>
      </c>
      <c r="I195" s="2567"/>
      <c r="J195" s="2567"/>
      <c r="K195" s="2567"/>
      <c r="L195" s="2578"/>
      <c r="M195" s="2565"/>
      <c r="N195" s="2575">
        <f t="shared" si="99"/>
        <v>3</v>
      </c>
      <c r="O195" s="2599"/>
      <c r="Q195" s="2576" t="s">
        <v>428</v>
      </c>
      <c r="R195" s="2576" t="s">
        <v>1465</v>
      </c>
      <c r="S195" s="2576" t="s">
        <v>1616</v>
      </c>
      <c r="T195" s="2576" t="s">
        <v>1721</v>
      </c>
      <c r="U195" s="2576" t="s">
        <v>1619</v>
      </c>
      <c r="V195" s="2576" t="s">
        <v>385</v>
      </c>
      <c r="W195" s="2576" t="s">
        <v>1620</v>
      </c>
      <c r="X195" s="2576" t="s">
        <v>383</v>
      </c>
      <c r="Y195" s="2576" t="s">
        <v>1722</v>
      </c>
      <c r="Z195" s="2618" t="str">
        <f t="shared" si="76"/>
        <v>対象</v>
      </c>
      <c r="AB195" s="2639">
        <v>3</v>
      </c>
      <c r="AC195" s="2605"/>
      <c r="AD195" s="2635"/>
      <c r="AE195" s="2635"/>
      <c r="AF195" s="2635"/>
      <c r="AG195" s="2635"/>
      <c r="AH195" s="2623"/>
      <c r="AI195" s="2622">
        <f>IF(Z195="対象外","#DIV/0!",IF(AG195="",AB195,IF(AB195="",AG195,0)))</f>
        <v>3</v>
      </c>
      <c r="AJ195" s="2583">
        <f>AVERAGEIFS(AI195,AI195,"&lt;&gt;0",AI195,"&lt;&gt;#DIV/0!")</f>
        <v>3</v>
      </c>
      <c r="AK195" s="2689" t="b">
        <v>0</v>
      </c>
      <c r="AL195" s="2625">
        <f>IF(AK195=FALSE,AJ195,IF(AJ195=1,2,3))</f>
        <v>3</v>
      </c>
      <c r="AM195" s="2646">
        <f>AVERAGEIFS(AL195,AL195,"&lt;&gt;0",AL195,"&lt;&gt;#DIV/0!")</f>
        <v>3</v>
      </c>
    </row>
    <row r="196" spans="1:40" ht="31.5">
      <c r="A196" s="3799"/>
      <c r="B196" s="2568" t="s">
        <v>3699</v>
      </c>
      <c r="C196" s="2569" t="s">
        <v>4006</v>
      </c>
      <c r="D196" s="2781" t="s">
        <v>3700</v>
      </c>
      <c r="E196" s="2783" t="s">
        <v>4007</v>
      </c>
      <c r="F196" s="2567" t="s">
        <v>4076</v>
      </c>
      <c r="G196" s="2783" t="s">
        <v>4008</v>
      </c>
      <c r="H196" s="2788" t="s">
        <v>3398</v>
      </c>
      <c r="I196" s="2567"/>
      <c r="J196" s="2567"/>
      <c r="K196" s="2567"/>
      <c r="L196" s="2578"/>
      <c r="M196" s="2565"/>
      <c r="N196" s="2575">
        <f t="shared" ref="N196" si="120">IF(Z196="対象外","対象外",AL196)</f>
        <v>3</v>
      </c>
      <c r="O196" s="2599"/>
      <c r="Q196" s="2576" t="s">
        <v>428</v>
      </c>
      <c r="R196" s="2576" t="s">
        <v>1465</v>
      </c>
      <c r="S196" s="2576" t="s">
        <v>1616</v>
      </c>
      <c r="T196" s="2576" t="s">
        <v>1721</v>
      </c>
      <c r="U196" s="2576" t="s">
        <v>1619</v>
      </c>
      <c r="V196" s="2576" t="s">
        <v>385</v>
      </c>
      <c r="W196" s="2576" t="s">
        <v>1620</v>
      </c>
      <c r="X196" s="2576" t="s">
        <v>383</v>
      </c>
      <c r="Y196" s="2576" t="s">
        <v>1722</v>
      </c>
      <c r="Z196" s="2618" t="str">
        <f t="shared" ref="Z196" si="121">IF(AG196="#DIV/0!","対象外",IF(AND($Q$4="〇",Q196&lt;&gt;"")+AND($R$4="〇",R196&lt;&gt;"")+AND($S$4="〇",S196&lt;&gt;"")+AND($T$4="〇",T196&lt;&gt;"")+AND($U$4="〇",U196&lt;&gt;"")+AND($V$4="〇",V196&lt;&gt;"")+AND($W$4="〇",W196&lt;&gt;"")+AND($X$4="〇",X196&lt;&gt;"")+AND($Y$4="〇",Y196&lt;&gt;"")=0,"対象外","対象"))</f>
        <v>対象</v>
      </c>
      <c r="AB196" s="2639">
        <v>3</v>
      </c>
      <c r="AC196" s="2605"/>
      <c r="AD196" s="2635"/>
      <c r="AE196" s="2635"/>
      <c r="AF196" s="2635"/>
      <c r="AG196" s="2635"/>
      <c r="AH196" s="2623"/>
      <c r="AI196" s="2622">
        <f>IF(Z196="対象外","#DIV/0!",IF(AG196="",AB196,IF(AB196="",AG196,0)))</f>
        <v>3</v>
      </c>
      <c r="AJ196" s="2583">
        <f>AVERAGEIFS(AI196,AI196,"&lt;&gt;0",AI196,"&lt;&gt;#DIV/0!")</f>
        <v>3</v>
      </c>
      <c r="AK196" s="2689" t="b">
        <v>0</v>
      </c>
      <c r="AL196" s="2625">
        <f>IF(AK196=FALSE,AJ196,IF(AJ196=1,2,3))</f>
        <v>3</v>
      </c>
      <c r="AM196" s="2646">
        <f>AVERAGEIFS(AL196,AL196,"&lt;&gt;0",AL196,"&lt;&gt;#DIV/0!")</f>
        <v>3</v>
      </c>
    </row>
    <row r="197" spans="1:40" ht="54" customHeight="1">
      <c r="A197" s="3799"/>
      <c r="B197" s="2568" t="s">
        <v>3702</v>
      </c>
      <c r="C197" s="2569" t="s">
        <v>3703</v>
      </c>
      <c r="D197" s="2564" t="s">
        <v>3704</v>
      </c>
      <c r="E197" s="2565" t="s">
        <v>3705</v>
      </c>
      <c r="F197" s="2567" t="s">
        <v>3706</v>
      </c>
      <c r="G197" s="2571" t="s">
        <v>3382</v>
      </c>
      <c r="H197" s="2789" t="s">
        <v>3398</v>
      </c>
      <c r="I197" s="2567"/>
      <c r="J197" s="2567"/>
      <c r="K197" s="2567"/>
      <c r="L197" s="2578"/>
      <c r="M197" s="2565"/>
      <c r="N197" s="2575">
        <f t="shared" ref="N197" si="122">IF(Z197="対象外","対象外",AL197)</f>
        <v>3</v>
      </c>
      <c r="O197" s="2599"/>
      <c r="Q197" s="2576" t="s">
        <v>428</v>
      </c>
      <c r="R197" s="2576" t="s">
        <v>1465</v>
      </c>
      <c r="S197" s="2576" t="s">
        <v>1616</v>
      </c>
      <c r="T197" s="2576" t="s">
        <v>1721</v>
      </c>
      <c r="U197" s="2576" t="s">
        <v>1619</v>
      </c>
      <c r="V197" s="2576" t="s">
        <v>385</v>
      </c>
      <c r="W197" s="2576" t="s">
        <v>1620</v>
      </c>
      <c r="X197" s="2576" t="s">
        <v>383</v>
      </c>
      <c r="Y197" s="2576" t="s">
        <v>1722</v>
      </c>
      <c r="Z197" s="2618" t="str">
        <f t="shared" ref="Z197" si="123">IF(AG197="#DIV/0!","対象外",IF(AND($Q$4="〇",Q197&lt;&gt;"")+AND($R$4="〇",R197&lt;&gt;"")+AND($S$4="〇",S197&lt;&gt;"")+AND($T$4="〇",T197&lt;&gt;"")+AND($U$4="〇",U197&lt;&gt;"")+AND($V$4="〇",V197&lt;&gt;"")+AND($W$4="〇",W197&lt;&gt;"")+AND($X$4="〇",X197&lt;&gt;"")+AND($Y$4="〇",Y197&lt;&gt;"")=0,"対象外","対象"))</f>
        <v>対象</v>
      </c>
      <c r="AB197" s="2639">
        <v>3</v>
      </c>
      <c r="AC197" s="2605"/>
      <c r="AD197" s="2635"/>
      <c r="AE197" s="2635"/>
      <c r="AF197" s="2635"/>
      <c r="AG197" s="2635"/>
      <c r="AH197" s="2623"/>
      <c r="AI197" s="2622">
        <f>IF(Z197="対象外","#DIV/0!",IF(AG197="",AB197,IF(AB197="",AG197,0)))</f>
        <v>3</v>
      </c>
      <c r="AJ197" s="2583">
        <f>AVERAGEIFS(AI197,AI197,"&lt;&gt;0",AI197,"&lt;&gt;#DIV/0!")</f>
        <v>3</v>
      </c>
      <c r="AK197" s="2689" t="b">
        <v>0</v>
      </c>
      <c r="AL197" s="2625">
        <f>IF(AK197=FALSE,AJ197,IF(AJ197=1,2,3))</f>
        <v>3</v>
      </c>
      <c r="AM197" s="2646">
        <f>AVERAGEIFS(AL197,AL197,"&lt;&gt;0",AL197,"&lt;&gt;#DIV/0!")</f>
        <v>3</v>
      </c>
    </row>
    <row r="198" spans="1:40">
      <c r="Q198" s="2690"/>
      <c r="R198" s="2690"/>
      <c r="S198" s="2690"/>
      <c r="T198" s="2690"/>
      <c r="U198" s="2690"/>
      <c r="V198" s="2690"/>
      <c r="W198" s="2690"/>
      <c r="X198" s="2690"/>
      <c r="Y198" s="2690"/>
      <c r="AD198" s="2691"/>
      <c r="AE198" s="2691"/>
      <c r="AF198" s="2691"/>
      <c r="AI198" s="2692"/>
      <c r="AJ198" s="2693"/>
      <c r="AK198" s="2693"/>
      <c r="AL198" s="2693"/>
      <c r="AM198" s="2693"/>
    </row>
    <row r="199" spans="1:40">
      <c r="Q199" s="2690"/>
      <c r="R199" s="2690"/>
      <c r="S199" s="2690"/>
      <c r="T199" s="2690"/>
      <c r="U199" s="2690"/>
      <c r="V199" s="2690"/>
      <c r="W199" s="2690"/>
      <c r="X199" s="2690"/>
      <c r="Y199" s="2690"/>
      <c r="Z199" s="2690"/>
      <c r="AA199" s="2690"/>
      <c r="AB199" s="2604"/>
      <c r="AC199" s="2690"/>
      <c r="AD199" s="2690"/>
      <c r="AE199" s="2690"/>
      <c r="AF199" s="2604"/>
      <c r="AG199" s="2604"/>
      <c r="AH199" s="2604"/>
      <c r="AI199" s="2603"/>
      <c r="AJ199" s="2604"/>
      <c r="AK199" s="2604"/>
      <c r="AL199" s="2604"/>
      <c r="AM199" s="2690"/>
    </row>
    <row r="200" spans="1:40" hidden="1">
      <c r="Q200" s="2791"/>
      <c r="R200" s="2791"/>
      <c r="S200" s="2791"/>
      <c r="T200" s="2791"/>
      <c r="U200" s="2791"/>
      <c r="V200" s="2791"/>
      <c r="W200" s="2791"/>
      <c r="X200" s="2791"/>
      <c r="Y200" s="2791"/>
      <c r="AB200" s="2601"/>
      <c r="AD200" s="2636"/>
      <c r="AE200" s="2636"/>
      <c r="AF200" s="2601"/>
      <c r="AG200" s="2604"/>
      <c r="AH200" s="2601"/>
      <c r="AI200" s="2603"/>
      <c r="AJ200" s="2604"/>
      <c r="AK200" s="2604"/>
      <c r="AL200" s="2604"/>
      <c r="AM200" s="2694" t="s">
        <v>3724</v>
      </c>
      <c r="AN200" s="2783" t="s">
        <v>4011</v>
      </c>
    </row>
    <row r="201" spans="1:40" hidden="1">
      <c r="Q201" s="2791"/>
      <c r="R201" s="2791"/>
      <c r="S201" s="2791"/>
      <c r="T201" s="2791"/>
      <c r="U201" s="2791"/>
      <c r="V201" s="2791"/>
      <c r="W201" s="2791"/>
      <c r="X201" s="2791"/>
      <c r="Y201" s="2791"/>
      <c r="AB201" s="2606"/>
      <c r="AD201" s="2636"/>
      <c r="AE201" s="2636"/>
      <c r="AF201" s="2601"/>
      <c r="AG201" s="2604"/>
      <c r="AH201" s="2604"/>
      <c r="AI201" s="2695" t="s">
        <v>3725</v>
      </c>
      <c r="AJ201" s="2696"/>
      <c r="AK201" s="2697">
        <f>AVERAGEIFS(AK203:AK214,AK203:AK214,"&lt;&gt;0",AK203:AK214,"&lt;&gt;#DIV/0!")</f>
        <v>1.8059110449735449</v>
      </c>
      <c r="AL201" s="2583" t="s">
        <v>3726</v>
      </c>
      <c r="AM201" s="2698">
        <f>(AK201-1)*2+1</f>
        <v>2.6118220899470899</v>
      </c>
      <c r="AN201" s="2698" t="str">
        <f>IF(E3="実施しない","N/A",(AK201-1)*2+1)</f>
        <v>N/A</v>
      </c>
    </row>
    <row r="202" spans="1:40" hidden="1">
      <c r="Q202" s="2791"/>
      <c r="R202" s="2791"/>
      <c r="S202" s="2791"/>
      <c r="T202" s="2791"/>
      <c r="U202" s="2791"/>
      <c r="V202" s="2791"/>
      <c r="W202" s="2791"/>
      <c r="X202" s="2791"/>
      <c r="Y202" s="2791"/>
      <c r="AD202" s="2636"/>
      <c r="AE202" s="2636"/>
      <c r="AF202" s="2601"/>
      <c r="AG202" s="2604"/>
      <c r="AH202" s="2601"/>
      <c r="AI202" s="2699"/>
      <c r="AK202" s="2601"/>
      <c r="AL202" s="2787" t="s">
        <v>4011</v>
      </c>
    </row>
    <row r="203" spans="1:40" hidden="1">
      <c r="Q203" s="2791"/>
      <c r="R203" s="2791"/>
      <c r="S203" s="2791"/>
      <c r="T203" s="2791"/>
      <c r="U203" s="2791"/>
      <c r="V203" s="2791"/>
      <c r="W203" s="2791"/>
      <c r="X203" s="2791"/>
      <c r="Y203" s="2791"/>
      <c r="AB203" s="2700"/>
      <c r="AD203" s="2636"/>
      <c r="AE203" s="2636"/>
      <c r="AF203" s="2601"/>
      <c r="AG203" s="2604"/>
      <c r="AH203" s="2604"/>
      <c r="AI203" s="2701" t="s">
        <v>3727</v>
      </c>
      <c r="AJ203" s="2702"/>
      <c r="AK203" s="2697">
        <f>AVERAGEIFS(AM9:AM32,AM9:AM32,"&lt;&gt;0",AM9:AM32,"&lt;&gt;#DIV/0!")</f>
        <v>2.1428571428571428</v>
      </c>
      <c r="AL203" s="2697" t="str">
        <f>IF(E3="実施しない","N/A",AVERAGEIFS(AM9:AM32,AM9:AM32,"&lt;&gt;0",AM9:AM32,"&lt;&gt;#DIV/0!"))</f>
        <v>N/A</v>
      </c>
    </row>
    <row r="204" spans="1:40" hidden="1">
      <c r="Q204" s="2791"/>
      <c r="R204" s="2791"/>
      <c r="S204" s="2791"/>
      <c r="T204" s="2791"/>
      <c r="U204" s="2791"/>
      <c r="V204" s="2791"/>
      <c r="W204" s="2791"/>
      <c r="X204" s="2791"/>
      <c r="Y204" s="2791"/>
      <c r="AB204" s="2700"/>
      <c r="AD204" s="2636"/>
      <c r="AE204" s="2636"/>
      <c r="AF204" s="2601"/>
      <c r="AG204" s="2604"/>
      <c r="AH204" s="2601"/>
      <c r="AI204" s="2701" t="s">
        <v>3728</v>
      </c>
      <c r="AJ204" s="2702"/>
      <c r="AK204" s="2697">
        <f>AVERAGEIFS(AM33:AM42,AM33:AM42,"&lt;&gt;0",AM33:AM42,"&lt;&gt;#DIV/0!")</f>
        <v>1.5</v>
      </c>
      <c r="AL204" s="2697" t="str">
        <f>IF(E3="実施しない","N/A",AVERAGEIFS(AM33:AM42,AM33:AM42,"&lt;&gt;0",AM33:AM42,"&lt;&gt;#DIV/0!"))</f>
        <v>N/A</v>
      </c>
    </row>
    <row r="205" spans="1:40" hidden="1">
      <c r="Q205" s="2791"/>
      <c r="R205" s="2791"/>
      <c r="S205" s="2791"/>
      <c r="T205" s="2791"/>
      <c r="U205" s="2791"/>
      <c r="V205" s="2791"/>
      <c r="W205" s="2791"/>
      <c r="X205" s="2791"/>
      <c r="Y205" s="2791"/>
      <c r="AB205" s="2700"/>
      <c r="AD205" s="2636"/>
      <c r="AE205" s="2636"/>
      <c r="AF205" s="2601"/>
      <c r="AG205" s="2604"/>
      <c r="AH205" s="2604"/>
      <c r="AI205" s="2701" t="s">
        <v>3729</v>
      </c>
      <c r="AJ205" s="2702"/>
      <c r="AK205" s="2697">
        <f>AVERAGEIFS(AM43:AM47,AM43:AM47,"&lt;&gt;0",AM43:AM47,"&lt;&gt;#DIV/0!")</f>
        <v>1.75</v>
      </c>
      <c r="AL205" s="2697" t="str">
        <f>IF(E3="実施しない","N/A",AVERAGEIFS(AM43:AM47,AM43:AM47,"&lt;&gt;0",AM43:AM47,"&lt;&gt;#DIV/0!"))</f>
        <v>N/A</v>
      </c>
    </row>
    <row r="206" spans="1:40" hidden="1">
      <c r="Q206" s="2791"/>
      <c r="R206" s="2791"/>
      <c r="S206" s="2791"/>
      <c r="T206" s="2791"/>
      <c r="U206" s="2791"/>
      <c r="V206" s="2791"/>
      <c r="W206" s="2791"/>
      <c r="X206" s="2791"/>
      <c r="Y206" s="2791"/>
      <c r="AB206" s="2700"/>
      <c r="AD206" s="2636"/>
      <c r="AE206" s="2636"/>
      <c r="AF206" s="2601"/>
      <c r="AG206" s="2604"/>
      <c r="AH206" s="2601"/>
      <c r="AI206" s="2701" t="s">
        <v>3730</v>
      </c>
      <c r="AJ206" s="2702"/>
      <c r="AK206" s="2697">
        <f>AVERAGEIFS(AM48:AM55,AM48:AM55,"&lt;&gt;0",AM48:AM55,"&lt;&gt;#DIV/0!")</f>
        <v>1.7857142857142858</v>
      </c>
      <c r="AL206" s="2697" t="str">
        <f>IF(E3="実施しない","N/A",AVERAGEIFS(AM48:AM55,AM48:AM55,"&lt;&gt;0",AM48:AM55,"&lt;&gt;#DIV/0!"))</f>
        <v>N/A</v>
      </c>
    </row>
    <row r="207" spans="1:40" hidden="1">
      <c r="Q207" s="2791"/>
      <c r="R207" s="2791"/>
      <c r="S207" s="2791"/>
      <c r="T207" s="2791"/>
      <c r="U207" s="2791"/>
      <c r="V207" s="2791"/>
      <c r="W207" s="2791"/>
      <c r="X207" s="2791"/>
      <c r="Y207" s="2791"/>
      <c r="AB207" s="2700"/>
      <c r="AD207" s="2636"/>
      <c r="AE207" s="2636"/>
      <c r="AF207" s="2601"/>
      <c r="AG207" s="2604"/>
      <c r="AH207" s="2604"/>
      <c r="AI207" s="2701" t="s">
        <v>3731</v>
      </c>
      <c r="AJ207" s="2702"/>
      <c r="AK207" s="2697">
        <f>AVERAGEIFS(AM56:AM65,AM56:AM65,"&lt;&gt;0",AM56:AM65,"&lt;&gt;#DIV/0!")</f>
        <v>1.8333333333333335</v>
      </c>
      <c r="AL207" s="2697" t="str">
        <f>IF(E3="実施しない","N/A",AVERAGEIFS(AM56:AM65,AM56:AM65,"&lt;&gt;0",AM56:AM65,"&lt;&gt;#DIV/0!"))</f>
        <v>N/A</v>
      </c>
    </row>
    <row r="208" spans="1:40" hidden="1">
      <c r="Q208" s="2791"/>
      <c r="R208" s="2791"/>
      <c r="S208" s="2791"/>
      <c r="T208" s="2791"/>
      <c r="U208" s="2791"/>
      <c r="V208" s="2791"/>
      <c r="W208" s="2791"/>
      <c r="X208" s="2791"/>
      <c r="Y208" s="2791"/>
      <c r="AB208" s="2700"/>
      <c r="AD208" s="2636"/>
      <c r="AE208" s="2636"/>
      <c r="AF208" s="2601"/>
      <c r="AG208" s="2604"/>
      <c r="AH208" s="2601"/>
      <c r="AI208" s="2701" t="s">
        <v>3732</v>
      </c>
      <c r="AJ208" s="2702"/>
      <c r="AK208" s="2697">
        <f>AVERAGEIFS(AM66:AM87,AM66:AM87,"&lt;&gt;0",AM66:AM87,"&lt;&gt;#DIV/0!")</f>
        <v>2.0333333333333332</v>
      </c>
      <c r="AL208" s="2697" t="str">
        <f>IF(E3="実施しない","N/A",AVERAGEIFS(AM66:AM87,AM66:AM87,"&lt;&gt;0",AM66:AM87,"&lt;&gt;#DIV/0!"))</f>
        <v>N/A</v>
      </c>
    </row>
    <row r="209" spans="17:38" hidden="1">
      <c r="Q209" s="2791"/>
      <c r="R209" s="2791"/>
      <c r="S209" s="2791"/>
      <c r="T209" s="2791"/>
      <c r="U209" s="2791"/>
      <c r="V209" s="2791"/>
      <c r="W209" s="2791"/>
      <c r="X209" s="2791"/>
      <c r="Y209" s="2791"/>
      <c r="AB209" s="2700"/>
      <c r="AD209" s="2636"/>
      <c r="AE209" s="2636"/>
      <c r="AF209" s="2601"/>
      <c r="AG209" s="2604"/>
      <c r="AH209" s="2604"/>
      <c r="AI209" s="2701" t="s">
        <v>3733</v>
      </c>
      <c r="AJ209" s="2702"/>
      <c r="AK209" s="2697">
        <f>AVERAGEIFS(AM88:AM100,AM88:AM100,"&lt;&gt;0",AM88:AM100,"&lt;&gt;#DIV/0!")</f>
        <v>1.7222222222222221</v>
      </c>
      <c r="AL209" s="2697" t="str">
        <f>IF(E3="実施しない","N/A",AVERAGEIFS(AM88:AM100,AM88:AM100,"&lt;&gt;0",AM88:AM100,"&lt;&gt;#DIV/0!"))</f>
        <v>N/A</v>
      </c>
    </row>
    <row r="210" spans="17:38" hidden="1">
      <c r="Q210" s="2791"/>
      <c r="R210" s="2791"/>
      <c r="S210" s="2791"/>
      <c r="T210" s="2791"/>
      <c r="U210" s="2791"/>
      <c r="V210" s="2791"/>
      <c r="W210" s="2791"/>
      <c r="X210" s="2791"/>
      <c r="Y210" s="2791"/>
      <c r="AB210" s="2700"/>
      <c r="AD210" s="2636"/>
      <c r="AE210" s="2636"/>
      <c r="AF210" s="2601"/>
      <c r="AG210" s="2604"/>
      <c r="AH210" s="2601"/>
      <c r="AI210" s="2701" t="s">
        <v>3734</v>
      </c>
      <c r="AJ210" s="2702"/>
      <c r="AK210" s="2697">
        <f>AVERAGEIFS(AM102:AM137,AM102:AM137,"&lt;&gt;0",AM102:AM137,"&lt;&gt;#DIV/0!")</f>
        <v>1.6722222222222223</v>
      </c>
      <c r="AL210" s="2697" t="str">
        <f>IF(E3="実施しない","N/A",AVERAGEIFS(AM102:AM137,AM102:AM137,"&lt;&gt;0",AM102:AM137,"&lt;&gt;#DIV/0!"))</f>
        <v>N/A</v>
      </c>
    </row>
    <row r="211" spans="17:38" hidden="1">
      <c r="Q211" s="2791"/>
      <c r="R211" s="2791"/>
      <c r="S211" s="2791"/>
      <c r="T211" s="2791"/>
      <c r="U211" s="2791"/>
      <c r="V211" s="2791"/>
      <c r="W211" s="2791"/>
      <c r="X211" s="2791"/>
      <c r="Y211" s="2791"/>
      <c r="AB211" s="2700"/>
      <c r="AD211" s="2636"/>
      <c r="AE211" s="2636"/>
      <c r="AF211" s="2601"/>
      <c r="AG211" s="2604"/>
      <c r="AH211" s="2604"/>
      <c r="AI211" s="2701" t="s">
        <v>3735</v>
      </c>
      <c r="AJ211" s="2702"/>
      <c r="AK211" s="2697">
        <f>AVERAGEIFS(AM138:AM169,AM138:AM169,"&lt;&gt;0",AM138:AM169,"&lt;&gt;#DIV/0!")</f>
        <v>2.072916666666667</v>
      </c>
      <c r="AL211" s="2697" t="str">
        <f>IF(E3="実施しない","N/A",AVERAGEIFS(AM138:AM169,AM138:AM169,"&lt;&gt;0",AM138:AM169,"&lt;&gt;#DIV/0!"))</f>
        <v>N/A</v>
      </c>
    </row>
    <row r="212" spans="17:38" hidden="1">
      <c r="Q212" s="2791"/>
      <c r="R212" s="2791"/>
      <c r="S212" s="2791"/>
      <c r="T212" s="2791"/>
      <c r="U212" s="2791"/>
      <c r="V212" s="2791"/>
      <c r="W212" s="2791"/>
      <c r="X212" s="2791"/>
      <c r="Y212" s="2791"/>
      <c r="AB212" s="2700"/>
      <c r="AD212" s="2636"/>
      <c r="AE212" s="2636"/>
      <c r="AF212" s="2601"/>
      <c r="AG212" s="2604"/>
      <c r="AH212" s="2601"/>
      <c r="AI212" s="2701" t="s">
        <v>3736</v>
      </c>
      <c r="AJ212" s="2702"/>
      <c r="AK212" s="2697">
        <f>AVERAGEIFS(AM170:AM183,AM170:AM183,"&lt;&gt;0",AM170:AM183,"&lt;&gt;#DIV/0!")</f>
        <v>1.8666666666666667</v>
      </c>
      <c r="AL212" s="2697" t="str">
        <f>IF(E3="実施しない","N/A",AVERAGEIFS(AM170:AM183,AM170:AM183,"&lt;&gt;0",AM170:AM183,"&lt;&gt;#DIV/0!"))</f>
        <v>N/A</v>
      </c>
    </row>
    <row r="213" spans="17:38" hidden="1">
      <c r="Q213" s="2791"/>
      <c r="R213" s="2791"/>
      <c r="S213" s="2791"/>
      <c r="T213" s="2791"/>
      <c r="U213" s="2791"/>
      <c r="V213" s="2791"/>
      <c r="W213" s="2791"/>
      <c r="X213" s="2791"/>
      <c r="Y213" s="2791"/>
      <c r="AB213" s="2700"/>
      <c r="AD213" s="2636"/>
      <c r="AE213" s="2636"/>
      <c r="AF213" s="2601"/>
      <c r="AG213" s="2604"/>
      <c r="AH213" s="2604"/>
      <c r="AI213" s="2701" t="s">
        <v>3737</v>
      </c>
      <c r="AJ213" s="2702"/>
      <c r="AK213" s="2697">
        <f>AVERAGEIFS(AM185:AM189,AM185:AM189,"&lt;&gt;0",AM185:AM189,"&lt;&gt;#DIV/0!")</f>
        <v>1.125</v>
      </c>
      <c r="AL213" s="2697" t="str">
        <f>IF(E3="実施しない","N/A",AVERAGEIFS(AM185:AM189,AM185:AM189,"&lt;&gt;0",AM185:AM189,"&lt;&gt;#DIV/0!"))</f>
        <v>N/A</v>
      </c>
    </row>
    <row r="214" spans="17:38" hidden="1">
      <c r="Q214" s="2791"/>
      <c r="R214" s="2791"/>
      <c r="S214" s="2791"/>
      <c r="T214" s="2791"/>
      <c r="U214" s="2791"/>
      <c r="V214" s="2791"/>
      <c r="W214" s="2791"/>
      <c r="X214" s="2791"/>
      <c r="Y214" s="2791"/>
      <c r="AB214" s="2700"/>
      <c r="AD214" s="2636"/>
      <c r="AE214" s="2636"/>
      <c r="AF214" s="2601"/>
      <c r="AG214" s="2604"/>
      <c r="AH214" s="2601"/>
      <c r="AI214" s="2701" t="s">
        <v>3738</v>
      </c>
      <c r="AJ214" s="2702"/>
      <c r="AK214" s="2697">
        <f>AVERAGEIFS(AM191:AM197,AM191:AM197,"&lt;&gt;0",AM191:AM197,"&lt;&gt;#DIV/0!")</f>
        <v>2.1666666666666665</v>
      </c>
      <c r="AL214" s="2697" t="str">
        <f>IF(E3="実施しない","N/A",AVERAGEIFS(AM191:AM197,AM191:AM197,"&lt;&gt;0",AM191:AM197,"&lt;&gt;#DIV/0!"))</f>
        <v>N/A</v>
      </c>
    </row>
    <row r="1191" spans="28:28" hidden="1">
      <c r="AB1191" s="2557">
        <v>3</v>
      </c>
    </row>
  </sheetData>
  <sheetProtection password="C784" sheet="1" selectLockedCells="1"/>
  <mergeCells count="128">
    <mergeCell ref="C178:C183"/>
    <mergeCell ref="C160:C163"/>
    <mergeCell ref="B187:B188"/>
    <mergeCell ref="A5:A6"/>
    <mergeCell ref="B5:E5"/>
    <mergeCell ref="B6:C6"/>
    <mergeCell ref="D6:E6"/>
    <mergeCell ref="A9:A32"/>
    <mergeCell ref="B9:B12"/>
    <mergeCell ref="C9:C12"/>
    <mergeCell ref="D11:D12"/>
    <mergeCell ref="E11:E12"/>
    <mergeCell ref="B13:B17"/>
    <mergeCell ref="C13:C17"/>
    <mergeCell ref="D25:D27"/>
    <mergeCell ref="E25:E27"/>
    <mergeCell ref="D28:D29"/>
    <mergeCell ref="E28:E29"/>
    <mergeCell ref="B18:B20"/>
    <mergeCell ref="C18:C20"/>
    <mergeCell ref="B25:B32"/>
    <mergeCell ref="C25:C32"/>
    <mergeCell ref="A43:A47"/>
    <mergeCell ref="A48:A55"/>
    <mergeCell ref="A56:A65"/>
    <mergeCell ref="A88:A100"/>
    <mergeCell ref="B73:B78"/>
    <mergeCell ref="B40:B41"/>
    <mergeCell ref="B34:B39"/>
    <mergeCell ref="B79:B86"/>
    <mergeCell ref="B88:B89"/>
    <mergeCell ref="B50:B51"/>
    <mergeCell ref="B56:B58"/>
    <mergeCell ref="B67:B72"/>
    <mergeCell ref="A66:A87"/>
    <mergeCell ref="B44:B45"/>
    <mergeCell ref="B90:B91"/>
    <mergeCell ref="A33:A42"/>
    <mergeCell ref="A102:A137"/>
    <mergeCell ref="C102:C108"/>
    <mergeCell ref="B111:B114"/>
    <mergeCell ref="C111:C114"/>
    <mergeCell ref="C125:C132"/>
    <mergeCell ref="A191:A197"/>
    <mergeCell ref="B102:B108"/>
    <mergeCell ref="B148:B153"/>
    <mergeCell ref="B174:B177"/>
    <mergeCell ref="B178:B183"/>
    <mergeCell ref="B146:B147"/>
    <mergeCell ref="B164:B167"/>
    <mergeCell ref="B172:B173"/>
    <mergeCell ref="B138:B145"/>
    <mergeCell ref="B115:B120"/>
    <mergeCell ref="B125:B132"/>
    <mergeCell ref="A138:A169"/>
    <mergeCell ref="A170:A183"/>
    <mergeCell ref="C193:C194"/>
    <mergeCell ref="B193:B194"/>
    <mergeCell ref="A185:A189"/>
    <mergeCell ref="C191:C192"/>
    <mergeCell ref="B191:B192"/>
    <mergeCell ref="C187:C188"/>
    <mergeCell ref="AM5:AM6"/>
    <mergeCell ref="AB25:AB27"/>
    <mergeCell ref="N11:N12"/>
    <mergeCell ref="L25:L27"/>
    <mergeCell ref="N25:N27"/>
    <mergeCell ref="L102:L107"/>
    <mergeCell ref="M102:M107"/>
    <mergeCell ref="N102:N107"/>
    <mergeCell ref="AB28:AB29"/>
    <mergeCell ref="AB4:AB5"/>
    <mergeCell ref="N28:N29"/>
    <mergeCell ref="L11:L12"/>
    <mergeCell ref="M11:M12"/>
    <mergeCell ref="AD4:AG4"/>
    <mergeCell ref="Q5:Y5"/>
    <mergeCell ref="Z5:Z6"/>
    <mergeCell ref="N5:N6"/>
    <mergeCell ref="M5:M6"/>
    <mergeCell ref="AK5:AK6"/>
    <mergeCell ref="AL5:AL6"/>
    <mergeCell ref="B154:B159"/>
    <mergeCell ref="B160:B163"/>
    <mergeCell ref="B93:B98"/>
    <mergeCell ref="C40:C41"/>
    <mergeCell ref="C44:C45"/>
    <mergeCell ref="F5:F6"/>
    <mergeCell ref="C34:C39"/>
    <mergeCell ref="K5:K6"/>
    <mergeCell ref="G5:G6"/>
    <mergeCell ref="J5:J6"/>
    <mergeCell ref="C115:C120"/>
    <mergeCell ref="C138:C145"/>
    <mergeCell ref="D125:D127"/>
    <mergeCell ref="C146:C147"/>
    <mergeCell ref="C73:C78"/>
    <mergeCell ref="E125:E127"/>
    <mergeCell ref="D102:D107"/>
    <mergeCell ref="H5:H6"/>
    <mergeCell ref="D128:D129"/>
    <mergeCell ref="E128:E129"/>
    <mergeCell ref="I5:I6"/>
    <mergeCell ref="C154:C159"/>
    <mergeCell ref="C50:C51"/>
    <mergeCell ref="C56:C58"/>
    <mergeCell ref="M176:M177"/>
    <mergeCell ref="N176:N177"/>
    <mergeCell ref="C148:C153"/>
    <mergeCell ref="AI5:AJ6"/>
    <mergeCell ref="C79:C86"/>
    <mergeCell ref="C88:C89"/>
    <mergeCell ref="E102:E107"/>
    <mergeCell ref="C90:C91"/>
    <mergeCell ref="C93:C98"/>
    <mergeCell ref="C172:C173"/>
    <mergeCell ref="N125:N127"/>
    <mergeCell ref="C164:C167"/>
    <mergeCell ref="L125:L127"/>
    <mergeCell ref="L5:L6"/>
    <mergeCell ref="L28:L29"/>
    <mergeCell ref="L128:L129"/>
    <mergeCell ref="N128:N129"/>
    <mergeCell ref="C174:C177"/>
    <mergeCell ref="D176:D177"/>
    <mergeCell ref="E176:E177"/>
    <mergeCell ref="L176:L177"/>
    <mergeCell ref="C67:C72"/>
  </mergeCells>
  <phoneticPr fontId="27"/>
  <conditionalFormatting sqref="D164 D165:N167">
    <cfRule type="expression" dxfId="227" priority="587">
      <formula>$Z$167="対象外"</formula>
    </cfRule>
  </conditionalFormatting>
  <conditionalFormatting sqref="D191:D192 D193:F193 D194">
    <cfRule type="expression" dxfId="226" priority="112">
      <formula>$Z$191="対象外"</formula>
    </cfRule>
  </conditionalFormatting>
  <conditionalFormatting sqref="D193:D194">
    <cfRule type="expression" dxfId="225" priority="52">
      <formula>$Z$194="対象外"</formula>
    </cfRule>
  </conditionalFormatting>
  <conditionalFormatting sqref="D41:E41">
    <cfRule type="expression" dxfId="224" priority="7">
      <formula>$Z$40="対象外"</formula>
    </cfRule>
  </conditionalFormatting>
  <conditionalFormatting sqref="D146:E147">
    <cfRule type="expression" dxfId="223" priority="154">
      <formula>$Z$146="対象外"</formula>
    </cfRule>
  </conditionalFormatting>
  <conditionalFormatting sqref="D91:F92">
    <cfRule type="expression" dxfId="222" priority="205">
      <formula>$Z$91="対象外"</formula>
    </cfRule>
  </conditionalFormatting>
  <conditionalFormatting sqref="D119:G119 I119:N119">
    <cfRule type="expression" dxfId="221" priority="179">
      <formula>$Z$119="対象外"</formula>
    </cfRule>
  </conditionalFormatting>
  <conditionalFormatting sqref="D120:G120 I120:N120">
    <cfRule type="expression" dxfId="220" priority="178">
      <formula>$Z$120="対象外"</formula>
    </cfRule>
  </conditionalFormatting>
  <conditionalFormatting sqref="D182:G182 I182:N182">
    <cfRule type="expression" dxfId="219" priority="119">
      <formula>$Z$182="対象外"</formula>
    </cfRule>
  </conditionalFormatting>
  <conditionalFormatting sqref="D183:G183 I183:N183">
    <cfRule type="expression" dxfId="218" priority="118">
      <formula>$Z$183="対象外"</formula>
    </cfRule>
  </conditionalFormatting>
  <conditionalFormatting sqref="D51:H51">
    <cfRule type="expression" dxfId="217" priority="87">
      <formula>#REF!="対象外"</formula>
    </cfRule>
  </conditionalFormatting>
  <conditionalFormatting sqref="D52:H52">
    <cfRule type="expression" dxfId="216" priority="88">
      <formula>$Z$51="対象外"</formula>
    </cfRule>
  </conditionalFormatting>
  <conditionalFormatting sqref="D169:H169">
    <cfRule type="expression" dxfId="215" priority="132">
      <formula>$Z$169="対象外"</formula>
    </cfRule>
  </conditionalFormatting>
  <conditionalFormatting sqref="D172:H172 D173">
    <cfRule type="expression" dxfId="214" priority="124">
      <formula>$Z$172="対象外"</formula>
    </cfRule>
  </conditionalFormatting>
  <conditionalFormatting sqref="D195:H195">
    <cfRule type="expression" dxfId="213" priority="109">
      <formula>$Z$195="対象外"</formula>
    </cfRule>
  </conditionalFormatting>
  <conditionalFormatting sqref="D197:H197">
    <cfRule type="expression" dxfId="212" priority="107">
      <formula>$Z$197="対象外"</formula>
    </cfRule>
  </conditionalFormatting>
  <conditionalFormatting sqref="D141:K141 M141:N141">
    <cfRule type="expression" dxfId="211" priority="159">
      <formula>$Z$141="対象外"</formula>
    </cfRule>
  </conditionalFormatting>
  <conditionalFormatting sqref="D142:K142 M142:N142">
    <cfRule type="expression" dxfId="210" priority="158">
      <formula>$Z$142="対象外"</formula>
    </cfRule>
  </conditionalFormatting>
  <conditionalFormatting sqref="D143:K143 M143:N143">
    <cfRule type="expression" dxfId="209" priority="157">
      <formula>$Z$143="対象外"</formula>
    </cfRule>
  </conditionalFormatting>
  <conditionalFormatting sqref="D9:N9">
    <cfRule type="expression" dxfId="208" priority="285">
      <formula>$Z$9="対象外"</formula>
    </cfRule>
  </conditionalFormatting>
  <conditionalFormatting sqref="D10:N10">
    <cfRule type="expression" dxfId="207" priority="284">
      <formula>$Z$10="対象外"</formula>
    </cfRule>
  </conditionalFormatting>
  <conditionalFormatting sqref="D13:N17">
    <cfRule type="expression" dxfId="206" priority="570">
      <formula>#REF!="対象外"</formula>
    </cfRule>
  </conditionalFormatting>
  <conditionalFormatting sqref="D18:N18">
    <cfRule type="expression" dxfId="205" priority="281">
      <formula>$Z$18="対象外"</formula>
    </cfRule>
  </conditionalFormatting>
  <conditionalFormatting sqref="D19:N19">
    <cfRule type="expression" dxfId="204" priority="280">
      <formula>$Z$19="対象外"</formula>
    </cfRule>
  </conditionalFormatting>
  <conditionalFormatting sqref="D20:N20">
    <cfRule type="expression" dxfId="203" priority="279">
      <formula>$Z$20="対象外"</formula>
    </cfRule>
  </conditionalFormatting>
  <conditionalFormatting sqref="D21:N21">
    <cfRule type="expression" dxfId="202" priority="273">
      <formula>$Z$21="対象外"</formula>
    </cfRule>
  </conditionalFormatting>
  <conditionalFormatting sqref="D22:N22">
    <cfRule type="expression" dxfId="201" priority="272">
      <formula>$Z$22="対象外"</formula>
    </cfRule>
  </conditionalFormatting>
  <conditionalFormatting sqref="D23:N23">
    <cfRule type="expression" dxfId="200" priority="271">
      <formula>$Z$23="対象外"</formula>
    </cfRule>
  </conditionalFormatting>
  <conditionalFormatting sqref="D24:N24">
    <cfRule type="expression" dxfId="199" priority="270">
      <formula>$Z$24="対象外"</formula>
    </cfRule>
  </conditionalFormatting>
  <conditionalFormatting sqref="D30:N30">
    <cfRule type="expression" dxfId="198" priority="264">
      <formula>$Z$30="対象外"</formula>
    </cfRule>
  </conditionalFormatting>
  <conditionalFormatting sqref="D31:N31">
    <cfRule type="expression" dxfId="197" priority="263">
      <formula>$Z$31="対象外"</formula>
    </cfRule>
  </conditionalFormatting>
  <conditionalFormatting sqref="D32:N32">
    <cfRule type="expression" dxfId="196" priority="262">
      <formula>$Z$32="対象外"</formula>
    </cfRule>
  </conditionalFormatting>
  <conditionalFormatting sqref="D33:N33">
    <cfRule type="expression" dxfId="195" priority="261">
      <formula>$Z$33="対象外"</formula>
    </cfRule>
  </conditionalFormatting>
  <conditionalFormatting sqref="D34:N34">
    <cfRule type="expression" dxfId="194" priority="260">
      <formula>$Z$34="対象外"</formula>
    </cfRule>
  </conditionalFormatting>
  <conditionalFormatting sqref="D35:N35">
    <cfRule type="expression" dxfId="193" priority="259">
      <formula>$Z$35="対象外"</formula>
    </cfRule>
  </conditionalFormatting>
  <conditionalFormatting sqref="D36:N36">
    <cfRule type="expression" dxfId="192" priority="258">
      <formula>$Z$36="対象外"</formula>
    </cfRule>
  </conditionalFormatting>
  <conditionalFormatting sqref="D37:N37">
    <cfRule type="expression" dxfId="191" priority="257">
      <formula>$Z$37="対象外"</formula>
    </cfRule>
  </conditionalFormatting>
  <conditionalFormatting sqref="D38:N38">
    <cfRule type="expression" dxfId="190" priority="256">
      <formula>$Z$38="対象外"</formula>
    </cfRule>
  </conditionalFormatting>
  <conditionalFormatting sqref="D39:N39">
    <cfRule type="expression" dxfId="189" priority="255">
      <formula>$Z$39="対象外"</formula>
    </cfRule>
  </conditionalFormatting>
  <conditionalFormatting sqref="D40:N40">
    <cfRule type="expression" dxfId="188" priority="254">
      <formula>$Z$40="対象外"</formula>
    </cfRule>
  </conditionalFormatting>
  <conditionalFormatting sqref="D42:N42">
    <cfRule type="expression" dxfId="187" priority="251">
      <formula>$Z$42="対象外"</formula>
    </cfRule>
  </conditionalFormatting>
  <conditionalFormatting sqref="D43:N43">
    <cfRule type="expression" dxfId="186" priority="249">
      <formula>$Z$43="対象外"</formula>
    </cfRule>
  </conditionalFormatting>
  <conditionalFormatting sqref="D44:N44">
    <cfRule type="expression" dxfId="185" priority="247">
      <formula>$Z$44="対象外"</formula>
    </cfRule>
  </conditionalFormatting>
  <conditionalFormatting sqref="D45:N46">
    <cfRule type="expression" dxfId="184" priority="90">
      <formula>#REF!="対象外"</formula>
    </cfRule>
  </conditionalFormatting>
  <conditionalFormatting sqref="D47:N47">
    <cfRule type="expression" dxfId="183" priority="246">
      <formula>$Z$47="対象外"</formula>
    </cfRule>
  </conditionalFormatting>
  <conditionalFormatting sqref="D48:N48">
    <cfRule type="expression" dxfId="182" priority="244">
      <formula>$Z$48="対象外"</formula>
    </cfRule>
  </conditionalFormatting>
  <conditionalFormatting sqref="D49:N49">
    <cfRule type="expression" dxfId="181" priority="243">
      <formula>$Z$49="対象外"</formula>
    </cfRule>
  </conditionalFormatting>
  <conditionalFormatting sqref="D50:N50">
    <cfRule type="expression" dxfId="180" priority="241">
      <formula>$Z$50="対象外"</formula>
    </cfRule>
  </conditionalFormatting>
  <conditionalFormatting sqref="D53:N54">
    <cfRule type="expression" dxfId="179" priority="79">
      <formula>$Z$54="対象外"</formula>
    </cfRule>
  </conditionalFormatting>
  <conditionalFormatting sqref="D55:N55">
    <cfRule type="expression" dxfId="178" priority="237">
      <formula>$Z$55="対象外"</formula>
    </cfRule>
  </conditionalFormatting>
  <conditionalFormatting sqref="D56:N56">
    <cfRule type="expression" dxfId="177" priority="236">
      <formula>$Z$56="対象外"</formula>
    </cfRule>
  </conditionalFormatting>
  <conditionalFormatting sqref="D57:N57">
    <cfRule type="expression" dxfId="176" priority="235">
      <formula>$Z$57="対象外"</formula>
    </cfRule>
  </conditionalFormatting>
  <conditionalFormatting sqref="D58:N58">
    <cfRule type="expression" dxfId="175" priority="234">
      <formula>$Z$58="対象外"</formula>
    </cfRule>
  </conditionalFormatting>
  <conditionalFormatting sqref="D59:N59">
    <cfRule type="expression" dxfId="174" priority="233">
      <formula>$Z$59="対象外"</formula>
    </cfRule>
  </conditionalFormatting>
  <conditionalFormatting sqref="D60:N60">
    <cfRule type="expression" dxfId="173" priority="232">
      <formula>$Z$60="対象外"</formula>
    </cfRule>
  </conditionalFormatting>
  <conditionalFormatting sqref="D61:N61">
    <cfRule type="expression" dxfId="172" priority="231">
      <formula>$Z$61="対象外"</formula>
    </cfRule>
  </conditionalFormatting>
  <conditionalFormatting sqref="D62:N62">
    <cfRule type="expression" dxfId="171" priority="230">
      <formula>$Z$62="対象外"</formula>
    </cfRule>
  </conditionalFormatting>
  <conditionalFormatting sqref="D63:N63 D64:F64">
    <cfRule type="expression" dxfId="170" priority="229">
      <formula>$Z$63="対象外"</formula>
    </cfRule>
  </conditionalFormatting>
  <conditionalFormatting sqref="D65:N65">
    <cfRule type="expression" dxfId="169" priority="228">
      <formula>$Z$65="対象外"</formula>
    </cfRule>
  </conditionalFormatting>
  <conditionalFormatting sqref="D66:N66">
    <cfRule type="expression" dxfId="168" priority="586">
      <formula>#REF!="対象外"</formula>
    </cfRule>
  </conditionalFormatting>
  <conditionalFormatting sqref="D67:N67">
    <cfRule type="expression" dxfId="167" priority="227">
      <formula>$Z$67="対象外"</formula>
    </cfRule>
  </conditionalFormatting>
  <conditionalFormatting sqref="D68:N68">
    <cfRule type="expression" dxfId="166" priority="226">
      <formula>$Z$68="対象外"</formula>
    </cfRule>
  </conditionalFormatting>
  <conditionalFormatting sqref="D69:N69">
    <cfRule type="expression" dxfId="165" priority="225">
      <formula>$Z$69="対象外"</formula>
    </cfRule>
  </conditionalFormatting>
  <conditionalFormatting sqref="D70:N70">
    <cfRule type="expression" dxfId="164" priority="224">
      <formula>$Z$70="対象外"</formula>
    </cfRule>
  </conditionalFormatting>
  <conditionalFormatting sqref="D71:N71">
    <cfRule type="expression" dxfId="163" priority="223">
      <formula>$Z$71="対象外"</formula>
    </cfRule>
  </conditionalFormatting>
  <conditionalFormatting sqref="D72:N72">
    <cfRule type="expression" dxfId="162" priority="222">
      <formula>$Z$72="対象外"</formula>
    </cfRule>
  </conditionalFormatting>
  <conditionalFormatting sqref="D73:N73">
    <cfRule type="expression" dxfId="161" priority="220">
      <formula>$Z$73="対象外"</formula>
    </cfRule>
  </conditionalFormatting>
  <conditionalFormatting sqref="D74:N74">
    <cfRule type="expression" dxfId="160" priority="219">
      <formula>$Z$74="対象外"</formula>
    </cfRule>
  </conditionalFormatting>
  <conditionalFormatting sqref="D75:N75">
    <cfRule type="expression" dxfId="159" priority="218">
      <formula>$Z$75="対象外"</formula>
    </cfRule>
  </conditionalFormatting>
  <conditionalFormatting sqref="D76:N76">
    <cfRule type="expression" dxfId="158" priority="217">
      <formula>$Z$76="対象外"</formula>
    </cfRule>
  </conditionalFormatting>
  <conditionalFormatting sqref="D77:N77">
    <cfRule type="expression" dxfId="157" priority="216">
      <formula>$Z$77="対象外"</formula>
    </cfRule>
  </conditionalFormatting>
  <conditionalFormatting sqref="D78:N78">
    <cfRule type="expression" dxfId="156" priority="215">
      <formula>$Z$78="対象外"</formula>
    </cfRule>
  </conditionalFormatting>
  <conditionalFormatting sqref="D79:N79">
    <cfRule type="expression" dxfId="155" priority="214">
      <formula>$Z$79="対象外"</formula>
    </cfRule>
  </conditionalFormatting>
  <conditionalFormatting sqref="D80:N80">
    <cfRule type="expression" dxfId="154" priority="213">
      <formula>$Z$80="対象外"</formula>
    </cfRule>
  </conditionalFormatting>
  <conditionalFormatting sqref="D81:N81 D82:D86">
    <cfRule type="expression" dxfId="153" priority="212">
      <formula>$Z$81="対象外"</formula>
    </cfRule>
  </conditionalFormatting>
  <conditionalFormatting sqref="D87:N87 M147:N147 M188:N188 M192:N192">
    <cfRule type="expression" dxfId="152" priority="209">
      <formula>$Z$87="対象外"</formula>
    </cfRule>
  </conditionalFormatting>
  <conditionalFormatting sqref="D88:N88">
    <cfRule type="expression" dxfId="151" priority="208">
      <formula>$Z$88="対象外"</formula>
    </cfRule>
  </conditionalFormatting>
  <conditionalFormatting sqref="D89:N89 N91">
    <cfRule type="expression" dxfId="150" priority="207">
      <formula>$Z$89="対象外"</formula>
    </cfRule>
  </conditionalFormatting>
  <conditionalFormatting sqref="D90:N90">
    <cfRule type="expression" dxfId="149" priority="206">
      <formula>$Z$90="対象外"</formula>
    </cfRule>
  </conditionalFormatting>
  <conditionalFormatting sqref="D93:N93">
    <cfRule type="expression" dxfId="148" priority="204">
      <formula>$Z$93="対象外"</formula>
    </cfRule>
  </conditionalFormatting>
  <conditionalFormatting sqref="D94:N94">
    <cfRule type="expression" dxfId="147" priority="203">
      <formula>$Z$94="対象外"</formula>
    </cfRule>
  </conditionalFormatting>
  <conditionalFormatting sqref="D95:N95">
    <cfRule type="expression" dxfId="146" priority="202">
      <formula>$Z$95="対象外"</formula>
    </cfRule>
  </conditionalFormatting>
  <conditionalFormatting sqref="D96:N96">
    <cfRule type="expression" dxfId="145" priority="201">
      <formula>$Z$96="対象外"</formula>
    </cfRule>
  </conditionalFormatting>
  <conditionalFormatting sqref="D97:N97">
    <cfRule type="expression" dxfId="144" priority="200">
      <formula>$Z$97="対象外"</formula>
    </cfRule>
  </conditionalFormatting>
  <conditionalFormatting sqref="D98:N98">
    <cfRule type="expression" dxfId="143" priority="199">
      <formula>$Z$98="対象外"</formula>
    </cfRule>
  </conditionalFormatting>
  <conditionalFormatting sqref="D99:N99">
    <cfRule type="expression" dxfId="142" priority="198">
      <formula>$Z$99="対象外"</formula>
    </cfRule>
  </conditionalFormatting>
  <conditionalFormatting sqref="D100:N100">
    <cfRule type="expression" dxfId="141" priority="197">
      <formula>$Z$100="対象外"</formula>
    </cfRule>
  </conditionalFormatting>
  <conditionalFormatting sqref="D109:N109">
    <cfRule type="expression" dxfId="140" priority="189">
      <formula>$Z$109="対象外"</formula>
    </cfRule>
  </conditionalFormatting>
  <conditionalFormatting sqref="D110:N110">
    <cfRule type="expression" dxfId="139" priority="188">
      <formula>$Z$110="対象外"</formula>
    </cfRule>
  </conditionalFormatting>
  <conditionalFormatting sqref="D111:N111">
    <cfRule type="expression" dxfId="138" priority="187">
      <formula>$Z$111="対象外"</formula>
    </cfRule>
  </conditionalFormatting>
  <conditionalFormatting sqref="D112:N112">
    <cfRule type="expression" dxfId="137" priority="186">
      <formula>$Z$112="対象外"</formula>
    </cfRule>
  </conditionalFormatting>
  <conditionalFormatting sqref="D113:N113">
    <cfRule type="expression" dxfId="136" priority="185">
      <formula>$Z$113="対象外"</formula>
    </cfRule>
  </conditionalFormatting>
  <conditionalFormatting sqref="D114:N114">
    <cfRule type="expression" dxfId="135" priority="184">
      <formula>$Z$114="対象外"</formula>
    </cfRule>
  </conditionalFormatting>
  <conditionalFormatting sqref="D115:N115">
    <cfRule type="expression" dxfId="134" priority="183">
      <formula>$Z$115="対象外"</formula>
    </cfRule>
  </conditionalFormatting>
  <conditionalFormatting sqref="D116:N116">
    <cfRule type="expression" dxfId="133" priority="182">
      <formula>$Z$116="対象外"</formula>
    </cfRule>
  </conditionalFormatting>
  <conditionalFormatting sqref="D117:N117">
    <cfRule type="expression" dxfId="132" priority="181">
      <formula>$Z$117="対象外"</formula>
    </cfRule>
  </conditionalFormatting>
  <conditionalFormatting sqref="D118:N118">
    <cfRule type="expression" dxfId="131" priority="180">
      <formula>$Z$118="対象外"</formula>
    </cfRule>
  </conditionalFormatting>
  <conditionalFormatting sqref="D121:N121">
    <cfRule type="expression" dxfId="130" priority="177">
      <formula>$Z$121="対象外"</formula>
    </cfRule>
  </conditionalFormatting>
  <conditionalFormatting sqref="D122:N122">
    <cfRule type="expression" dxfId="129" priority="176">
      <formula>$Z$122="対象外"</formula>
    </cfRule>
  </conditionalFormatting>
  <conditionalFormatting sqref="D123:N123">
    <cfRule type="expression" dxfId="128" priority="175">
      <formula>$Z$123="対象外"</formula>
    </cfRule>
  </conditionalFormatting>
  <conditionalFormatting sqref="D124:N124">
    <cfRule type="expression" dxfId="127" priority="174">
      <formula>$Z$124="対象外"</formula>
    </cfRule>
  </conditionalFormatting>
  <conditionalFormatting sqref="D130:N130">
    <cfRule type="expression" dxfId="126" priority="168">
      <formula>$Z$130="対象外"</formula>
    </cfRule>
  </conditionalFormatting>
  <conditionalFormatting sqref="D133:N133">
    <cfRule type="expression" dxfId="125" priority="166">
      <formula>$Z$133="対象外"</formula>
    </cfRule>
  </conditionalFormatting>
  <conditionalFormatting sqref="D134:N134">
    <cfRule type="expression" dxfId="124" priority="165">
      <formula>$Z$134="対象外"</formula>
    </cfRule>
  </conditionalFormatting>
  <conditionalFormatting sqref="D135:N135">
    <cfRule type="expression" dxfId="123" priority="164">
      <formula>$Z$135="対象外"</formula>
    </cfRule>
  </conditionalFormatting>
  <conditionalFormatting sqref="D136:N136 D137:H137 L137:N137">
    <cfRule type="expression" dxfId="122" priority="163">
      <formula>$Z$136="対象外"</formula>
    </cfRule>
  </conditionalFormatting>
  <conditionalFormatting sqref="D138:N138">
    <cfRule type="expression" dxfId="121" priority="162">
      <formula>$Z$138="対象外"</formula>
    </cfRule>
  </conditionalFormatting>
  <conditionalFormatting sqref="D139:N139">
    <cfRule type="expression" dxfId="120" priority="161">
      <formula>$Z$139="対象外"</formula>
    </cfRule>
  </conditionalFormatting>
  <conditionalFormatting sqref="D140:N140 L141:L143">
    <cfRule type="expression" dxfId="119" priority="160">
      <formula>$Z$140="対象外"</formula>
    </cfRule>
  </conditionalFormatting>
  <conditionalFormatting sqref="D144:N144">
    <cfRule type="expression" dxfId="118" priority="156">
      <formula>$Z$144="対象外"</formula>
    </cfRule>
  </conditionalFormatting>
  <conditionalFormatting sqref="D145:N145">
    <cfRule type="expression" dxfId="117" priority="155">
      <formula>$Z$145="対象外"</formula>
    </cfRule>
  </conditionalFormatting>
  <conditionalFormatting sqref="D148:N148">
    <cfRule type="expression" dxfId="116" priority="153">
      <formula>$Z$148="対象外"</formula>
    </cfRule>
  </conditionalFormatting>
  <conditionalFormatting sqref="D149:N149">
    <cfRule type="expression" dxfId="115" priority="152">
      <formula>$Z$149="対象外"</formula>
    </cfRule>
  </conditionalFormatting>
  <conditionalFormatting sqref="D150:N150">
    <cfRule type="expression" dxfId="114" priority="151">
      <formula>$Z$150="対象外"</formula>
    </cfRule>
  </conditionalFormatting>
  <conditionalFormatting sqref="D151:N151">
    <cfRule type="expression" dxfId="113" priority="150">
      <formula>$Z$151="対象外"</formula>
    </cfRule>
  </conditionalFormatting>
  <conditionalFormatting sqref="D152:N152">
    <cfRule type="expression" dxfId="112" priority="149">
      <formula>$Z$152="対象外"</formula>
    </cfRule>
  </conditionalFormatting>
  <conditionalFormatting sqref="D153:N153">
    <cfRule type="expression" dxfId="111" priority="148">
      <formula>$Z$153="対象外"</formula>
    </cfRule>
  </conditionalFormatting>
  <conditionalFormatting sqref="D154:N154 D155:D159">
    <cfRule type="expression" dxfId="110" priority="144">
      <formula>$Z$154="対象外"</formula>
    </cfRule>
  </conditionalFormatting>
  <conditionalFormatting sqref="D160:N160">
    <cfRule type="expression" dxfId="109" priority="138">
      <formula>$Z$160="対象外"</formula>
    </cfRule>
  </conditionalFormatting>
  <conditionalFormatting sqref="D161:N161">
    <cfRule type="expression" dxfId="108" priority="137">
      <formula>$Z$161="対象外"</formula>
    </cfRule>
  </conditionalFormatting>
  <conditionalFormatting sqref="D162:N162">
    <cfRule type="expression" dxfId="107" priority="136">
      <formula>$Z$162="対象外"</formula>
    </cfRule>
  </conditionalFormatting>
  <conditionalFormatting sqref="D163:N163">
    <cfRule type="expression" dxfId="106" priority="135">
      <formula>$Z$163="対象外"</formula>
    </cfRule>
  </conditionalFormatting>
  <conditionalFormatting sqref="D168:N168">
    <cfRule type="expression" dxfId="105" priority="133">
      <formula>$Z$168="対象外"</formula>
    </cfRule>
  </conditionalFormatting>
  <conditionalFormatting sqref="D170:N170">
    <cfRule type="expression" dxfId="104" priority="131">
      <formula>$Z$170="対象外"</formula>
    </cfRule>
  </conditionalFormatting>
  <conditionalFormatting sqref="D171:N171 D172:H172 D173:N173">
    <cfRule type="expression" dxfId="103" priority="129">
      <formula>$Z$171="対象外"</formula>
    </cfRule>
  </conditionalFormatting>
  <conditionalFormatting sqref="D174:N174">
    <cfRule type="expression" dxfId="102" priority="128">
      <formula>$Z$174="対象外"</formula>
    </cfRule>
  </conditionalFormatting>
  <conditionalFormatting sqref="D175:N175 N176">
    <cfRule type="expression" dxfId="101" priority="127">
      <formula>$Z$175="対象外"</formula>
    </cfRule>
  </conditionalFormatting>
  <conditionalFormatting sqref="D178:N178">
    <cfRule type="expression" dxfId="100" priority="123">
      <formula>$Z$178="対象外"</formula>
    </cfRule>
  </conditionalFormatting>
  <conditionalFormatting sqref="D179:N179">
    <cfRule type="expression" dxfId="99" priority="122">
      <formula>$Z$179="対象外"</formula>
    </cfRule>
  </conditionalFormatting>
  <conditionalFormatting sqref="D180:N180">
    <cfRule type="expression" dxfId="98" priority="121">
      <formula>$Z$180="対象外"</formula>
    </cfRule>
  </conditionalFormatting>
  <conditionalFormatting sqref="D181:N181">
    <cfRule type="expression" dxfId="97" priority="120">
      <formula>$Z$181="対象外"</formula>
    </cfRule>
  </conditionalFormatting>
  <conditionalFormatting sqref="D185:N185">
    <cfRule type="expression" dxfId="96" priority="116">
      <formula>$Z$185="対象外"</formula>
    </cfRule>
  </conditionalFormatting>
  <conditionalFormatting sqref="D186:N186">
    <cfRule type="expression" dxfId="95" priority="115">
      <formula>$Z$186="対象外"</formula>
    </cfRule>
  </conditionalFormatting>
  <conditionalFormatting sqref="D187:N187 D188">
    <cfRule type="expression" dxfId="94" priority="114">
      <formula>$Z$187="対象外"</formula>
    </cfRule>
  </conditionalFormatting>
  <conditionalFormatting sqref="D189:N189">
    <cfRule type="expression" dxfId="93" priority="113">
      <formula>$Z$189="対象外"</formula>
    </cfRule>
  </conditionalFormatting>
  <conditionalFormatting sqref="E188">
    <cfRule type="expression" dxfId="92" priority="19">
      <formula>$Z$146="対象外"</formula>
    </cfRule>
  </conditionalFormatting>
  <conditionalFormatting sqref="E192">
    <cfRule type="expression" dxfId="91" priority="10">
      <formula>$Z$146="対象外"</formula>
    </cfRule>
  </conditionalFormatting>
  <conditionalFormatting sqref="E131:F131">
    <cfRule type="expression" dxfId="90" priority="57">
      <formula>$Z$31="対象外"</formula>
    </cfRule>
  </conditionalFormatting>
  <conditionalFormatting sqref="E132:K132 M132:N132">
    <cfRule type="expression" dxfId="89" priority="58">
      <formula>$Z$32="対象外"</formula>
    </cfRule>
  </conditionalFormatting>
  <conditionalFormatting sqref="E194:K194 M194:N194">
    <cfRule type="expression" dxfId="88" priority="1">
      <formula>$Z$110="対象外"</formula>
    </cfRule>
  </conditionalFormatting>
  <conditionalFormatting sqref="E82:N82">
    <cfRule type="expression" dxfId="87" priority="66">
      <formula>$Z$141="対象外"</formula>
    </cfRule>
  </conditionalFormatting>
  <conditionalFormatting sqref="E83:N83">
    <cfRule type="expression" dxfId="86" priority="65">
      <formula>$Z$142="対象外"</formula>
    </cfRule>
  </conditionalFormatting>
  <conditionalFormatting sqref="E84:N84">
    <cfRule type="expression" dxfId="85" priority="64">
      <formula>$Z$143="対象外"</formula>
    </cfRule>
  </conditionalFormatting>
  <conditionalFormatting sqref="E85:N85">
    <cfRule type="expression" dxfId="84" priority="211">
      <formula>$Z$85="対象外"</formula>
    </cfRule>
  </conditionalFormatting>
  <conditionalFormatting sqref="E86:N86">
    <cfRule type="expression" dxfId="83" priority="210">
      <formula>$Z$86="対象外"</formula>
    </cfRule>
  </conditionalFormatting>
  <conditionalFormatting sqref="E155:N155">
    <cfRule type="expression" dxfId="82" priority="143">
      <formula>$Z$155="対象外"</formula>
    </cfRule>
  </conditionalFormatting>
  <conditionalFormatting sqref="E156:N156">
    <cfRule type="expression" dxfId="81" priority="142">
      <formula>$Z$156="対象外"</formula>
    </cfRule>
  </conditionalFormatting>
  <conditionalFormatting sqref="E157:N157">
    <cfRule type="expression" dxfId="80" priority="141">
      <formula>$Z$157="対象外"</formula>
    </cfRule>
  </conditionalFormatting>
  <conditionalFormatting sqref="E158:N158">
    <cfRule type="expression" dxfId="79" priority="140">
      <formula>$Z$158="対象外"</formula>
    </cfRule>
  </conditionalFormatting>
  <conditionalFormatting sqref="E159:N159">
    <cfRule type="expression" dxfId="78" priority="139">
      <formula>$Z$159="対象外"</formula>
    </cfRule>
  </conditionalFormatting>
  <conditionalFormatting sqref="E164:N164">
    <cfRule type="expression" dxfId="77" priority="588">
      <formula>$Z$164="対象外"</formula>
    </cfRule>
  </conditionalFormatting>
  <conditionalFormatting sqref="E165:N165">
    <cfRule type="expression" dxfId="76" priority="589">
      <formula>$Z$165="対象外"</formula>
    </cfRule>
  </conditionalFormatting>
  <conditionalFormatting sqref="E166:N166">
    <cfRule type="expression" dxfId="75" priority="591">
      <formula>$Z$166="対象外"</formula>
    </cfRule>
  </conditionalFormatting>
  <conditionalFormatting sqref="E173:N173">
    <cfRule type="expression" dxfId="74" priority="592">
      <formula>$Z$173="対象外"</formula>
    </cfRule>
  </conditionalFormatting>
  <conditionalFormatting sqref="E191:N191">
    <cfRule type="expression" dxfId="73" priority="11">
      <formula>$Z$187="対象外"</formula>
    </cfRule>
  </conditionalFormatting>
  <conditionalFormatting sqref="E193:N193 L194 D196">
    <cfRule type="expression" dxfId="72" priority="593">
      <formula>$Z$193="対象外"</formula>
    </cfRule>
  </conditionalFormatting>
  <conditionalFormatting sqref="F107:G107 I107:K107">
    <cfRule type="expression" dxfId="71" priority="191">
      <formula>$Z$107="対象外"</formula>
    </cfRule>
  </conditionalFormatting>
  <conditionalFormatting sqref="F108:H108">
    <cfRule type="expression" dxfId="70" priority="190">
      <formula>$Z$108="対象外"</formula>
    </cfRule>
  </conditionalFormatting>
  <conditionalFormatting sqref="F11:K11">
    <cfRule type="expression" dxfId="69" priority="283">
      <formula>$Z$11="対象外"</formula>
    </cfRule>
  </conditionalFormatting>
  <conditionalFormatting sqref="F12:K12">
    <cfRule type="expression" dxfId="68" priority="282">
      <formula>$Z$12="対象外"</formula>
    </cfRule>
  </conditionalFormatting>
  <conditionalFormatting sqref="F25:K25">
    <cfRule type="expression" dxfId="67" priority="269">
      <formula>$Z$25="対象外"</formula>
    </cfRule>
  </conditionalFormatting>
  <conditionalFormatting sqref="F26:K26">
    <cfRule type="expression" dxfId="66" priority="268">
      <formula>$Z$26="対象外"</formula>
    </cfRule>
  </conditionalFormatting>
  <conditionalFormatting sqref="F27:K27">
    <cfRule type="expression" dxfId="65" priority="267">
      <formula>$Z$27="対象外"</formula>
    </cfRule>
  </conditionalFormatting>
  <conditionalFormatting sqref="F28:K28">
    <cfRule type="expression" dxfId="64" priority="266">
      <formula>$Z$28="対象外"</formula>
    </cfRule>
  </conditionalFormatting>
  <conditionalFormatting sqref="F29:K29">
    <cfRule type="expression" dxfId="63" priority="265">
      <formula>$Z$29="対象外"</formula>
    </cfRule>
  </conditionalFormatting>
  <conditionalFormatting sqref="F102:K102">
    <cfRule type="expression" dxfId="62" priority="196">
      <formula>$Z$102="対象外"</formula>
    </cfRule>
  </conditionalFormatting>
  <conditionalFormatting sqref="F103:K103">
    <cfRule type="expression" dxfId="61" priority="195">
      <formula>$Z$103="対象外"</formula>
    </cfRule>
  </conditionalFormatting>
  <conditionalFormatting sqref="F104:K104">
    <cfRule type="expression" dxfId="60" priority="194">
      <formula>$Z$104="対象外"</formula>
    </cfRule>
  </conditionalFormatting>
  <conditionalFormatting sqref="F105:K105">
    <cfRule type="expression" dxfId="59" priority="193">
      <formula>$Z$105="対象外"</formula>
    </cfRule>
  </conditionalFormatting>
  <conditionalFormatting sqref="F106:K106">
    <cfRule type="expression" dxfId="58" priority="192">
      <formula>$Z$106="対象外"</formula>
    </cfRule>
  </conditionalFormatting>
  <conditionalFormatting sqref="F125:K125">
    <cfRule type="expression" dxfId="57" priority="173">
      <formula>$Z$125="対象外"</formula>
    </cfRule>
  </conditionalFormatting>
  <conditionalFormatting sqref="F126:K128">
    <cfRule type="expression" dxfId="56" priority="172">
      <formula>$Z$126="対象外"</formula>
    </cfRule>
  </conditionalFormatting>
  <conditionalFormatting sqref="F127:K128">
    <cfRule type="expression" dxfId="55" priority="171">
      <formula>$Z$127="対象外"</formula>
    </cfRule>
  </conditionalFormatting>
  <conditionalFormatting sqref="F128:K128">
    <cfRule type="expression" dxfId="54" priority="170">
      <formula>$Z$128="対象外"</formula>
    </cfRule>
  </conditionalFormatting>
  <conditionalFormatting sqref="F129:K129">
    <cfRule type="expression" dxfId="53" priority="169">
      <formula>$Z$129="対象外"</formula>
    </cfRule>
  </conditionalFormatting>
  <conditionalFormatting sqref="F147:K147">
    <cfRule type="expression" dxfId="52" priority="54">
      <formula>$Z$87="対象外"</formula>
    </cfRule>
  </conditionalFormatting>
  <conditionalFormatting sqref="F176:K176">
    <cfRule type="expression" dxfId="51" priority="126">
      <formula>$Z$176="対象外"</formula>
    </cfRule>
  </conditionalFormatting>
  <conditionalFormatting sqref="F177:K177">
    <cfRule type="expression" dxfId="50" priority="125">
      <formula>$Z$177="対象外"</formula>
    </cfRule>
  </conditionalFormatting>
  <conditionalFormatting sqref="F188:K188">
    <cfRule type="expression" dxfId="49" priority="18">
      <formula>$Z$87="対象外"</formula>
    </cfRule>
  </conditionalFormatting>
  <conditionalFormatting sqref="F192:K192">
    <cfRule type="expression" dxfId="48" priority="9">
      <formula>$Z$87="対象外"</formula>
    </cfRule>
  </conditionalFormatting>
  <conditionalFormatting sqref="F41:N41">
    <cfRule type="expression" dxfId="47" priority="253">
      <formula>$Z$41="対象外"</formula>
    </cfRule>
  </conditionalFormatting>
  <conditionalFormatting sqref="F146:N146">
    <cfRule type="expression" dxfId="46" priority="55">
      <formula>$Z$187="対象外"</formula>
    </cfRule>
  </conditionalFormatting>
  <conditionalFormatting sqref="G91">
    <cfRule type="expression" dxfId="45" priority="62">
      <formula>$Z$90="対象外"</formula>
    </cfRule>
  </conditionalFormatting>
  <conditionalFormatting sqref="G64:H64">
    <cfRule type="expression" dxfId="44" priority="74">
      <formula>$Z$61="対象外"</formula>
    </cfRule>
  </conditionalFormatting>
  <conditionalFormatting sqref="G92:N92">
    <cfRule type="expression" dxfId="43" priority="63">
      <formula>$Z$91="対象外"</formula>
    </cfRule>
  </conditionalFormatting>
  <conditionalFormatting sqref="G131:N131 D131:D132 L132">
    <cfRule type="expression" dxfId="42" priority="167">
      <formula>$Z$131="対象外"</formula>
    </cfRule>
  </conditionalFormatting>
  <conditionalFormatting sqref="H91">
    <cfRule type="expression" dxfId="41" priority="61">
      <formula>$Z$89="対象外"</formula>
    </cfRule>
  </conditionalFormatting>
  <conditionalFormatting sqref="H103">
    <cfRule type="expression" dxfId="40" priority="5">
      <formula>$Z$102="対象外"</formula>
    </cfRule>
  </conditionalFormatting>
  <conditionalFormatting sqref="H104">
    <cfRule type="expression" dxfId="39" priority="4">
      <formula>$Z$103="対象外"</formula>
    </cfRule>
  </conditionalFormatting>
  <conditionalFormatting sqref="H105">
    <cfRule type="expression" dxfId="38" priority="3">
      <formula>$Z$104="対象外"</formula>
    </cfRule>
  </conditionalFormatting>
  <conditionalFormatting sqref="H107">
    <cfRule type="expression" dxfId="37" priority="6">
      <formula>$Z$105="対象外"</formula>
    </cfRule>
  </conditionalFormatting>
  <conditionalFormatting sqref="H119">
    <cfRule type="expression" dxfId="36" priority="99">
      <formula>$Z$97="対象外"</formula>
    </cfRule>
  </conditionalFormatting>
  <conditionalFormatting sqref="H120">
    <cfRule type="expression" dxfId="35" priority="98">
      <formula>$Z$98="対象外"</formula>
    </cfRule>
  </conditionalFormatting>
  <conditionalFormatting sqref="H182">
    <cfRule type="expression" dxfId="34" priority="97">
      <formula>$Z$97="対象外"</formula>
    </cfRule>
  </conditionalFormatting>
  <conditionalFormatting sqref="H183">
    <cfRule type="expression" dxfId="33" priority="96">
      <formula>$Z$98="対象外"</formula>
    </cfRule>
  </conditionalFormatting>
  <conditionalFormatting sqref="H196">
    <cfRule type="expression" dxfId="32" priority="110">
      <formula>$Z$195="対象外"</formula>
    </cfRule>
  </conditionalFormatting>
  <conditionalFormatting sqref="I108:K108">
    <cfRule type="expression" dxfId="31" priority="20">
      <formula>$Z$189="対象外"</formula>
    </cfRule>
  </conditionalFormatting>
  <conditionalFormatting sqref="I137:K137">
    <cfRule type="expression" dxfId="30" priority="15">
      <formula>$Z$135="対象外"</formula>
    </cfRule>
  </conditionalFormatting>
  <conditionalFormatting sqref="I169:K169">
    <cfRule type="expression" dxfId="29" priority="21">
      <formula>$Z$189="対象外"</formula>
    </cfRule>
  </conditionalFormatting>
  <conditionalFormatting sqref="I172:K172">
    <cfRule type="expression" dxfId="28" priority="22">
      <formula>$Z$189="対象外"</formula>
    </cfRule>
  </conditionalFormatting>
  <conditionalFormatting sqref="I91:M91">
    <cfRule type="expression" dxfId="27" priority="46">
      <formula>$Z$100="対象外"</formula>
    </cfRule>
  </conditionalFormatting>
  <conditionalFormatting sqref="I51:N51">
    <cfRule type="expression" dxfId="26" priority="80">
      <formula>$Z$47="対象外"</formula>
    </cfRule>
  </conditionalFormatting>
  <conditionalFormatting sqref="I52:N52">
    <cfRule type="expression" dxfId="25" priority="69">
      <formula>$Z$136="対象外"</formula>
    </cfRule>
  </conditionalFormatting>
  <conditionalFormatting sqref="I64:N64">
    <cfRule type="expression" dxfId="24" priority="34">
      <formula>$Z$47="対象外"</formula>
    </cfRule>
  </conditionalFormatting>
  <conditionalFormatting sqref="I193:N193 L194">
    <cfRule type="expression" dxfId="23" priority="53">
      <formula>$Z$154="対象外"</formula>
    </cfRule>
  </conditionalFormatting>
  <conditionalFormatting sqref="I195:N197">
    <cfRule type="expression" dxfId="22" priority="25">
      <formula>$Z$189="対象外"</formula>
    </cfRule>
  </conditionalFormatting>
  <conditionalFormatting sqref="L147">
    <cfRule type="expression" dxfId="21" priority="17">
      <formula>$Z$187="対象外"</formula>
    </cfRule>
  </conditionalFormatting>
  <conditionalFormatting sqref="L188">
    <cfRule type="expression" dxfId="20" priority="16">
      <formula>$Z$187="対象外"</formula>
    </cfRule>
  </conditionalFormatting>
  <conditionalFormatting sqref="L192">
    <cfRule type="expression" dxfId="19" priority="8">
      <formula>$Z$187="対象外"</formula>
    </cfRule>
  </conditionalFormatting>
  <conditionalFormatting sqref="L108:N108">
    <cfRule type="expression" dxfId="18" priority="37">
      <formula>$Z$22="対象外"</formula>
    </cfRule>
  </conditionalFormatting>
  <conditionalFormatting sqref="L169:N169">
    <cfRule type="expression" dxfId="17" priority="33">
      <formula>$Z$100="対象外"</formula>
    </cfRule>
  </conditionalFormatting>
  <conditionalFormatting sqref="L172:N172">
    <cfRule type="expression" dxfId="16" priority="43">
      <formula>$Z$59="対象外"</formula>
    </cfRule>
  </conditionalFormatting>
  <conditionalFormatting sqref="N10:N11">
    <cfRule type="expression" dxfId="15" priority="105">
      <formula>$Z$9="対象外"</formula>
    </cfRule>
  </conditionalFormatting>
  <conditionalFormatting sqref="N102">
    <cfRule type="expression" dxfId="14" priority="102">
      <formula>$Z$100="対象外"</formula>
    </cfRule>
  </conditionalFormatting>
  <conditionalFormatting sqref="N125">
    <cfRule type="expression" dxfId="13" priority="101">
      <formula>$Z$124="対象外"</formula>
    </cfRule>
  </conditionalFormatting>
  <conditionalFormatting sqref="N128">
    <cfRule type="expression" dxfId="12" priority="100">
      <formula>$Z$124="対象外"</formula>
    </cfRule>
  </conditionalFormatting>
  <dataValidations count="1">
    <dataValidation type="list" allowBlank="1" showInputMessage="1" showErrorMessage="1" sqref="E3" xr:uid="{00000000-0002-0000-0D00-000000000000}">
      <formula1>"実施する, 実施しない"</formula1>
    </dataValidation>
  </dataValidations>
  <printOptions horizontalCentered="1"/>
  <pageMargins left="0.59055118110236227" right="0.59055118110236227" top="0.78740157480314965" bottom="0.59055118110236227" header="0.51181102362204722" footer="0.51181102362204722"/>
  <pageSetup paperSize="9" scale="40" orientation="portrait" r:id="rId1"/>
  <rowBreaks count="5" manualBreakCount="5">
    <brk id="32" max="14" man="1"/>
    <brk id="66" max="14" man="1"/>
    <brk id="100" max="14" man="1"/>
    <brk id="137" max="14" man="1"/>
    <brk id="169" max="14"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9394" r:id="rId4" name="Check Box 2">
              <controlPr defaultSize="0" autoFill="0" autoLine="0" autoPict="0">
                <anchor moveWithCells="1">
                  <from>
                    <xdr:col>12</xdr:col>
                    <xdr:colOff>76200</xdr:colOff>
                    <xdr:row>8</xdr:row>
                    <xdr:rowOff>66675</xdr:rowOff>
                  </from>
                  <to>
                    <xdr:col>12</xdr:col>
                    <xdr:colOff>323850</xdr:colOff>
                    <xdr:row>8</xdr:row>
                    <xdr:rowOff>333375</xdr:rowOff>
                  </to>
                </anchor>
              </controlPr>
            </control>
          </mc:Choice>
        </mc:AlternateContent>
        <mc:AlternateContent xmlns:mc="http://schemas.openxmlformats.org/markup-compatibility/2006">
          <mc:Choice Requires="x14">
            <control shapeId="59395" r:id="rId5" name="Check Box 3">
              <controlPr defaultSize="0" autoFill="0" autoLine="0" autoPict="0">
                <anchor moveWithCells="1">
                  <from>
                    <xdr:col>12</xdr:col>
                    <xdr:colOff>76200</xdr:colOff>
                    <xdr:row>9</xdr:row>
                    <xdr:rowOff>66675</xdr:rowOff>
                  </from>
                  <to>
                    <xdr:col>12</xdr:col>
                    <xdr:colOff>323850</xdr:colOff>
                    <xdr:row>9</xdr:row>
                    <xdr:rowOff>333375</xdr:rowOff>
                  </to>
                </anchor>
              </controlPr>
            </control>
          </mc:Choice>
        </mc:AlternateContent>
        <mc:AlternateContent xmlns:mc="http://schemas.openxmlformats.org/markup-compatibility/2006">
          <mc:Choice Requires="x14">
            <control shapeId="59396" r:id="rId6" name="Check Box 4">
              <controlPr defaultSize="0" autoFill="0" autoLine="0" autoPict="0">
                <anchor moveWithCells="1">
                  <from>
                    <xdr:col>12</xdr:col>
                    <xdr:colOff>76200</xdr:colOff>
                    <xdr:row>10</xdr:row>
                    <xdr:rowOff>266700</xdr:rowOff>
                  </from>
                  <to>
                    <xdr:col>12</xdr:col>
                    <xdr:colOff>323850</xdr:colOff>
                    <xdr:row>11</xdr:row>
                    <xdr:rowOff>123825</xdr:rowOff>
                  </to>
                </anchor>
              </controlPr>
            </control>
          </mc:Choice>
        </mc:AlternateContent>
        <mc:AlternateContent xmlns:mc="http://schemas.openxmlformats.org/markup-compatibility/2006">
          <mc:Choice Requires="x14">
            <control shapeId="59397" r:id="rId7" name="Check Box 5">
              <controlPr defaultSize="0" autoFill="0" autoLine="0" autoPict="0">
                <anchor moveWithCells="1">
                  <from>
                    <xdr:col>12</xdr:col>
                    <xdr:colOff>76200</xdr:colOff>
                    <xdr:row>17</xdr:row>
                    <xdr:rowOff>85725</xdr:rowOff>
                  </from>
                  <to>
                    <xdr:col>12</xdr:col>
                    <xdr:colOff>323850</xdr:colOff>
                    <xdr:row>17</xdr:row>
                    <xdr:rowOff>352425</xdr:rowOff>
                  </to>
                </anchor>
              </controlPr>
            </control>
          </mc:Choice>
        </mc:AlternateContent>
        <mc:AlternateContent xmlns:mc="http://schemas.openxmlformats.org/markup-compatibility/2006">
          <mc:Choice Requires="x14">
            <control shapeId="59398" r:id="rId8" name="Check Box 6">
              <controlPr defaultSize="0" autoFill="0" autoLine="0" autoPict="0">
                <anchor moveWithCells="1">
                  <from>
                    <xdr:col>12</xdr:col>
                    <xdr:colOff>76200</xdr:colOff>
                    <xdr:row>18</xdr:row>
                    <xdr:rowOff>76200</xdr:rowOff>
                  </from>
                  <to>
                    <xdr:col>12</xdr:col>
                    <xdr:colOff>323850</xdr:colOff>
                    <xdr:row>18</xdr:row>
                    <xdr:rowOff>342900</xdr:rowOff>
                  </to>
                </anchor>
              </controlPr>
            </control>
          </mc:Choice>
        </mc:AlternateContent>
        <mc:AlternateContent xmlns:mc="http://schemas.openxmlformats.org/markup-compatibility/2006">
          <mc:Choice Requires="x14">
            <control shapeId="59399" r:id="rId9" name="Check Box 7">
              <controlPr defaultSize="0" autoFill="0" autoLine="0" autoPict="0">
                <anchor moveWithCells="1">
                  <from>
                    <xdr:col>12</xdr:col>
                    <xdr:colOff>76200</xdr:colOff>
                    <xdr:row>19</xdr:row>
                    <xdr:rowOff>66675</xdr:rowOff>
                  </from>
                  <to>
                    <xdr:col>12</xdr:col>
                    <xdr:colOff>323850</xdr:colOff>
                    <xdr:row>19</xdr:row>
                    <xdr:rowOff>333375</xdr:rowOff>
                  </to>
                </anchor>
              </controlPr>
            </control>
          </mc:Choice>
        </mc:AlternateContent>
        <mc:AlternateContent xmlns:mc="http://schemas.openxmlformats.org/markup-compatibility/2006">
          <mc:Choice Requires="x14">
            <control shapeId="59405" r:id="rId10" name="Check Box 13">
              <controlPr defaultSize="0" autoFill="0" autoLine="0" autoPict="0">
                <anchor moveWithCells="1">
                  <from>
                    <xdr:col>12</xdr:col>
                    <xdr:colOff>76200</xdr:colOff>
                    <xdr:row>20</xdr:row>
                    <xdr:rowOff>66675</xdr:rowOff>
                  </from>
                  <to>
                    <xdr:col>12</xdr:col>
                    <xdr:colOff>323850</xdr:colOff>
                    <xdr:row>20</xdr:row>
                    <xdr:rowOff>333375</xdr:rowOff>
                  </to>
                </anchor>
              </controlPr>
            </control>
          </mc:Choice>
        </mc:AlternateContent>
        <mc:AlternateContent xmlns:mc="http://schemas.openxmlformats.org/markup-compatibility/2006">
          <mc:Choice Requires="x14">
            <control shapeId="59406" r:id="rId11" name="Check Box 14">
              <controlPr defaultSize="0" autoFill="0" autoLine="0" autoPict="0">
                <anchor moveWithCells="1">
                  <from>
                    <xdr:col>12</xdr:col>
                    <xdr:colOff>76200</xdr:colOff>
                    <xdr:row>21</xdr:row>
                    <xdr:rowOff>504825</xdr:rowOff>
                  </from>
                  <to>
                    <xdr:col>12</xdr:col>
                    <xdr:colOff>323850</xdr:colOff>
                    <xdr:row>21</xdr:row>
                    <xdr:rowOff>771525</xdr:rowOff>
                  </to>
                </anchor>
              </controlPr>
            </control>
          </mc:Choice>
        </mc:AlternateContent>
        <mc:AlternateContent xmlns:mc="http://schemas.openxmlformats.org/markup-compatibility/2006">
          <mc:Choice Requires="x14">
            <control shapeId="59407" r:id="rId12" name="Check Box 15">
              <controlPr defaultSize="0" autoFill="0" autoLine="0" autoPict="0">
                <anchor moveWithCells="1">
                  <from>
                    <xdr:col>12</xdr:col>
                    <xdr:colOff>76200</xdr:colOff>
                    <xdr:row>22</xdr:row>
                    <xdr:rowOff>66675</xdr:rowOff>
                  </from>
                  <to>
                    <xdr:col>12</xdr:col>
                    <xdr:colOff>323850</xdr:colOff>
                    <xdr:row>22</xdr:row>
                    <xdr:rowOff>333375</xdr:rowOff>
                  </to>
                </anchor>
              </controlPr>
            </control>
          </mc:Choice>
        </mc:AlternateContent>
        <mc:AlternateContent xmlns:mc="http://schemas.openxmlformats.org/markup-compatibility/2006">
          <mc:Choice Requires="x14">
            <control shapeId="59408" r:id="rId13" name="Check Box 16">
              <controlPr defaultSize="0" autoFill="0" autoLine="0" autoPict="0">
                <anchor moveWithCells="1">
                  <from>
                    <xdr:col>12</xdr:col>
                    <xdr:colOff>76200</xdr:colOff>
                    <xdr:row>23</xdr:row>
                    <xdr:rowOff>400050</xdr:rowOff>
                  </from>
                  <to>
                    <xdr:col>12</xdr:col>
                    <xdr:colOff>323850</xdr:colOff>
                    <xdr:row>23</xdr:row>
                    <xdr:rowOff>666750</xdr:rowOff>
                  </to>
                </anchor>
              </controlPr>
            </control>
          </mc:Choice>
        </mc:AlternateContent>
        <mc:AlternateContent xmlns:mc="http://schemas.openxmlformats.org/markup-compatibility/2006">
          <mc:Choice Requires="x14">
            <control shapeId="59409" r:id="rId14" name="Check Box 17">
              <controlPr defaultSize="0" autoFill="0" autoLine="0" autoPict="0">
                <anchor moveWithCells="1">
                  <from>
                    <xdr:col>12</xdr:col>
                    <xdr:colOff>76200</xdr:colOff>
                    <xdr:row>25</xdr:row>
                    <xdr:rowOff>76200</xdr:rowOff>
                  </from>
                  <to>
                    <xdr:col>12</xdr:col>
                    <xdr:colOff>323850</xdr:colOff>
                    <xdr:row>25</xdr:row>
                    <xdr:rowOff>342900</xdr:rowOff>
                  </to>
                </anchor>
              </controlPr>
            </control>
          </mc:Choice>
        </mc:AlternateContent>
        <mc:AlternateContent xmlns:mc="http://schemas.openxmlformats.org/markup-compatibility/2006">
          <mc:Choice Requires="x14">
            <control shapeId="59410" r:id="rId15" name="Check Box 18">
              <controlPr defaultSize="0" autoFill="0" autoLine="0" autoPict="0">
                <anchor moveWithCells="1">
                  <from>
                    <xdr:col>12</xdr:col>
                    <xdr:colOff>76200</xdr:colOff>
                    <xdr:row>27</xdr:row>
                    <xdr:rowOff>276225</xdr:rowOff>
                  </from>
                  <to>
                    <xdr:col>12</xdr:col>
                    <xdr:colOff>323850</xdr:colOff>
                    <xdr:row>28</xdr:row>
                    <xdr:rowOff>133350</xdr:rowOff>
                  </to>
                </anchor>
              </controlPr>
            </control>
          </mc:Choice>
        </mc:AlternateContent>
        <mc:AlternateContent xmlns:mc="http://schemas.openxmlformats.org/markup-compatibility/2006">
          <mc:Choice Requires="x14">
            <control shapeId="59411" r:id="rId16" name="Check Box 19">
              <controlPr defaultSize="0" autoFill="0" autoLine="0" autoPict="0">
                <anchor moveWithCells="1">
                  <from>
                    <xdr:col>12</xdr:col>
                    <xdr:colOff>76200</xdr:colOff>
                    <xdr:row>29</xdr:row>
                    <xdr:rowOff>66675</xdr:rowOff>
                  </from>
                  <to>
                    <xdr:col>12</xdr:col>
                    <xdr:colOff>323850</xdr:colOff>
                    <xdr:row>29</xdr:row>
                    <xdr:rowOff>333375</xdr:rowOff>
                  </to>
                </anchor>
              </controlPr>
            </control>
          </mc:Choice>
        </mc:AlternateContent>
        <mc:AlternateContent xmlns:mc="http://schemas.openxmlformats.org/markup-compatibility/2006">
          <mc:Choice Requires="x14">
            <control shapeId="59412" r:id="rId17" name="Check Box 20">
              <controlPr defaultSize="0" autoFill="0" autoLine="0" autoPict="0">
                <anchor moveWithCells="1">
                  <from>
                    <xdr:col>12</xdr:col>
                    <xdr:colOff>76200</xdr:colOff>
                    <xdr:row>30</xdr:row>
                    <xdr:rowOff>66675</xdr:rowOff>
                  </from>
                  <to>
                    <xdr:col>12</xdr:col>
                    <xdr:colOff>323850</xdr:colOff>
                    <xdr:row>30</xdr:row>
                    <xdr:rowOff>333375</xdr:rowOff>
                  </to>
                </anchor>
              </controlPr>
            </control>
          </mc:Choice>
        </mc:AlternateContent>
        <mc:AlternateContent xmlns:mc="http://schemas.openxmlformats.org/markup-compatibility/2006">
          <mc:Choice Requires="x14">
            <control shapeId="59413" r:id="rId18" name="Check Box 21">
              <controlPr defaultSize="0" autoFill="0" autoLine="0" autoPict="0">
                <anchor moveWithCells="1">
                  <from>
                    <xdr:col>12</xdr:col>
                    <xdr:colOff>76200</xdr:colOff>
                    <xdr:row>31</xdr:row>
                    <xdr:rowOff>85725</xdr:rowOff>
                  </from>
                  <to>
                    <xdr:col>12</xdr:col>
                    <xdr:colOff>323850</xdr:colOff>
                    <xdr:row>31</xdr:row>
                    <xdr:rowOff>352425</xdr:rowOff>
                  </to>
                </anchor>
              </controlPr>
            </control>
          </mc:Choice>
        </mc:AlternateContent>
        <mc:AlternateContent xmlns:mc="http://schemas.openxmlformats.org/markup-compatibility/2006">
          <mc:Choice Requires="x14">
            <control shapeId="59414" r:id="rId19" name="Check Box 22">
              <controlPr defaultSize="0" autoFill="0" autoLine="0" autoPict="0">
                <anchor moveWithCells="1">
                  <from>
                    <xdr:col>12</xdr:col>
                    <xdr:colOff>76200</xdr:colOff>
                    <xdr:row>32</xdr:row>
                    <xdr:rowOff>561975</xdr:rowOff>
                  </from>
                  <to>
                    <xdr:col>12</xdr:col>
                    <xdr:colOff>323850</xdr:colOff>
                    <xdr:row>32</xdr:row>
                    <xdr:rowOff>828675</xdr:rowOff>
                  </to>
                </anchor>
              </controlPr>
            </control>
          </mc:Choice>
        </mc:AlternateContent>
        <mc:AlternateContent xmlns:mc="http://schemas.openxmlformats.org/markup-compatibility/2006">
          <mc:Choice Requires="x14">
            <control shapeId="59415" r:id="rId20" name="Check Box 23">
              <controlPr defaultSize="0" autoFill="0" autoLine="0" autoPict="0">
                <anchor moveWithCells="1">
                  <from>
                    <xdr:col>12</xdr:col>
                    <xdr:colOff>76200</xdr:colOff>
                    <xdr:row>33</xdr:row>
                    <xdr:rowOff>19050</xdr:rowOff>
                  </from>
                  <to>
                    <xdr:col>12</xdr:col>
                    <xdr:colOff>323850</xdr:colOff>
                    <xdr:row>33</xdr:row>
                    <xdr:rowOff>285750</xdr:rowOff>
                  </to>
                </anchor>
              </controlPr>
            </control>
          </mc:Choice>
        </mc:AlternateContent>
        <mc:AlternateContent xmlns:mc="http://schemas.openxmlformats.org/markup-compatibility/2006">
          <mc:Choice Requires="x14">
            <control shapeId="59416" r:id="rId21" name="Check Box 24">
              <controlPr defaultSize="0" autoFill="0" autoLine="0" autoPict="0">
                <anchor moveWithCells="1">
                  <from>
                    <xdr:col>12</xdr:col>
                    <xdr:colOff>76200</xdr:colOff>
                    <xdr:row>34</xdr:row>
                    <xdr:rowOff>19050</xdr:rowOff>
                  </from>
                  <to>
                    <xdr:col>12</xdr:col>
                    <xdr:colOff>323850</xdr:colOff>
                    <xdr:row>34</xdr:row>
                    <xdr:rowOff>285750</xdr:rowOff>
                  </to>
                </anchor>
              </controlPr>
            </control>
          </mc:Choice>
        </mc:AlternateContent>
        <mc:AlternateContent xmlns:mc="http://schemas.openxmlformats.org/markup-compatibility/2006">
          <mc:Choice Requires="x14">
            <control shapeId="59417" r:id="rId22" name="Check Box 25">
              <controlPr defaultSize="0" autoFill="0" autoLine="0" autoPict="0">
                <anchor moveWithCells="1">
                  <from>
                    <xdr:col>12</xdr:col>
                    <xdr:colOff>76200</xdr:colOff>
                    <xdr:row>35</xdr:row>
                    <xdr:rowOff>19050</xdr:rowOff>
                  </from>
                  <to>
                    <xdr:col>12</xdr:col>
                    <xdr:colOff>323850</xdr:colOff>
                    <xdr:row>35</xdr:row>
                    <xdr:rowOff>285750</xdr:rowOff>
                  </to>
                </anchor>
              </controlPr>
            </control>
          </mc:Choice>
        </mc:AlternateContent>
        <mc:AlternateContent xmlns:mc="http://schemas.openxmlformats.org/markup-compatibility/2006">
          <mc:Choice Requires="x14">
            <control shapeId="59418" r:id="rId23" name="Check Box 26">
              <controlPr defaultSize="0" autoFill="0" autoLine="0" autoPict="0">
                <anchor moveWithCells="1">
                  <from>
                    <xdr:col>12</xdr:col>
                    <xdr:colOff>76200</xdr:colOff>
                    <xdr:row>36</xdr:row>
                    <xdr:rowOff>38100</xdr:rowOff>
                  </from>
                  <to>
                    <xdr:col>12</xdr:col>
                    <xdr:colOff>323850</xdr:colOff>
                    <xdr:row>36</xdr:row>
                    <xdr:rowOff>304800</xdr:rowOff>
                  </to>
                </anchor>
              </controlPr>
            </control>
          </mc:Choice>
        </mc:AlternateContent>
        <mc:AlternateContent xmlns:mc="http://schemas.openxmlformats.org/markup-compatibility/2006">
          <mc:Choice Requires="x14">
            <control shapeId="59419" r:id="rId24" name="Check Box 27">
              <controlPr defaultSize="0" autoFill="0" autoLine="0" autoPict="0">
                <anchor moveWithCells="1">
                  <from>
                    <xdr:col>12</xdr:col>
                    <xdr:colOff>76200</xdr:colOff>
                    <xdr:row>37</xdr:row>
                    <xdr:rowOff>38100</xdr:rowOff>
                  </from>
                  <to>
                    <xdr:col>12</xdr:col>
                    <xdr:colOff>323850</xdr:colOff>
                    <xdr:row>37</xdr:row>
                    <xdr:rowOff>304800</xdr:rowOff>
                  </to>
                </anchor>
              </controlPr>
            </control>
          </mc:Choice>
        </mc:AlternateContent>
        <mc:AlternateContent xmlns:mc="http://schemas.openxmlformats.org/markup-compatibility/2006">
          <mc:Choice Requires="x14">
            <control shapeId="59420" r:id="rId25" name="Check Box 28">
              <controlPr defaultSize="0" autoFill="0" autoLine="0" autoPict="0">
                <anchor moveWithCells="1">
                  <from>
                    <xdr:col>12</xdr:col>
                    <xdr:colOff>76200</xdr:colOff>
                    <xdr:row>38</xdr:row>
                    <xdr:rowOff>38100</xdr:rowOff>
                  </from>
                  <to>
                    <xdr:col>12</xdr:col>
                    <xdr:colOff>323850</xdr:colOff>
                    <xdr:row>38</xdr:row>
                    <xdr:rowOff>304800</xdr:rowOff>
                  </to>
                </anchor>
              </controlPr>
            </control>
          </mc:Choice>
        </mc:AlternateContent>
        <mc:AlternateContent xmlns:mc="http://schemas.openxmlformats.org/markup-compatibility/2006">
          <mc:Choice Requires="x14">
            <control shapeId="59421" r:id="rId26" name="Check Box 29">
              <controlPr defaultSize="0" autoFill="0" autoLine="0" autoPict="0">
                <anchor moveWithCells="1">
                  <from>
                    <xdr:col>12</xdr:col>
                    <xdr:colOff>76200</xdr:colOff>
                    <xdr:row>39</xdr:row>
                    <xdr:rowOff>152400</xdr:rowOff>
                  </from>
                  <to>
                    <xdr:col>12</xdr:col>
                    <xdr:colOff>323850</xdr:colOff>
                    <xdr:row>39</xdr:row>
                    <xdr:rowOff>419100</xdr:rowOff>
                  </to>
                </anchor>
              </controlPr>
            </control>
          </mc:Choice>
        </mc:AlternateContent>
        <mc:AlternateContent xmlns:mc="http://schemas.openxmlformats.org/markup-compatibility/2006">
          <mc:Choice Requires="x14">
            <control shapeId="59422" r:id="rId27" name="Check Box 30">
              <controlPr defaultSize="0" autoFill="0" autoLine="0" autoPict="0">
                <anchor moveWithCells="1">
                  <from>
                    <xdr:col>12</xdr:col>
                    <xdr:colOff>76200</xdr:colOff>
                    <xdr:row>40</xdr:row>
                    <xdr:rowOff>828675</xdr:rowOff>
                  </from>
                  <to>
                    <xdr:col>12</xdr:col>
                    <xdr:colOff>323850</xdr:colOff>
                    <xdr:row>40</xdr:row>
                    <xdr:rowOff>1095375</xdr:rowOff>
                  </to>
                </anchor>
              </controlPr>
            </control>
          </mc:Choice>
        </mc:AlternateContent>
        <mc:AlternateContent xmlns:mc="http://schemas.openxmlformats.org/markup-compatibility/2006">
          <mc:Choice Requires="x14">
            <control shapeId="59424" r:id="rId28" name="Check Box 32">
              <controlPr defaultSize="0" autoFill="0" autoLine="0" autoPict="0">
                <anchor moveWithCells="1">
                  <from>
                    <xdr:col>12</xdr:col>
                    <xdr:colOff>76200</xdr:colOff>
                    <xdr:row>41</xdr:row>
                    <xdr:rowOff>600075</xdr:rowOff>
                  </from>
                  <to>
                    <xdr:col>12</xdr:col>
                    <xdr:colOff>323850</xdr:colOff>
                    <xdr:row>41</xdr:row>
                    <xdr:rowOff>866775</xdr:rowOff>
                  </to>
                </anchor>
              </controlPr>
            </control>
          </mc:Choice>
        </mc:AlternateContent>
        <mc:AlternateContent xmlns:mc="http://schemas.openxmlformats.org/markup-compatibility/2006">
          <mc:Choice Requires="x14">
            <control shapeId="59426" r:id="rId29" name="Check Box 34">
              <controlPr defaultSize="0" autoFill="0" autoLine="0" autoPict="0">
                <anchor moveWithCells="1">
                  <from>
                    <xdr:col>12</xdr:col>
                    <xdr:colOff>76200</xdr:colOff>
                    <xdr:row>41</xdr:row>
                    <xdr:rowOff>1485900</xdr:rowOff>
                  </from>
                  <to>
                    <xdr:col>12</xdr:col>
                    <xdr:colOff>323850</xdr:colOff>
                    <xdr:row>43</xdr:row>
                    <xdr:rowOff>9525</xdr:rowOff>
                  </to>
                </anchor>
              </controlPr>
            </control>
          </mc:Choice>
        </mc:AlternateContent>
        <mc:AlternateContent xmlns:mc="http://schemas.openxmlformats.org/markup-compatibility/2006">
          <mc:Choice Requires="x14">
            <control shapeId="59428" r:id="rId30" name="Check Box 36">
              <controlPr defaultSize="0" autoFill="0" autoLine="0" autoPict="0">
                <anchor moveWithCells="1">
                  <from>
                    <xdr:col>12</xdr:col>
                    <xdr:colOff>76200</xdr:colOff>
                    <xdr:row>43</xdr:row>
                    <xdr:rowOff>381000</xdr:rowOff>
                  </from>
                  <to>
                    <xdr:col>12</xdr:col>
                    <xdr:colOff>323850</xdr:colOff>
                    <xdr:row>43</xdr:row>
                    <xdr:rowOff>647700</xdr:rowOff>
                  </to>
                </anchor>
              </controlPr>
            </control>
          </mc:Choice>
        </mc:AlternateContent>
        <mc:AlternateContent xmlns:mc="http://schemas.openxmlformats.org/markup-compatibility/2006">
          <mc:Choice Requires="x14">
            <control shapeId="59429" r:id="rId31" name="Check Box 37">
              <controlPr defaultSize="0" autoFill="0" autoLine="0" autoPict="0">
                <anchor moveWithCells="1">
                  <from>
                    <xdr:col>12</xdr:col>
                    <xdr:colOff>76200</xdr:colOff>
                    <xdr:row>46</xdr:row>
                    <xdr:rowOff>171450</xdr:rowOff>
                  </from>
                  <to>
                    <xdr:col>12</xdr:col>
                    <xdr:colOff>323850</xdr:colOff>
                    <xdr:row>46</xdr:row>
                    <xdr:rowOff>438150</xdr:rowOff>
                  </to>
                </anchor>
              </controlPr>
            </control>
          </mc:Choice>
        </mc:AlternateContent>
        <mc:AlternateContent xmlns:mc="http://schemas.openxmlformats.org/markup-compatibility/2006">
          <mc:Choice Requires="x14">
            <control shapeId="59431" r:id="rId32" name="Check Box 39">
              <controlPr defaultSize="0" autoFill="0" autoLine="0" autoPict="0">
                <anchor moveWithCells="1">
                  <from>
                    <xdr:col>12</xdr:col>
                    <xdr:colOff>76200</xdr:colOff>
                    <xdr:row>47</xdr:row>
                    <xdr:rowOff>28575</xdr:rowOff>
                  </from>
                  <to>
                    <xdr:col>12</xdr:col>
                    <xdr:colOff>323850</xdr:colOff>
                    <xdr:row>47</xdr:row>
                    <xdr:rowOff>295275</xdr:rowOff>
                  </to>
                </anchor>
              </controlPr>
            </control>
          </mc:Choice>
        </mc:AlternateContent>
        <mc:AlternateContent xmlns:mc="http://schemas.openxmlformats.org/markup-compatibility/2006">
          <mc:Choice Requires="x14">
            <control shapeId="59432" r:id="rId33" name="Check Box 40">
              <controlPr defaultSize="0" autoFill="0" autoLine="0" autoPict="0">
                <anchor moveWithCells="1">
                  <from>
                    <xdr:col>12</xdr:col>
                    <xdr:colOff>76200</xdr:colOff>
                    <xdr:row>48</xdr:row>
                    <xdr:rowOff>19050</xdr:rowOff>
                  </from>
                  <to>
                    <xdr:col>12</xdr:col>
                    <xdr:colOff>323850</xdr:colOff>
                    <xdr:row>48</xdr:row>
                    <xdr:rowOff>285750</xdr:rowOff>
                  </to>
                </anchor>
              </controlPr>
            </control>
          </mc:Choice>
        </mc:AlternateContent>
        <mc:AlternateContent xmlns:mc="http://schemas.openxmlformats.org/markup-compatibility/2006">
          <mc:Choice Requires="x14">
            <control shapeId="59434" r:id="rId34" name="Check Box 42">
              <controlPr defaultSize="0" autoFill="0" autoLine="0" autoPict="0">
                <anchor moveWithCells="1">
                  <from>
                    <xdr:col>12</xdr:col>
                    <xdr:colOff>76200</xdr:colOff>
                    <xdr:row>49</xdr:row>
                    <xdr:rowOff>38100</xdr:rowOff>
                  </from>
                  <to>
                    <xdr:col>12</xdr:col>
                    <xdr:colOff>323850</xdr:colOff>
                    <xdr:row>49</xdr:row>
                    <xdr:rowOff>304800</xdr:rowOff>
                  </to>
                </anchor>
              </controlPr>
            </control>
          </mc:Choice>
        </mc:AlternateContent>
        <mc:AlternateContent xmlns:mc="http://schemas.openxmlformats.org/markup-compatibility/2006">
          <mc:Choice Requires="x14">
            <control shapeId="59436" r:id="rId35" name="Check Box 44">
              <controlPr defaultSize="0" autoFill="0" autoLine="0" autoPict="0">
                <anchor moveWithCells="1">
                  <from>
                    <xdr:col>12</xdr:col>
                    <xdr:colOff>76200</xdr:colOff>
                    <xdr:row>52</xdr:row>
                    <xdr:rowOff>47625</xdr:rowOff>
                  </from>
                  <to>
                    <xdr:col>12</xdr:col>
                    <xdr:colOff>323850</xdr:colOff>
                    <xdr:row>52</xdr:row>
                    <xdr:rowOff>314325</xdr:rowOff>
                  </to>
                </anchor>
              </controlPr>
            </control>
          </mc:Choice>
        </mc:AlternateContent>
        <mc:AlternateContent xmlns:mc="http://schemas.openxmlformats.org/markup-compatibility/2006">
          <mc:Choice Requires="x14">
            <control shapeId="59437" r:id="rId36" name="Check Box 45">
              <controlPr defaultSize="0" autoFill="0" autoLine="0" autoPict="0">
                <anchor moveWithCells="1">
                  <from>
                    <xdr:col>12</xdr:col>
                    <xdr:colOff>76200</xdr:colOff>
                    <xdr:row>53</xdr:row>
                    <xdr:rowOff>104775</xdr:rowOff>
                  </from>
                  <to>
                    <xdr:col>12</xdr:col>
                    <xdr:colOff>323850</xdr:colOff>
                    <xdr:row>53</xdr:row>
                    <xdr:rowOff>371475</xdr:rowOff>
                  </to>
                </anchor>
              </controlPr>
            </control>
          </mc:Choice>
        </mc:AlternateContent>
        <mc:AlternateContent xmlns:mc="http://schemas.openxmlformats.org/markup-compatibility/2006">
          <mc:Choice Requires="x14">
            <control shapeId="59438" r:id="rId37" name="Check Box 46">
              <controlPr defaultSize="0" autoFill="0" autoLine="0" autoPict="0">
                <anchor moveWithCells="1">
                  <from>
                    <xdr:col>12</xdr:col>
                    <xdr:colOff>76200</xdr:colOff>
                    <xdr:row>54</xdr:row>
                    <xdr:rowOff>85725</xdr:rowOff>
                  </from>
                  <to>
                    <xdr:col>12</xdr:col>
                    <xdr:colOff>323850</xdr:colOff>
                    <xdr:row>54</xdr:row>
                    <xdr:rowOff>352425</xdr:rowOff>
                  </to>
                </anchor>
              </controlPr>
            </control>
          </mc:Choice>
        </mc:AlternateContent>
        <mc:AlternateContent xmlns:mc="http://schemas.openxmlformats.org/markup-compatibility/2006">
          <mc:Choice Requires="x14">
            <control shapeId="59439" r:id="rId38" name="Check Box 47">
              <controlPr defaultSize="0" autoFill="0" autoLine="0" autoPict="0">
                <anchor moveWithCells="1">
                  <from>
                    <xdr:col>12</xdr:col>
                    <xdr:colOff>76200</xdr:colOff>
                    <xdr:row>55</xdr:row>
                    <xdr:rowOff>28575</xdr:rowOff>
                  </from>
                  <to>
                    <xdr:col>12</xdr:col>
                    <xdr:colOff>323850</xdr:colOff>
                    <xdr:row>55</xdr:row>
                    <xdr:rowOff>295275</xdr:rowOff>
                  </to>
                </anchor>
              </controlPr>
            </control>
          </mc:Choice>
        </mc:AlternateContent>
        <mc:AlternateContent xmlns:mc="http://schemas.openxmlformats.org/markup-compatibility/2006">
          <mc:Choice Requires="x14">
            <control shapeId="59440" r:id="rId39" name="Check Box 48">
              <controlPr defaultSize="0" autoFill="0" autoLine="0" autoPict="0">
                <anchor moveWithCells="1">
                  <from>
                    <xdr:col>12</xdr:col>
                    <xdr:colOff>76200</xdr:colOff>
                    <xdr:row>56</xdr:row>
                    <xdr:rowOff>76200</xdr:rowOff>
                  </from>
                  <to>
                    <xdr:col>12</xdr:col>
                    <xdr:colOff>323850</xdr:colOff>
                    <xdr:row>56</xdr:row>
                    <xdr:rowOff>342900</xdr:rowOff>
                  </to>
                </anchor>
              </controlPr>
            </control>
          </mc:Choice>
        </mc:AlternateContent>
        <mc:AlternateContent xmlns:mc="http://schemas.openxmlformats.org/markup-compatibility/2006">
          <mc:Choice Requires="x14">
            <control shapeId="59441" r:id="rId40" name="Check Box 49">
              <controlPr defaultSize="0" autoFill="0" autoLine="0" autoPict="0">
                <anchor moveWithCells="1">
                  <from>
                    <xdr:col>12</xdr:col>
                    <xdr:colOff>76200</xdr:colOff>
                    <xdr:row>57</xdr:row>
                    <xdr:rowOff>38100</xdr:rowOff>
                  </from>
                  <to>
                    <xdr:col>12</xdr:col>
                    <xdr:colOff>323850</xdr:colOff>
                    <xdr:row>57</xdr:row>
                    <xdr:rowOff>304800</xdr:rowOff>
                  </to>
                </anchor>
              </controlPr>
            </control>
          </mc:Choice>
        </mc:AlternateContent>
        <mc:AlternateContent xmlns:mc="http://schemas.openxmlformats.org/markup-compatibility/2006">
          <mc:Choice Requires="x14">
            <control shapeId="59442" r:id="rId41" name="Check Box 50">
              <controlPr defaultSize="0" autoFill="0" autoLine="0" autoPict="0">
                <anchor moveWithCells="1">
                  <from>
                    <xdr:col>12</xdr:col>
                    <xdr:colOff>76200</xdr:colOff>
                    <xdr:row>58</xdr:row>
                    <xdr:rowOff>495300</xdr:rowOff>
                  </from>
                  <to>
                    <xdr:col>12</xdr:col>
                    <xdr:colOff>323850</xdr:colOff>
                    <xdr:row>58</xdr:row>
                    <xdr:rowOff>762000</xdr:rowOff>
                  </to>
                </anchor>
              </controlPr>
            </control>
          </mc:Choice>
        </mc:AlternateContent>
        <mc:AlternateContent xmlns:mc="http://schemas.openxmlformats.org/markup-compatibility/2006">
          <mc:Choice Requires="x14">
            <control shapeId="59443" r:id="rId42" name="Check Box 51">
              <controlPr defaultSize="0" autoFill="0" autoLine="0" autoPict="0">
                <anchor moveWithCells="1">
                  <from>
                    <xdr:col>12</xdr:col>
                    <xdr:colOff>76200</xdr:colOff>
                    <xdr:row>59</xdr:row>
                    <xdr:rowOff>361950</xdr:rowOff>
                  </from>
                  <to>
                    <xdr:col>12</xdr:col>
                    <xdr:colOff>323850</xdr:colOff>
                    <xdr:row>59</xdr:row>
                    <xdr:rowOff>628650</xdr:rowOff>
                  </to>
                </anchor>
              </controlPr>
            </control>
          </mc:Choice>
        </mc:AlternateContent>
        <mc:AlternateContent xmlns:mc="http://schemas.openxmlformats.org/markup-compatibility/2006">
          <mc:Choice Requires="x14">
            <control shapeId="59444" r:id="rId43" name="Check Box 52">
              <controlPr defaultSize="0" autoFill="0" autoLine="0" autoPict="0">
                <anchor moveWithCells="1">
                  <from>
                    <xdr:col>12</xdr:col>
                    <xdr:colOff>76200</xdr:colOff>
                    <xdr:row>60</xdr:row>
                    <xdr:rowOff>485775</xdr:rowOff>
                  </from>
                  <to>
                    <xdr:col>12</xdr:col>
                    <xdr:colOff>323850</xdr:colOff>
                    <xdr:row>60</xdr:row>
                    <xdr:rowOff>752475</xdr:rowOff>
                  </to>
                </anchor>
              </controlPr>
            </control>
          </mc:Choice>
        </mc:AlternateContent>
        <mc:AlternateContent xmlns:mc="http://schemas.openxmlformats.org/markup-compatibility/2006">
          <mc:Choice Requires="x14">
            <control shapeId="59445" r:id="rId44" name="Check Box 53">
              <controlPr defaultSize="0" autoFill="0" autoLine="0" autoPict="0">
                <anchor moveWithCells="1">
                  <from>
                    <xdr:col>12</xdr:col>
                    <xdr:colOff>76200</xdr:colOff>
                    <xdr:row>61</xdr:row>
                    <xdr:rowOff>47625</xdr:rowOff>
                  </from>
                  <to>
                    <xdr:col>12</xdr:col>
                    <xdr:colOff>323850</xdr:colOff>
                    <xdr:row>61</xdr:row>
                    <xdr:rowOff>314325</xdr:rowOff>
                  </to>
                </anchor>
              </controlPr>
            </control>
          </mc:Choice>
        </mc:AlternateContent>
        <mc:AlternateContent xmlns:mc="http://schemas.openxmlformats.org/markup-compatibility/2006">
          <mc:Choice Requires="x14">
            <control shapeId="59446" r:id="rId45" name="Check Box 54">
              <controlPr defaultSize="0" autoFill="0" autoLine="0" autoPict="0">
                <anchor moveWithCells="1">
                  <from>
                    <xdr:col>12</xdr:col>
                    <xdr:colOff>76200</xdr:colOff>
                    <xdr:row>62</xdr:row>
                    <xdr:rowOff>57150</xdr:rowOff>
                  </from>
                  <to>
                    <xdr:col>12</xdr:col>
                    <xdr:colOff>323850</xdr:colOff>
                    <xdr:row>62</xdr:row>
                    <xdr:rowOff>323850</xdr:rowOff>
                  </to>
                </anchor>
              </controlPr>
            </control>
          </mc:Choice>
        </mc:AlternateContent>
        <mc:AlternateContent xmlns:mc="http://schemas.openxmlformats.org/markup-compatibility/2006">
          <mc:Choice Requires="x14">
            <control shapeId="59447" r:id="rId46" name="Check Box 55">
              <controlPr defaultSize="0" autoFill="0" autoLine="0" autoPict="0">
                <anchor moveWithCells="1">
                  <from>
                    <xdr:col>12</xdr:col>
                    <xdr:colOff>76200</xdr:colOff>
                    <xdr:row>64</xdr:row>
                    <xdr:rowOff>238125</xdr:rowOff>
                  </from>
                  <to>
                    <xdr:col>12</xdr:col>
                    <xdr:colOff>323850</xdr:colOff>
                    <xdr:row>64</xdr:row>
                    <xdr:rowOff>504825</xdr:rowOff>
                  </to>
                </anchor>
              </controlPr>
            </control>
          </mc:Choice>
        </mc:AlternateContent>
        <mc:AlternateContent xmlns:mc="http://schemas.openxmlformats.org/markup-compatibility/2006">
          <mc:Choice Requires="x14">
            <control shapeId="59448" r:id="rId47" name="Check Box 56">
              <controlPr defaultSize="0" autoFill="0" autoLine="0" autoPict="0">
                <anchor moveWithCells="1">
                  <from>
                    <xdr:col>12</xdr:col>
                    <xdr:colOff>76200</xdr:colOff>
                    <xdr:row>66</xdr:row>
                    <xdr:rowOff>57150</xdr:rowOff>
                  </from>
                  <to>
                    <xdr:col>12</xdr:col>
                    <xdr:colOff>323850</xdr:colOff>
                    <xdr:row>66</xdr:row>
                    <xdr:rowOff>323850</xdr:rowOff>
                  </to>
                </anchor>
              </controlPr>
            </control>
          </mc:Choice>
        </mc:AlternateContent>
        <mc:AlternateContent xmlns:mc="http://schemas.openxmlformats.org/markup-compatibility/2006">
          <mc:Choice Requires="x14">
            <control shapeId="59449" r:id="rId48" name="Check Box 57">
              <controlPr defaultSize="0" autoFill="0" autoLine="0" autoPict="0">
                <anchor moveWithCells="1">
                  <from>
                    <xdr:col>12</xdr:col>
                    <xdr:colOff>76200</xdr:colOff>
                    <xdr:row>67</xdr:row>
                    <xdr:rowOff>47625</xdr:rowOff>
                  </from>
                  <to>
                    <xdr:col>12</xdr:col>
                    <xdr:colOff>323850</xdr:colOff>
                    <xdr:row>67</xdr:row>
                    <xdr:rowOff>314325</xdr:rowOff>
                  </to>
                </anchor>
              </controlPr>
            </control>
          </mc:Choice>
        </mc:AlternateContent>
        <mc:AlternateContent xmlns:mc="http://schemas.openxmlformats.org/markup-compatibility/2006">
          <mc:Choice Requires="x14">
            <control shapeId="59450" r:id="rId49" name="Check Box 58">
              <controlPr defaultSize="0" autoFill="0" autoLine="0" autoPict="0">
                <anchor moveWithCells="1">
                  <from>
                    <xdr:col>12</xdr:col>
                    <xdr:colOff>76200</xdr:colOff>
                    <xdr:row>68</xdr:row>
                    <xdr:rowOff>57150</xdr:rowOff>
                  </from>
                  <to>
                    <xdr:col>12</xdr:col>
                    <xdr:colOff>323850</xdr:colOff>
                    <xdr:row>68</xdr:row>
                    <xdr:rowOff>323850</xdr:rowOff>
                  </to>
                </anchor>
              </controlPr>
            </control>
          </mc:Choice>
        </mc:AlternateContent>
        <mc:AlternateContent xmlns:mc="http://schemas.openxmlformats.org/markup-compatibility/2006">
          <mc:Choice Requires="x14">
            <control shapeId="59451" r:id="rId50" name="Check Box 59">
              <controlPr defaultSize="0" autoFill="0" autoLine="0" autoPict="0">
                <anchor moveWithCells="1">
                  <from>
                    <xdr:col>12</xdr:col>
                    <xdr:colOff>76200</xdr:colOff>
                    <xdr:row>69</xdr:row>
                    <xdr:rowOff>57150</xdr:rowOff>
                  </from>
                  <to>
                    <xdr:col>12</xdr:col>
                    <xdr:colOff>323850</xdr:colOff>
                    <xdr:row>69</xdr:row>
                    <xdr:rowOff>323850</xdr:rowOff>
                  </to>
                </anchor>
              </controlPr>
            </control>
          </mc:Choice>
        </mc:AlternateContent>
        <mc:AlternateContent xmlns:mc="http://schemas.openxmlformats.org/markup-compatibility/2006">
          <mc:Choice Requires="x14">
            <control shapeId="59452" r:id="rId51" name="Check Box 60">
              <controlPr defaultSize="0" autoFill="0" autoLine="0" autoPict="0">
                <anchor moveWithCells="1">
                  <from>
                    <xdr:col>12</xdr:col>
                    <xdr:colOff>76200</xdr:colOff>
                    <xdr:row>70</xdr:row>
                    <xdr:rowOff>57150</xdr:rowOff>
                  </from>
                  <to>
                    <xdr:col>12</xdr:col>
                    <xdr:colOff>323850</xdr:colOff>
                    <xdr:row>70</xdr:row>
                    <xdr:rowOff>323850</xdr:rowOff>
                  </to>
                </anchor>
              </controlPr>
            </control>
          </mc:Choice>
        </mc:AlternateContent>
        <mc:AlternateContent xmlns:mc="http://schemas.openxmlformats.org/markup-compatibility/2006">
          <mc:Choice Requires="x14">
            <control shapeId="59453" r:id="rId52" name="Check Box 61">
              <controlPr defaultSize="0" autoFill="0" autoLine="0" autoPict="0">
                <anchor moveWithCells="1">
                  <from>
                    <xdr:col>12</xdr:col>
                    <xdr:colOff>76200</xdr:colOff>
                    <xdr:row>71</xdr:row>
                    <xdr:rowOff>57150</xdr:rowOff>
                  </from>
                  <to>
                    <xdr:col>12</xdr:col>
                    <xdr:colOff>323850</xdr:colOff>
                    <xdr:row>71</xdr:row>
                    <xdr:rowOff>323850</xdr:rowOff>
                  </to>
                </anchor>
              </controlPr>
            </control>
          </mc:Choice>
        </mc:AlternateContent>
        <mc:AlternateContent xmlns:mc="http://schemas.openxmlformats.org/markup-compatibility/2006">
          <mc:Choice Requires="x14">
            <control shapeId="59455" r:id="rId53" name="Check Box 63">
              <controlPr defaultSize="0" autoFill="0" autoLine="0" autoPict="0">
                <anchor moveWithCells="1">
                  <from>
                    <xdr:col>12</xdr:col>
                    <xdr:colOff>76200</xdr:colOff>
                    <xdr:row>72</xdr:row>
                    <xdr:rowOff>47625</xdr:rowOff>
                  </from>
                  <to>
                    <xdr:col>12</xdr:col>
                    <xdr:colOff>323850</xdr:colOff>
                    <xdr:row>72</xdr:row>
                    <xdr:rowOff>314325</xdr:rowOff>
                  </to>
                </anchor>
              </controlPr>
            </control>
          </mc:Choice>
        </mc:AlternateContent>
        <mc:AlternateContent xmlns:mc="http://schemas.openxmlformats.org/markup-compatibility/2006">
          <mc:Choice Requires="x14">
            <control shapeId="59456" r:id="rId54" name="Check Box 64">
              <controlPr defaultSize="0" autoFill="0" autoLine="0" autoPict="0">
                <anchor moveWithCells="1">
                  <from>
                    <xdr:col>12</xdr:col>
                    <xdr:colOff>76200</xdr:colOff>
                    <xdr:row>73</xdr:row>
                    <xdr:rowOff>47625</xdr:rowOff>
                  </from>
                  <to>
                    <xdr:col>12</xdr:col>
                    <xdr:colOff>323850</xdr:colOff>
                    <xdr:row>73</xdr:row>
                    <xdr:rowOff>314325</xdr:rowOff>
                  </to>
                </anchor>
              </controlPr>
            </control>
          </mc:Choice>
        </mc:AlternateContent>
        <mc:AlternateContent xmlns:mc="http://schemas.openxmlformats.org/markup-compatibility/2006">
          <mc:Choice Requires="x14">
            <control shapeId="59457" r:id="rId55" name="Check Box 65">
              <controlPr defaultSize="0" autoFill="0" autoLine="0" autoPict="0">
                <anchor moveWithCells="1">
                  <from>
                    <xdr:col>12</xdr:col>
                    <xdr:colOff>76200</xdr:colOff>
                    <xdr:row>74</xdr:row>
                    <xdr:rowOff>57150</xdr:rowOff>
                  </from>
                  <to>
                    <xdr:col>12</xdr:col>
                    <xdr:colOff>323850</xdr:colOff>
                    <xdr:row>74</xdr:row>
                    <xdr:rowOff>323850</xdr:rowOff>
                  </to>
                </anchor>
              </controlPr>
            </control>
          </mc:Choice>
        </mc:AlternateContent>
        <mc:AlternateContent xmlns:mc="http://schemas.openxmlformats.org/markup-compatibility/2006">
          <mc:Choice Requires="x14">
            <control shapeId="59458" r:id="rId56" name="Check Box 66">
              <controlPr defaultSize="0" autoFill="0" autoLine="0" autoPict="0">
                <anchor moveWithCells="1">
                  <from>
                    <xdr:col>12</xdr:col>
                    <xdr:colOff>76200</xdr:colOff>
                    <xdr:row>75</xdr:row>
                    <xdr:rowOff>47625</xdr:rowOff>
                  </from>
                  <to>
                    <xdr:col>12</xdr:col>
                    <xdr:colOff>323850</xdr:colOff>
                    <xdr:row>75</xdr:row>
                    <xdr:rowOff>314325</xdr:rowOff>
                  </to>
                </anchor>
              </controlPr>
            </control>
          </mc:Choice>
        </mc:AlternateContent>
        <mc:AlternateContent xmlns:mc="http://schemas.openxmlformats.org/markup-compatibility/2006">
          <mc:Choice Requires="x14">
            <control shapeId="59459" r:id="rId57" name="Check Box 67">
              <controlPr defaultSize="0" autoFill="0" autoLine="0" autoPict="0">
                <anchor moveWithCells="1">
                  <from>
                    <xdr:col>12</xdr:col>
                    <xdr:colOff>76200</xdr:colOff>
                    <xdr:row>76</xdr:row>
                    <xdr:rowOff>57150</xdr:rowOff>
                  </from>
                  <to>
                    <xdr:col>12</xdr:col>
                    <xdr:colOff>323850</xdr:colOff>
                    <xdr:row>76</xdr:row>
                    <xdr:rowOff>323850</xdr:rowOff>
                  </to>
                </anchor>
              </controlPr>
            </control>
          </mc:Choice>
        </mc:AlternateContent>
        <mc:AlternateContent xmlns:mc="http://schemas.openxmlformats.org/markup-compatibility/2006">
          <mc:Choice Requires="x14">
            <control shapeId="59460" r:id="rId58" name="Check Box 68">
              <controlPr defaultSize="0" autoFill="0" autoLine="0" autoPict="0">
                <anchor moveWithCells="1">
                  <from>
                    <xdr:col>12</xdr:col>
                    <xdr:colOff>76200</xdr:colOff>
                    <xdr:row>77</xdr:row>
                    <xdr:rowOff>57150</xdr:rowOff>
                  </from>
                  <to>
                    <xdr:col>12</xdr:col>
                    <xdr:colOff>323850</xdr:colOff>
                    <xdr:row>77</xdr:row>
                    <xdr:rowOff>323850</xdr:rowOff>
                  </to>
                </anchor>
              </controlPr>
            </control>
          </mc:Choice>
        </mc:AlternateContent>
        <mc:AlternateContent xmlns:mc="http://schemas.openxmlformats.org/markup-compatibility/2006">
          <mc:Choice Requires="x14">
            <control shapeId="59461" r:id="rId59" name="Check Box 69">
              <controlPr defaultSize="0" autoFill="0" autoLine="0" autoPict="0">
                <anchor moveWithCells="1">
                  <from>
                    <xdr:col>12</xdr:col>
                    <xdr:colOff>76200</xdr:colOff>
                    <xdr:row>78</xdr:row>
                    <xdr:rowOff>57150</xdr:rowOff>
                  </from>
                  <to>
                    <xdr:col>12</xdr:col>
                    <xdr:colOff>323850</xdr:colOff>
                    <xdr:row>78</xdr:row>
                    <xdr:rowOff>323850</xdr:rowOff>
                  </to>
                </anchor>
              </controlPr>
            </control>
          </mc:Choice>
        </mc:AlternateContent>
        <mc:AlternateContent xmlns:mc="http://schemas.openxmlformats.org/markup-compatibility/2006">
          <mc:Choice Requires="x14">
            <control shapeId="59462" r:id="rId60" name="Check Box 70">
              <controlPr defaultSize="0" autoFill="0" autoLine="0" autoPict="0">
                <anchor moveWithCells="1">
                  <from>
                    <xdr:col>12</xdr:col>
                    <xdr:colOff>76200</xdr:colOff>
                    <xdr:row>79</xdr:row>
                    <xdr:rowOff>66675</xdr:rowOff>
                  </from>
                  <to>
                    <xdr:col>12</xdr:col>
                    <xdr:colOff>323850</xdr:colOff>
                    <xdr:row>79</xdr:row>
                    <xdr:rowOff>333375</xdr:rowOff>
                  </to>
                </anchor>
              </controlPr>
            </control>
          </mc:Choice>
        </mc:AlternateContent>
        <mc:AlternateContent xmlns:mc="http://schemas.openxmlformats.org/markup-compatibility/2006">
          <mc:Choice Requires="x14">
            <control shapeId="59463" r:id="rId61" name="Check Box 71">
              <controlPr defaultSize="0" autoFill="0" autoLine="0" autoPict="0">
                <anchor moveWithCells="1">
                  <from>
                    <xdr:col>12</xdr:col>
                    <xdr:colOff>76200</xdr:colOff>
                    <xdr:row>80</xdr:row>
                    <xdr:rowOff>47625</xdr:rowOff>
                  </from>
                  <to>
                    <xdr:col>12</xdr:col>
                    <xdr:colOff>323850</xdr:colOff>
                    <xdr:row>80</xdr:row>
                    <xdr:rowOff>314325</xdr:rowOff>
                  </to>
                </anchor>
              </controlPr>
            </control>
          </mc:Choice>
        </mc:AlternateContent>
        <mc:AlternateContent xmlns:mc="http://schemas.openxmlformats.org/markup-compatibility/2006">
          <mc:Choice Requires="x14">
            <control shapeId="59464" r:id="rId62" name="Check Box 72">
              <controlPr defaultSize="0" autoFill="0" autoLine="0" autoPict="0">
                <anchor moveWithCells="1">
                  <from>
                    <xdr:col>12</xdr:col>
                    <xdr:colOff>76200</xdr:colOff>
                    <xdr:row>84</xdr:row>
                    <xdr:rowOff>295275</xdr:rowOff>
                  </from>
                  <to>
                    <xdr:col>12</xdr:col>
                    <xdr:colOff>323850</xdr:colOff>
                    <xdr:row>84</xdr:row>
                    <xdr:rowOff>561975</xdr:rowOff>
                  </to>
                </anchor>
              </controlPr>
            </control>
          </mc:Choice>
        </mc:AlternateContent>
        <mc:AlternateContent xmlns:mc="http://schemas.openxmlformats.org/markup-compatibility/2006">
          <mc:Choice Requires="x14">
            <control shapeId="59465" r:id="rId63" name="Check Box 73">
              <controlPr defaultSize="0" autoFill="0" autoLine="0" autoPict="0">
                <anchor moveWithCells="1">
                  <from>
                    <xdr:col>12</xdr:col>
                    <xdr:colOff>76200</xdr:colOff>
                    <xdr:row>85</xdr:row>
                    <xdr:rowOff>152400</xdr:rowOff>
                  </from>
                  <to>
                    <xdr:col>12</xdr:col>
                    <xdr:colOff>323850</xdr:colOff>
                    <xdr:row>85</xdr:row>
                    <xdr:rowOff>419100</xdr:rowOff>
                  </to>
                </anchor>
              </controlPr>
            </control>
          </mc:Choice>
        </mc:AlternateContent>
        <mc:AlternateContent xmlns:mc="http://schemas.openxmlformats.org/markup-compatibility/2006">
          <mc:Choice Requires="x14">
            <control shapeId="59466" r:id="rId64" name="Check Box 74">
              <controlPr defaultSize="0" autoFill="0" autoLine="0" autoPict="0">
                <anchor moveWithCells="1">
                  <from>
                    <xdr:col>12</xdr:col>
                    <xdr:colOff>76200</xdr:colOff>
                    <xdr:row>86</xdr:row>
                    <xdr:rowOff>38100</xdr:rowOff>
                  </from>
                  <to>
                    <xdr:col>12</xdr:col>
                    <xdr:colOff>323850</xdr:colOff>
                    <xdr:row>86</xdr:row>
                    <xdr:rowOff>304800</xdr:rowOff>
                  </to>
                </anchor>
              </controlPr>
            </control>
          </mc:Choice>
        </mc:AlternateContent>
        <mc:AlternateContent xmlns:mc="http://schemas.openxmlformats.org/markup-compatibility/2006">
          <mc:Choice Requires="x14">
            <control shapeId="59467" r:id="rId65" name="Check Box 75">
              <controlPr defaultSize="0" autoFill="0" autoLine="0" autoPict="0">
                <anchor moveWithCells="1">
                  <from>
                    <xdr:col>12</xdr:col>
                    <xdr:colOff>76200</xdr:colOff>
                    <xdr:row>87</xdr:row>
                    <xdr:rowOff>476250</xdr:rowOff>
                  </from>
                  <to>
                    <xdr:col>12</xdr:col>
                    <xdr:colOff>323850</xdr:colOff>
                    <xdr:row>87</xdr:row>
                    <xdr:rowOff>742950</xdr:rowOff>
                  </to>
                </anchor>
              </controlPr>
            </control>
          </mc:Choice>
        </mc:AlternateContent>
        <mc:AlternateContent xmlns:mc="http://schemas.openxmlformats.org/markup-compatibility/2006">
          <mc:Choice Requires="x14">
            <control shapeId="59468" r:id="rId66" name="Check Box 76">
              <controlPr defaultSize="0" autoFill="0" autoLine="0" autoPict="0">
                <anchor moveWithCells="1">
                  <from>
                    <xdr:col>12</xdr:col>
                    <xdr:colOff>76200</xdr:colOff>
                    <xdr:row>88</xdr:row>
                    <xdr:rowOff>381000</xdr:rowOff>
                  </from>
                  <to>
                    <xdr:col>12</xdr:col>
                    <xdr:colOff>323850</xdr:colOff>
                    <xdr:row>88</xdr:row>
                    <xdr:rowOff>647700</xdr:rowOff>
                  </to>
                </anchor>
              </controlPr>
            </control>
          </mc:Choice>
        </mc:AlternateContent>
        <mc:AlternateContent xmlns:mc="http://schemas.openxmlformats.org/markup-compatibility/2006">
          <mc:Choice Requires="x14">
            <control shapeId="59469" r:id="rId67" name="Check Box 77">
              <controlPr defaultSize="0" autoFill="0" autoLine="0" autoPict="0">
                <anchor moveWithCells="1">
                  <from>
                    <xdr:col>12</xdr:col>
                    <xdr:colOff>76200</xdr:colOff>
                    <xdr:row>89</xdr:row>
                    <xdr:rowOff>57150</xdr:rowOff>
                  </from>
                  <to>
                    <xdr:col>12</xdr:col>
                    <xdr:colOff>323850</xdr:colOff>
                    <xdr:row>89</xdr:row>
                    <xdr:rowOff>323850</xdr:rowOff>
                  </to>
                </anchor>
              </controlPr>
            </control>
          </mc:Choice>
        </mc:AlternateContent>
        <mc:AlternateContent xmlns:mc="http://schemas.openxmlformats.org/markup-compatibility/2006">
          <mc:Choice Requires="x14">
            <control shapeId="59471" r:id="rId68" name="Check Box 79">
              <controlPr defaultSize="0" autoFill="0" autoLine="0" autoPict="0">
                <anchor moveWithCells="1">
                  <from>
                    <xdr:col>12</xdr:col>
                    <xdr:colOff>76200</xdr:colOff>
                    <xdr:row>92</xdr:row>
                    <xdr:rowOff>38100</xdr:rowOff>
                  </from>
                  <to>
                    <xdr:col>12</xdr:col>
                    <xdr:colOff>323850</xdr:colOff>
                    <xdr:row>92</xdr:row>
                    <xdr:rowOff>304800</xdr:rowOff>
                  </to>
                </anchor>
              </controlPr>
            </control>
          </mc:Choice>
        </mc:AlternateContent>
        <mc:AlternateContent xmlns:mc="http://schemas.openxmlformats.org/markup-compatibility/2006">
          <mc:Choice Requires="x14">
            <control shapeId="59472" r:id="rId69" name="Check Box 80">
              <controlPr defaultSize="0" autoFill="0" autoLine="0" autoPict="0">
                <anchor moveWithCells="1">
                  <from>
                    <xdr:col>12</xdr:col>
                    <xdr:colOff>76200</xdr:colOff>
                    <xdr:row>93</xdr:row>
                    <xdr:rowOff>47625</xdr:rowOff>
                  </from>
                  <to>
                    <xdr:col>12</xdr:col>
                    <xdr:colOff>323850</xdr:colOff>
                    <xdr:row>93</xdr:row>
                    <xdr:rowOff>314325</xdr:rowOff>
                  </to>
                </anchor>
              </controlPr>
            </control>
          </mc:Choice>
        </mc:AlternateContent>
        <mc:AlternateContent xmlns:mc="http://schemas.openxmlformats.org/markup-compatibility/2006">
          <mc:Choice Requires="x14">
            <control shapeId="59473" r:id="rId70" name="Check Box 81">
              <controlPr defaultSize="0" autoFill="0" autoLine="0" autoPict="0">
                <anchor moveWithCells="1">
                  <from>
                    <xdr:col>12</xdr:col>
                    <xdr:colOff>76200</xdr:colOff>
                    <xdr:row>94</xdr:row>
                    <xdr:rowOff>38100</xdr:rowOff>
                  </from>
                  <to>
                    <xdr:col>12</xdr:col>
                    <xdr:colOff>323850</xdr:colOff>
                    <xdr:row>94</xdr:row>
                    <xdr:rowOff>304800</xdr:rowOff>
                  </to>
                </anchor>
              </controlPr>
            </control>
          </mc:Choice>
        </mc:AlternateContent>
        <mc:AlternateContent xmlns:mc="http://schemas.openxmlformats.org/markup-compatibility/2006">
          <mc:Choice Requires="x14">
            <control shapeId="59474" r:id="rId71" name="Check Box 82">
              <controlPr defaultSize="0" autoFill="0" autoLine="0" autoPict="0">
                <anchor moveWithCells="1">
                  <from>
                    <xdr:col>12</xdr:col>
                    <xdr:colOff>76200</xdr:colOff>
                    <xdr:row>95</xdr:row>
                    <xdr:rowOff>57150</xdr:rowOff>
                  </from>
                  <to>
                    <xdr:col>12</xdr:col>
                    <xdr:colOff>323850</xdr:colOff>
                    <xdr:row>95</xdr:row>
                    <xdr:rowOff>323850</xdr:rowOff>
                  </to>
                </anchor>
              </controlPr>
            </control>
          </mc:Choice>
        </mc:AlternateContent>
        <mc:AlternateContent xmlns:mc="http://schemas.openxmlformats.org/markup-compatibility/2006">
          <mc:Choice Requires="x14">
            <control shapeId="59475" r:id="rId72" name="Check Box 83">
              <controlPr defaultSize="0" autoFill="0" autoLine="0" autoPict="0">
                <anchor moveWithCells="1">
                  <from>
                    <xdr:col>12</xdr:col>
                    <xdr:colOff>76200</xdr:colOff>
                    <xdr:row>96</xdr:row>
                    <xdr:rowOff>57150</xdr:rowOff>
                  </from>
                  <to>
                    <xdr:col>12</xdr:col>
                    <xdr:colOff>323850</xdr:colOff>
                    <xdr:row>96</xdr:row>
                    <xdr:rowOff>323850</xdr:rowOff>
                  </to>
                </anchor>
              </controlPr>
            </control>
          </mc:Choice>
        </mc:AlternateContent>
        <mc:AlternateContent xmlns:mc="http://schemas.openxmlformats.org/markup-compatibility/2006">
          <mc:Choice Requires="x14">
            <control shapeId="59476" r:id="rId73" name="Check Box 84">
              <controlPr defaultSize="0" autoFill="0" autoLine="0" autoPict="0">
                <anchor moveWithCells="1">
                  <from>
                    <xdr:col>12</xdr:col>
                    <xdr:colOff>76200</xdr:colOff>
                    <xdr:row>97</xdr:row>
                    <xdr:rowOff>57150</xdr:rowOff>
                  </from>
                  <to>
                    <xdr:col>12</xdr:col>
                    <xdr:colOff>323850</xdr:colOff>
                    <xdr:row>97</xdr:row>
                    <xdr:rowOff>323850</xdr:rowOff>
                  </to>
                </anchor>
              </controlPr>
            </control>
          </mc:Choice>
        </mc:AlternateContent>
        <mc:AlternateContent xmlns:mc="http://schemas.openxmlformats.org/markup-compatibility/2006">
          <mc:Choice Requires="x14">
            <control shapeId="59477" r:id="rId74" name="Check Box 85">
              <controlPr defaultSize="0" autoFill="0" autoLine="0" autoPict="0">
                <anchor moveWithCells="1">
                  <from>
                    <xdr:col>12</xdr:col>
                    <xdr:colOff>76200</xdr:colOff>
                    <xdr:row>98</xdr:row>
                    <xdr:rowOff>295275</xdr:rowOff>
                  </from>
                  <to>
                    <xdr:col>12</xdr:col>
                    <xdr:colOff>323850</xdr:colOff>
                    <xdr:row>98</xdr:row>
                    <xdr:rowOff>561975</xdr:rowOff>
                  </to>
                </anchor>
              </controlPr>
            </control>
          </mc:Choice>
        </mc:AlternateContent>
        <mc:AlternateContent xmlns:mc="http://schemas.openxmlformats.org/markup-compatibility/2006">
          <mc:Choice Requires="x14">
            <control shapeId="59478" r:id="rId75" name="Check Box 86">
              <controlPr defaultSize="0" autoFill="0" autoLine="0" autoPict="0">
                <anchor moveWithCells="1">
                  <from>
                    <xdr:col>12</xdr:col>
                    <xdr:colOff>76200</xdr:colOff>
                    <xdr:row>99</xdr:row>
                    <xdr:rowOff>476250</xdr:rowOff>
                  </from>
                  <to>
                    <xdr:col>12</xdr:col>
                    <xdr:colOff>323850</xdr:colOff>
                    <xdr:row>99</xdr:row>
                    <xdr:rowOff>742950</xdr:rowOff>
                  </to>
                </anchor>
              </controlPr>
            </control>
          </mc:Choice>
        </mc:AlternateContent>
        <mc:AlternateContent xmlns:mc="http://schemas.openxmlformats.org/markup-compatibility/2006">
          <mc:Choice Requires="x14">
            <control shapeId="59479" r:id="rId76" name="Check Box 87">
              <controlPr defaultSize="0" autoFill="0" autoLine="0" autoPict="0">
                <anchor moveWithCells="1">
                  <from>
                    <xdr:col>12</xdr:col>
                    <xdr:colOff>76200</xdr:colOff>
                    <xdr:row>103</xdr:row>
                    <xdr:rowOff>247650</xdr:rowOff>
                  </from>
                  <to>
                    <xdr:col>12</xdr:col>
                    <xdr:colOff>323850</xdr:colOff>
                    <xdr:row>104</xdr:row>
                    <xdr:rowOff>133350</xdr:rowOff>
                  </to>
                </anchor>
              </controlPr>
            </control>
          </mc:Choice>
        </mc:AlternateContent>
        <mc:AlternateContent xmlns:mc="http://schemas.openxmlformats.org/markup-compatibility/2006">
          <mc:Choice Requires="x14">
            <control shapeId="59480" r:id="rId77" name="Check Box 88">
              <controlPr defaultSize="0" autoFill="0" autoLine="0" autoPict="0">
                <anchor moveWithCells="1">
                  <from>
                    <xdr:col>12</xdr:col>
                    <xdr:colOff>76200</xdr:colOff>
                    <xdr:row>108</xdr:row>
                    <xdr:rowOff>57150</xdr:rowOff>
                  </from>
                  <to>
                    <xdr:col>12</xdr:col>
                    <xdr:colOff>323850</xdr:colOff>
                    <xdr:row>108</xdr:row>
                    <xdr:rowOff>323850</xdr:rowOff>
                  </to>
                </anchor>
              </controlPr>
            </control>
          </mc:Choice>
        </mc:AlternateContent>
        <mc:AlternateContent xmlns:mc="http://schemas.openxmlformats.org/markup-compatibility/2006">
          <mc:Choice Requires="x14">
            <control shapeId="59481" r:id="rId78" name="Check Box 89">
              <controlPr defaultSize="0" autoFill="0" autoLine="0" autoPict="0">
                <anchor moveWithCells="1">
                  <from>
                    <xdr:col>12</xdr:col>
                    <xdr:colOff>76200</xdr:colOff>
                    <xdr:row>109</xdr:row>
                    <xdr:rowOff>38100</xdr:rowOff>
                  </from>
                  <to>
                    <xdr:col>12</xdr:col>
                    <xdr:colOff>323850</xdr:colOff>
                    <xdr:row>109</xdr:row>
                    <xdr:rowOff>304800</xdr:rowOff>
                  </to>
                </anchor>
              </controlPr>
            </control>
          </mc:Choice>
        </mc:AlternateContent>
        <mc:AlternateContent xmlns:mc="http://schemas.openxmlformats.org/markup-compatibility/2006">
          <mc:Choice Requires="x14">
            <control shapeId="59482" r:id="rId79" name="Check Box 90">
              <controlPr defaultSize="0" autoFill="0" autoLine="0" autoPict="0">
                <anchor moveWithCells="1">
                  <from>
                    <xdr:col>12</xdr:col>
                    <xdr:colOff>76200</xdr:colOff>
                    <xdr:row>110</xdr:row>
                    <xdr:rowOff>47625</xdr:rowOff>
                  </from>
                  <to>
                    <xdr:col>12</xdr:col>
                    <xdr:colOff>323850</xdr:colOff>
                    <xdr:row>110</xdr:row>
                    <xdr:rowOff>314325</xdr:rowOff>
                  </to>
                </anchor>
              </controlPr>
            </control>
          </mc:Choice>
        </mc:AlternateContent>
        <mc:AlternateContent xmlns:mc="http://schemas.openxmlformats.org/markup-compatibility/2006">
          <mc:Choice Requires="x14">
            <control shapeId="59483" r:id="rId80" name="Check Box 91">
              <controlPr defaultSize="0" autoFill="0" autoLine="0" autoPict="0">
                <anchor moveWithCells="1">
                  <from>
                    <xdr:col>12</xdr:col>
                    <xdr:colOff>76200</xdr:colOff>
                    <xdr:row>111</xdr:row>
                    <xdr:rowOff>57150</xdr:rowOff>
                  </from>
                  <to>
                    <xdr:col>12</xdr:col>
                    <xdr:colOff>323850</xdr:colOff>
                    <xdr:row>111</xdr:row>
                    <xdr:rowOff>323850</xdr:rowOff>
                  </to>
                </anchor>
              </controlPr>
            </control>
          </mc:Choice>
        </mc:AlternateContent>
        <mc:AlternateContent xmlns:mc="http://schemas.openxmlformats.org/markup-compatibility/2006">
          <mc:Choice Requires="x14">
            <control shapeId="59484" r:id="rId81" name="Check Box 92">
              <controlPr defaultSize="0" autoFill="0" autoLine="0" autoPict="0">
                <anchor moveWithCells="1">
                  <from>
                    <xdr:col>12</xdr:col>
                    <xdr:colOff>76200</xdr:colOff>
                    <xdr:row>112</xdr:row>
                    <xdr:rowOff>38100</xdr:rowOff>
                  </from>
                  <to>
                    <xdr:col>12</xdr:col>
                    <xdr:colOff>323850</xdr:colOff>
                    <xdr:row>112</xdr:row>
                    <xdr:rowOff>304800</xdr:rowOff>
                  </to>
                </anchor>
              </controlPr>
            </control>
          </mc:Choice>
        </mc:AlternateContent>
        <mc:AlternateContent xmlns:mc="http://schemas.openxmlformats.org/markup-compatibility/2006">
          <mc:Choice Requires="x14">
            <control shapeId="59485" r:id="rId82" name="Check Box 93">
              <controlPr defaultSize="0" autoFill="0" autoLine="0" autoPict="0">
                <anchor moveWithCells="1">
                  <from>
                    <xdr:col>12</xdr:col>
                    <xdr:colOff>76200</xdr:colOff>
                    <xdr:row>113</xdr:row>
                    <xdr:rowOff>228600</xdr:rowOff>
                  </from>
                  <to>
                    <xdr:col>12</xdr:col>
                    <xdr:colOff>323850</xdr:colOff>
                    <xdr:row>113</xdr:row>
                    <xdr:rowOff>495300</xdr:rowOff>
                  </to>
                </anchor>
              </controlPr>
            </control>
          </mc:Choice>
        </mc:AlternateContent>
        <mc:AlternateContent xmlns:mc="http://schemas.openxmlformats.org/markup-compatibility/2006">
          <mc:Choice Requires="x14">
            <control shapeId="59486" r:id="rId83" name="Check Box 94">
              <controlPr defaultSize="0" autoFill="0" autoLine="0" autoPict="0">
                <anchor moveWithCells="1">
                  <from>
                    <xdr:col>12</xdr:col>
                    <xdr:colOff>76200</xdr:colOff>
                    <xdr:row>114</xdr:row>
                    <xdr:rowOff>47625</xdr:rowOff>
                  </from>
                  <to>
                    <xdr:col>12</xdr:col>
                    <xdr:colOff>323850</xdr:colOff>
                    <xdr:row>114</xdr:row>
                    <xdr:rowOff>314325</xdr:rowOff>
                  </to>
                </anchor>
              </controlPr>
            </control>
          </mc:Choice>
        </mc:AlternateContent>
        <mc:AlternateContent xmlns:mc="http://schemas.openxmlformats.org/markup-compatibility/2006">
          <mc:Choice Requires="x14">
            <control shapeId="59487" r:id="rId84" name="Check Box 95">
              <controlPr defaultSize="0" autoFill="0" autoLine="0" autoPict="0">
                <anchor moveWithCells="1">
                  <from>
                    <xdr:col>12</xdr:col>
                    <xdr:colOff>76200</xdr:colOff>
                    <xdr:row>115</xdr:row>
                    <xdr:rowOff>38100</xdr:rowOff>
                  </from>
                  <to>
                    <xdr:col>12</xdr:col>
                    <xdr:colOff>323850</xdr:colOff>
                    <xdr:row>115</xdr:row>
                    <xdr:rowOff>304800</xdr:rowOff>
                  </to>
                </anchor>
              </controlPr>
            </control>
          </mc:Choice>
        </mc:AlternateContent>
        <mc:AlternateContent xmlns:mc="http://schemas.openxmlformats.org/markup-compatibility/2006">
          <mc:Choice Requires="x14">
            <control shapeId="59488" r:id="rId85" name="Check Box 96">
              <controlPr defaultSize="0" autoFill="0" autoLine="0" autoPict="0">
                <anchor moveWithCells="1">
                  <from>
                    <xdr:col>12</xdr:col>
                    <xdr:colOff>76200</xdr:colOff>
                    <xdr:row>116</xdr:row>
                    <xdr:rowOff>38100</xdr:rowOff>
                  </from>
                  <to>
                    <xdr:col>12</xdr:col>
                    <xdr:colOff>323850</xdr:colOff>
                    <xdr:row>116</xdr:row>
                    <xdr:rowOff>304800</xdr:rowOff>
                  </to>
                </anchor>
              </controlPr>
            </control>
          </mc:Choice>
        </mc:AlternateContent>
        <mc:AlternateContent xmlns:mc="http://schemas.openxmlformats.org/markup-compatibility/2006">
          <mc:Choice Requires="x14">
            <control shapeId="59489" r:id="rId86" name="Check Box 97">
              <controlPr defaultSize="0" autoFill="0" autoLine="0" autoPict="0">
                <anchor moveWithCells="1">
                  <from>
                    <xdr:col>12</xdr:col>
                    <xdr:colOff>76200</xdr:colOff>
                    <xdr:row>117</xdr:row>
                    <xdr:rowOff>47625</xdr:rowOff>
                  </from>
                  <to>
                    <xdr:col>12</xdr:col>
                    <xdr:colOff>323850</xdr:colOff>
                    <xdr:row>117</xdr:row>
                    <xdr:rowOff>314325</xdr:rowOff>
                  </to>
                </anchor>
              </controlPr>
            </control>
          </mc:Choice>
        </mc:AlternateContent>
        <mc:AlternateContent xmlns:mc="http://schemas.openxmlformats.org/markup-compatibility/2006">
          <mc:Choice Requires="x14">
            <control shapeId="59490" r:id="rId87" name="Check Box 98">
              <controlPr defaultSize="0" autoFill="0" autoLine="0" autoPict="0">
                <anchor moveWithCells="1">
                  <from>
                    <xdr:col>12</xdr:col>
                    <xdr:colOff>76200</xdr:colOff>
                    <xdr:row>118</xdr:row>
                    <xdr:rowOff>47625</xdr:rowOff>
                  </from>
                  <to>
                    <xdr:col>12</xdr:col>
                    <xdr:colOff>323850</xdr:colOff>
                    <xdr:row>118</xdr:row>
                    <xdr:rowOff>314325</xdr:rowOff>
                  </to>
                </anchor>
              </controlPr>
            </control>
          </mc:Choice>
        </mc:AlternateContent>
        <mc:AlternateContent xmlns:mc="http://schemas.openxmlformats.org/markup-compatibility/2006">
          <mc:Choice Requires="x14">
            <control shapeId="59491" r:id="rId88" name="Check Box 99">
              <controlPr defaultSize="0" autoFill="0" autoLine="0" autoPict="0">
                <anchor moveWithCells="1">
                  <from>
                    <xdr:col>12</xdr:col>
                    <xdr:colOff>76200</xdr:colOff>
                    <xdr:row>119</xdr:row>
                    <xdr:rowOff>47625</xdr:rowOff>
                  </from>
                  <to>
                    <xdr:col>12</xdr:col>
                    <xdr:colOff>323850</xdr:colOff>
                    <xdr:row>119</xdr:row>
                    <xdr:rowOff>314325</xdr:rowOff>
                  </to>
                </anchor>
              </controlPr>
            </control>
          </mc:Choice>
        </mc:AlternateContent>
        <mc:AlternateContent xmlns:mc="http://schemas.openxmlformats.org/markup-compatibility/2006">
          <mc:Choice Requires="x14">
            <control shapeId="59492" r:id="rId89" name="Check Box 100">
              <controlPr defaultSize="0" autoFill="0" autoLine="0" autoPict="0">
                <anchor moveWithCells="1">
                  <from>
                    <xdr:col>12</xdr:col>
                    <xdr:colOff>76200</xdr:colOff>
                    <xdr:row>120</xdr:row>
                    <xdr:rowOff>123825</xdr:rowOff>
                  </from>
                  <to>
                    <xdr:col>12</xdr:col>
                    <xdr:colOff>323850</xdr:colOff>
                    <xdr:row>120</xdr:row>
                    <xdr:rowOff>390525</xdr:rowOff>
                  </to>
                </anchor>
              </controlPr>
            </control>
          </mc:Choice>
        </mc:AlternateContent>
        <mc:AlternateContent xmlns:mc="http://schemas.openxmlformats.org/markup-compatibility/2006">
          <mc:Choice Requires="x14">
            <control shapeId="59493" r:id="rId90" name="Check Box 101">
              <controlPr defaultSize="0" autoFill="0" autoLine="0" autoPict="0">
                <anchor moveWithCells="1">
                  <from>
                    <xdr:col>12</xdr:col>
                    <xdr:colOff>76200</xdr:colOff>
                    <xdr:row>121</xdr:row>
                    <xdr:rowOff>47625</xdr:rowOff>
                  </from>
                  <to>
                    <xdr:col>12</xdr:col>
                    <xdr:colOff>323850</xdr:colOff>
                    <xdr:row>121</xdr:row>
                    <xdr:rowOff>314325</xdr:rowOff>
                  </to>
                </anchor>
              </controlPr>
            </control>
          </mc:Choice>
        </mc:AlternateContent>
        <mc:AlternateContent xmlns:mc="http://schemas.openxmlformats.org/markup-compatibility/2006">
          <mc:Choice Requires="x14">
            <control shapeId="59494" r:id="rId91" name="Check Box 102">
              <controlPr defaultSize="0" autoFill="0" autoLine="0" autoPict="0">
                <anchor moveWithCells="1">
                  <from>
                    <xdr:col>12</xdr:col>
                    <xdr:colOff>76200</xdr:colOff>
                    <xdr:row>122</xdr:row>
                    <xdr:rowOff>66675</xdr:rowOff>
                  </from>
                  <to>
                    <xdr:col>12</xdr:col>
                    <xdr:colOff>323850</xdr:colOff>
                    <xdr:row>122</xdr:row>
                    <xdr:rowOff>333375</xdr:rowOff>
                  </to>
                </anchor>
              </controlPr>
            </control>
          </mc:Choice>
        </mc:AlternateContent>
        <mc:AlternateContent xmlns:mc="http://schemas.openxmlformats.org/markup-compatibility/2006">
          <mc:Choice Requires="x14">
            <control shapeId="59495" r:id="rId92" name="Check Box 103">
              <controlPr defaultSize="0" autoFill="0" autoLine="0" autoPict="0">
                <anchor moveWithCells="1">
                  <from>
                    <xdr:col>12</xdr:col>
                    <xdr:colOff>76200</xdr:colOff>
                    <xdr:row>123</xdr:row>
                    <xdr:rowOff>180975</xdr:rowOff>
                  </from>
                  <to>
                    <xdr:col>12</xdr:col>
                    <xdr:colOff>323850</xdr:colOff>
                    <xdr:row>123</xdr:row>
                    <xdr:rowOff>447675</xdr:rowOff>
                  </to>
                </anchor>
              </controlPr>
            </control>
          </mc:Choice>
        </mc:AlternateContent>
        <mc:AlternateContent xmlns:mc="http://schemas.openxmlformats.org/markup-compatibility/2006">
          <mc:Choice Requires="x14">
            <control shapeId="59496" r:id="rId93" name="Check Box 104">
              <controlPr defaultSize="0" autoFill="0" autoLine="0" autoPict="0">
                <anchor moveWithCells="1">
                  <from>
                    <xdr:col>12</xdr:col>
                    <xdr:colOff>76200</xdr:colOff>
                    <xdr:row>125</xdr:row>
                    <xdr:rowOff>66675</xdr:rowOff>
                  </from>
                  <to>
                    <xdr:col>12</xdr:col>
                    <xdr:colOff>323850</xdr:colOff>
                    <xdr:row>125</xdr:row>
                    <xdr:rowOff>333375</xdr:rowOff>
                  </to>
                </anchor>
              </controlPr>
            </control>
          </mc:Choice>
        </mc:AlternateContent>
        <mc:AlternateContent xmlns:mc="http://schemas.openxmlformats.org/markup-compatibility/2006">
          <mc:Choice Requires="x14">
            <control shapeId="59497" r:id="rId94" name="Check Box 105">
              <controlPr defaultSize="0" autoFill="0" autoLine="0" autoPict="0">
                <anchor moveWithCells="1">
                  <from>
                    <xdr:col>12</xdr:col>
                    <xdr:colOff>76200</xdr:colOff>
                    <xdr:row>127</xdr:row>
                    <xdr:rowOff>257175</xdr:rowOff>
                  </from>
                  <to>
                    <xdr:col>12</xdr:col>
                    <xdr:colOff>323850</xdr:colOff>
                    <xdr:row>128</xdr:row>
                    <xdr:rowOff>142875</xdr:rowOff>
                  </to>
                </anchor>
              </controlPr>
            </control>
          </mc:Choice>
        </mc:AlternateContent>
        <mc:AlternateContent xmlns:mc="http://schemas.openxmlformats.org/markup-compatibility/2006">
          <mc:Choice Requires="x14">
            <control shapeId="59498" r:id="rId95" name="Check Box 106">
              <controlPr defaultSize="0" autoFill="0" autoLine="0" autoPict="0">
                <anchor moveWithCells="1">
                  <from>
                    <xdr:col>12</xdr:col>
                    <xdr:colOff>76200</xdr:colOff>
                    <xdr:row>129</xdr:row>
                    <xdr:rowOff>38100</xdr:rowOff>
                  </from>
                  <to>
                    <xdr:col>12</xdr:col>
                    <xdr:colOff>323850</xdr:colOff>
                    <xdr:row>129</xdr:row>
                    <xdr:rowOff>304800</xdr:rowOff>
                  </to>
                </anchor>
              </controlPr>
            </control>
          </mc:Choice>
        </mc:AlternateContent>
        <mc:AlternateContent xmlns:mc="http://schemas.openxmlformats.org/markup-compatibility/2006">
          <mc:Choice Requires="x14">
            <control shapeId="59499" r:id="rId96" name="Check Box 107">
              <controlPr defaultSize="0" autoFill="0" autoLine="0" autoPict="0">
                <anchor moveWithCells="1">
                  <from>
                    <xdr:col>12</xdr:col>
                    <xdr:colOff>76200</xdr:colOff>
                    <xdr:row>130</xdr:row>
                    <xdr:rowOff>38100</xdr:rowOff>
                  </from>
                  <to>
                    <xdr:col>12</xdr:col>
                    <xdr:colOff>323850</xdr:colOff>
                    <xdr:row>130</xdr:row>
                    <xdr:rowOff>304800</xdr:rowOff>
                  </to>
                </anchor>
              </controlPr>
            </control>
          </mc:Choice>
        </mc:AlternateContent>
        <mc:AlternateContent xmlns:mc="http://schemas.openxmlformats.org/markup-compatibility/2006">
          <mc:Choice Requires="x14">
            <control shapeId="59500" r:id="rId97" name="Check Box 108">
              <controlPr defaultSize="0" autoFill="0" autoLine="0" autoPict="0">
                <anchor moveWithCells="1">
                  <from>
                    <xdr:col>12</xdr:col>
                    <xdr:colOff>76200</xdr:colOff>
                    <xdr:row>132</xdr:row>
                    <xdr:rowOff>38100</xdr:rowOff>
                  </from>
                  <to>
                    <xdr:col>12</xdr:col>
                    <xdr:colOff>323850</xdr:colOff>
                    <xdr:row>132</xdr:row>
                    <xdr:rowOff>304800</xdr:rowOff>
                  </to>
                </anchor>
              </controlPr>
            </control>
          </mc:Choice>
        </mc:AlternateContent>
        <mc:AlternateContent xmlns:mc="http://schemas.openxmlformats.org/markup-compatibility/2006">
          <mc:Choice Requires="x14">
            <control shapeId="59501" r:id="rId98" name="Check Box 109">
              <controlPr defaultSize="0" autoFill="0" autoLine="0" autoPict="0">
                <anchor moveWithCells="1">
                  <from>
                    <xdr:col>12</xdr:col>
                    <xdr:colOff>76200</xdr:colOff>
                    <xdr:row>133</xdr:row>
                    <xdr:rowOff>371475</xdr:rowOff>
                  </from>
                  <to>
                    <xdr:col>12</xdr:col>
                    <xdr:colOff>323850</xdr:colOff>
                    <xdr:row>133</xdr:row>
                    <xdr:rowOff>638175</xdr:rowOff>
                  </to>
                </anchor>
              </controlPr>
            </control>
          </mc:Choice>
        </mc:AlternateContent>
        <mc:AlternateContent xmlns:mc="http://schemas.openxmlformats.org/markup-compatibility/2006">
          <mc:Choice Requires="x14">
            <control shapeId="59502" r:id="rId99" name="Check Box 110">
              <controlPr defaultSize="0" autoFill="0" autoLine="0" autoPict="0">
                <anchor moveWithCells="1">
                  <from>
                    <xdr:col>12</xdr:col>
                    <xdr:colOff>76200</xdr:colOff>
                    <xdr:row>134</xdr:row>
                    <xdr:rowOff>38100</xdr:rowOff>
                  </from>
                  <to>
                    <xdr:col>12</xdr:col>
                    <xdr:colOff>323850</xdr:colOff>
                    <xdr:row>134</xdr:row>
                    <xdr:rowOff>304800</xdr:rowOff>
                  </to>
                </anchor>
              </controlPr>
            </control>
          </mc:Choice>
        </mc:AlternateContent>
        <mc:AlternateContent xmlns:mc="http://schemas.openxmlformats.org/markup-compatibility/2006">
          <mc:Choice Requires="x14">
            <control shapeId="59503" r:id="rId100" name="Check Box 111">
              <controlPr defaultSize="0" autoFill="0" autoLine="0" autoPict="0">
                <anchor moveWithCells="1">
                  <from>
                    <xdr:col>12</xdr:col>
                    <xdr:colOff>76200</xdr:colOff>
                    <xdr:row>135</xdr:row>
                    <xdr:rowOff>161925</xdr:rowOff>
                  </from>
                  <to>
                    <xdr:col>12</xdr:col>
                    <xdr:colOff>323850</xdr:colOff>
                    <xdr:row>135</xdr:row>
                    <xdr:rowOff>428625</xdr:rowOff>
                  </to>
                </anchor>
              </controlPr>
            </control>
          </mc:Choice>
        </mc:AlternateContent>
        <mc:AlternateContent xmlns:mc="http://schemas.openxmlformats.org/markup-compatibility/2006">
          <mc:Choice Requires="x14">
            <control shapeId="59504" r:id="rId101" name="Check Box 112">
              <controlPr defaultSize="0" autoFill="0" autoLine="0" autoPict="0">
                <anchor moveWithCells="1">
                  <from>
                    <xdr:col>12</xdr:col>
                    <xdr:colOff>76200</xdr:colOff>
                    <xdr:row>137</xdr:row>
                    <xdr:rowOff>28575</xdr:rowOff>
                  </from>
                  <to>
                    <xdr:col>12</xdr:col>
                    <xdr:colOff>323850</xdr:colOff>
                    <xdr:row>137</xdr:row>
                    <xdr:rowOff>295275</xdr:rowOff>
                  </to>
                </anchor>
              </controlPr>
            </control>
          </mc:Choice>
        </mc:AlternateContent>
        <mc:AlternateContent xmlns:mc="http://schemas.openxmlformats.org/markup-compatibility/2006">
          <mc:Choice Requires="x14">
            <control shapeId="59505" r:id="rId102" name="Check Box 113">
              <controlPr defaultSize="0" autoFill="0" autoLine="0" autoPict="0">
                <anchor moveWithCells="1">
                  <from>
                    <xdr:col>12</xdr:col>
                    <xdr:colOff>76200</xdr:colOff>
                    <xdr:row>138</xdr:row>
                    <xdr:rowOff>38100</xdr:rowOff>
                  </from>
                  <to>
                    <xdr:col>12</xdr:col>
                    <xdr:colOff>323850</xdr:colOff>
                    <xdr:row>138</xdr:row>
                    <xdr:rowOff>304800</xdr:rowOff>
                  </to>
                </anchor>
              </controlPr>
            </control>
          </mc:Choice>
        </mc:AlternateContent>
        <mc:AlternateContent xmlns:mc="http://schemas.openxmlformats.org/markup-compatibility/2006">
          <mc:Choice Requires="x14">
            <control shapeId="59506" r:id="rId103" name="Check Box 114">
              <controlPr defaultSize="0" autoFill="0" autoLine="0" autoPict="0">
                <anchor moveWithCells="1">
                  <from>
                    <xdr:col>12</xdr:col>
                    <xdr:colOff>76200</xdr:colOff>
                    <xdr:row>139</xdr:row>
                    <xdr:rowOff>38100</xdr:rowOff>
                  </from>
                  <to>
                    <xdr:col>12</xdr:col>
                    <xdr:colOff>323850</xdr:colOff>
                    <xdr:row>139</xdr:row>
                    <xdr:rowOff>304800</xdr:rowOff>
                  </to>
                </anchor>
              </controlPr>
            </control>
          </mc:Choice>
        </mc:AlternateContent>
        <mc:AlternateContent xmlns:mc="http://schemas.openxmlformats.org/markup-compatibility/2006">
          <mc:Choice Requires="x14">
            <control shapeId="59507" r:id="rId104" name="Check Box 115">
              <controlPr defaultSize="0" autoFill="0" autoLine="0" autoPict="0">
                <anchor moveWithCells="1">
                  <from>
                    <xdr:col>12</xdr:col>
                    <xdr:colOff>76200</xdr:colOff>
                    <xdr:row>140</xdr:row>
                    <xdr:rowOff>57150</xdr:rowOff>
                  </from>
                  <to>
                    <xdr:col>12</xdr:col>
                    <xdr:colOff>323850</xdr:colOff>
                    <xdr:row>140</xdr:row>
                    <xdr:rowOff>323850</xdr:rowOff>
                  </to>
                </anchor>
              </controlPr>
            </control>
          </mc:Choice>
        </mc:AlternateContent>
        <mc:AlternateContent xmlns:mc="http://schemas.openxmlformats.org/markup-compatibility/2006">
          <mc:Choice Requires="x14">
            <control shapeId="59508" r:id="rId105" name="Check Box 116">
              <controlPr defaultSize="0" autoFill="0" autoLine="0" autoPict="0">
                <anchor moveWithCells="1">
                  <from>
                    <xdr:col>12</xdr:col>
                    <xdr:colOff>76200</xdr:colOff>
                    <xdr:row>141</xdr:row>
                    <xdr:rowOff>47625</xdr:rowOff>
                  </from>
                  <to>
                    <xdr:col>12</xdr:col>
                    <xdr:colOff>323850</xdr:colOff>
                    <xdr:row>141</xdr:row>
                    <xdr:rowOff>314325</xdr:rowOff>
                  </to>
                </anchor>
              </controlPr>
            </control>
          </mc:Choice>
        </mc:AlternateContent>
        <mc:AlternateContent xmlns:mc="http://schemas.openxmlformats.org/markup-compatibility/2006">
          <mc:Choice Requires="x14">
            <control shapeId="59509" r:id="rId106" name="Check Box 117">
              <controlPr defaultSize="0" autoFill="0" autoLine="0" autoPict="0">
                <anchor moveWithCells="1">
                  <from>
                    <xdr:col>12</xdr:col>
                    <xdr:colOff>76200</xdr:colOff>
                    <xdr:row>142</xdr:row>
                    <xdr:rowOff>38100</xdr:rowOff>
                  </from>
                  <to>
                    <xdr:col>12</xdr:col>
                    <xdr:colOff>323850</xdr:colOff>
                    <xdr:row>142</xdr:row>
                    <xdr:rowOff>304800</xdr:rowOff>
                  </to>
                </anchor>
              </controlPr>
            </control>
          </mc:Choice>
        </mc:AlternateContent>
        <mc:AlternateContent xmlns:mc="http://schemas.openxmlformats.org/markup-compatibility/2006">
          <mc:Choice Requires="x14">
            <control shapeId="59510" r:id="rId107" name="Check Box 118">
              <controlPr defaultSize="0" autoFill="0" autoLine="0" autoPict="0">
                <anchor moveWithCells="1">
                  <from>
                    <xdr:col>12</xdr:col>
                    <xdr:colOff>76200</xdr:colOff>
                    <xdr:row>143</xdr:row>
                    <xdr:rowOff>238125</xdr:rowOff>
                  </from>
                  <to>
                    <xdr:col>12</xdr:col>
                    <xdr:colOff>323850</xdr:colOff>
                    <xdr:row>143</xdr:row>
                    <xdr:rowOff>504825</xdr:rowOff>
                  </to>
                </anchor>
              </controlPr>
            </control>
          </mc:Choice>
        </mc:AlternateContent>
        <mc:AlternateContent xmlns:mc="http://schemas.openxmlformats.org/markup-compatibility/2006">
          <mc:Choice Requires="x14">
            <control shapeId="59511" r:id="rId108" name="Check Box 119">
              <controlPr defaultSize="0" autoFill="0" autoLine="0" autoPict="0">
                <anchor moveWithCells="1">
                  <from>
                    <xdr:col>12</xdr:col>
                    <xdr:colOff>76200</xdr:colOff>
                    <xdr:row>144</xdr:row>
                    <xdr:rowOff>47625</xdr:rowOff>
                  </from>
                  <to>
                    <xdr:col>12</xdr:col>
                    <xdr:colOff>323850</xdr:colOff>
                    <xdr:row>144</xdr:row>
                    <xdr:rowOff>314325</xdr:rowOff>
                  </to>
                </anchor>
              </controlPr>
            </control>
          </mc:Choice>
        </mc:AlternateContent>
        <mc:AlternateContent xmlns:mc="http://schemas.openxmlformats.org/markup-compatibility/2006">
          <mc:Choice Requires="x14">
            <control shapeId="59513" r:id="rId109" name="Check Box 121">
              <controlPr defaultSize="0" autoFill="0" autoLine="0" autoPict="0">
                <anchor moveWithCells="1">
                  <from>
                    <xdr:col>12</xdr:col>
                    <xdr:colOff>76200</xdr:colOff>
                    <xdr:row>147</xdr:row>
                    <xdr:rowOff>85725</xdr:rowOff>
                  </from>
                  <to>
                    <xdr:col>12</xdr:col>
                    <xdr:colOff>323850</xdr:colOff>
                    <xdr:row>147</xdr:row>
                    <xdr:rowOff>314325</xdr:rowOff>
                  </to>
                </anchor>
              </controlPr>
            </control>
          </mc:Choice>
        </mc:AlternateContent>
        <mc:AlternateContent xmlns:mc="http://schemas.openxmlformats.org/markup-compatibility/2006">
          <mc:Choice Requires="x14">
            <control shapeId="59514" r:id="rId110" name="Check Box 122">
              <controlPr defaultSize="0" autoFill="0" autoLine="0" autoPict="0">
                <anchor moveWithCells="1">
                  <from>
                    <xdr:col>12</xdr:col>
                    <xdr:colOff>76200</xdr:colOff>
                    <xdr:row>148</xdr:row>
                    <xdr:rowOff>38100</xdr:rowOff>
                  </from>
                  <to>
                    <xdr:col>12</xdr:col>
                    <xdr:colOff>323850</xdr:colOff>
                    <xdr:row>148</xdr:row>
                    <xdr:rowOff>304800</xdr:rowOff>
                  </to>
                </anchor>
              </controlPr>
            </control>
          </mc:Choice>
        </mc:AlternateContent>
        <mc:AlternateContent xmlns:mc="http://schemas.openxmlformats.org/markup-compatibility/2006">
          <mc:Choice Requires="x14">
            <control shapeId="59515" r:id="rId111" name="Check Box 123">
              <controlPr defaultSize="0" autoFill="0" autoLine="0" autoPict="0">
                <anchor moveWithCells="1">
                  <from>
                    <xdr:col>12</xdr:col>
                    <xdr:colOff>76200</xdr:colOff>
                    <xdr:row>149</xdr:row>
                    <xdr:rowOff>38100</xdr:rowOff>
                  </from>
                  <to>
                    <xdr:col>12</xdr:col>
                    <xdr:colOff>323850</xdr:colOff>
                    <xdr:row>149</xdr:row>
                    <xdr:rowOff>304800</xdr:rowOff>
                  </to>
                </anchor>
              </controlPr>
            </control>
          </mc:Choice>
        </mc:AlternateContent>
        <mc:AlternateContent xmlns:mc="http://schemas.openxmlformats.org/markup-compatibility/2006">
          <mc:Choice Requires="x14">
            <control shapeId="59516" r:id="rId112" name="Check Box 124">
              <controlPr defaultSize="0" autoFill="0" autoLine="0" autoPict="0">
                <anchor moveWithCells="1">
                  <from>
                    <xdr:col>12</xdr:col>
                    <xdr:colOff>76200</xdr:colOff>
                    <xdr:row>150</xdr:row>
                    <xdr:rowOff>38100</xdr:rowOff>
                  </from>
                  <to>
                    <xdr:col>12</xdr:col>
                    <xdr:colOff>323850</xdr:colOff>
                    <xdr:row>150</xdr:row>
                    <xdr:rowOff>304800</xdr:rowOff>
                  </to>
                </anchor>
              </controlPr>
            </control>
          </mc:Choice>
        </mc:AlternateContent>
        <mc:AlternateContent xmlns:mc="http://schemas.openxmlformats.org/markup-compatibility/2006">
          <mc:Choice Requires="x14">
            <control shapeId="59517" r:id="rId113" name="Check Box 125">
              <controlPr defaultSize="0" autoFill="0" autoLine="0" autoPict="0">
                <anchor moveWithCells="1">
                  <from>
                    <xdr:col>12</xdr:col>
                    <xdr:colOff>76200</xdr:colOff>
                    <xdr:row>151</xdr:row>
                    <xdr:rowOff>38100</xdr:rowOff>
                  </from>
                  <to>
                    <xdr:col>12</xdr:col>
                    <xdr:colOff>323850</xdr:colOff>
                    <xdr:row>151</xdr:row>
                    <xdr:rowOff>304800</xdr:rowOff>
                  </to>
                </anchor>
              </controlPr>
            </control>
          </mc:Choice>
        </mc:AlternateContent>
        <mc:AlternateContent xmlns:mc="http://schemas.openxmlformats.org/markup-compatibility/2006">
          <mc:Choice Requires="x14">
            <control shapeId="59518" r:id="rId114" name="Check Box 126">
              <controlPr defaultSize="0" autoFill="0" autoLine="0" autoPict="0">
                <anchor moveWithCells="1">
                  <from>
                    <xdr:col>12</xdr:col>
                    <xdr:colOff>76200</xdr:colOff>
                    <xdr:row>152</xdr:row>
                    <xdr:rowOff>38100</xdr:rowOff>
                  </from>
                  <to>
                    <xdr:col>12</xdr:col>
                    <xdr:colOff>323850</xdr:colOff>
                    <xdr:row>152</xdr:row>
                    <xdr:rowOff>304800</xdr:rowOff>
                  </to>
                </anchor>
              </controlPr>
            </control>
          </mc:Choice>
        </mc:AlternateContent>
        <mc:AlternateContent xmlns:mc="http://schemas.openxmlformats.org/markup-compatibility/2006">
          <mc:Choice Requires="x14">
            <control shapeId="59519" r:id="rId115" name="Check Box 127">
              <controlPr defaultSize="0" autoFill="0" autoLine="0" autoPict="0">
                <anchor moveWithCells="1">
                  <from>
                    <xdr:col>12</xdr:col>
                    <xdr:colOff>76200</xdr:colOff>
                    <xdr:row>163</xdr:row>
                    <xdr:rowOff>47625</xdr:rowOff>
                  </from>
                  <to>
                    <xdr:col>12</xdr:col>
                    <xdr:colOff>323850</xdr:colOff>
                    <xdr:row>163</xdr:row>
                    <xdr:rowOff>314325</xdr:rowOff>
                  </to>
                </anchor>
              </controlPr>
            </control>
          </mc:Choice>
        </mc:AlternateContent>
        <mc:AlternateContent xmlns:mc="http://schemas.openxmlformats.org/markup-compatibility/2006">
          <mc:Choice Requires="x14">
            <control shapeId="59520" r:id="rId116" name="Check Box 128">
              <controlPr defaultSize="0" autoFill="0" autoLine="0" autoPict="0">
                <anchor moveWithCells="1">
                  <from>
                    <xdr:col>12</xdr:col>
                    <xdr:colOff>76200</xdr:colOff>
                    <xdr:row>164</xdr:row>
                    <xdr:rowOff>38100</xdr:rowOff>
                  </from>
                  <to>
                    <xdr:col>12</xdr:col>
                    <xdr:colOff>323850</xdr:colOff>
                    <xdr:row>164</xdr:row>
                    <xdr:rowOff>304800</xdr:rowOff>
                  </to>
                </anchor>
              </controlPr>
            </control>
          </mc:Choice>
        </mc:AlternateContent>
        <mc:AlternateContent xmlns:mc="http://schemas.openxmlformats.org/markup-compatibility/2006">
          <mc:Choice Requires="x14">
            <control shapeId="59521" r:id="rId117" name="Check Box 129">
              <controlPr defaultSize="0" autoFill="0" autoLine="0" autoPict="0">
                <anchor moveWithCells="1">
                  <from>
                    <xdr:col>12</xdr:col>
                    <xdr:colOff>76200</xdr:colOff>
                    <xdr:row>165</xdr:row>
                    <xdr:rowOff>190500</xdr:rowOff>
                  </from>
                  <to>
                    <xdr:col>12</xdr:col>
                    <xdr:colOff>323850</xdr:colOff>
                    <xdr:row>165</xdr:row>
                    <xdr:rowOff>457200</xdr:rowOff>
                  </to>
                </anchor>
              </controlPr>
            </control>
          </mc:Choice>
        </mc:AlternateContent>
        <mc:AlternateContent xmlns:mc="http://schemas.openxmlformats.org/markup-compatibility/2006">
          <mc:Choice Requires="x14">
            <control shapeId="59522" r:id="rId118" name="Check Box 130">
              <controlPr defaultSize="0" autoFill="0" autoLine="0" autoPict="0">
                <anchor moveWithCells="1">
                  <from>
                    <xdr:col>12</xdr:col>
                    <xdr:colOff>76200</xdr:colOff>
                    <xdr:row>153</xdr:row>
                    <xdr:rowOff>152400</xdr:rowOff>
                  </from>
                  <to>
                    <xdr:col>12</xdr:col>
                    <xdr:colOff>323850</xdr:colOff>
                    <xdr:row>153</xdr:row>
                    <xdr:rowOff>419100</xdr:rowOff>
                  </to>
                </anchor>
              </controlPr>
            </control>
          </mc:Choice>
        </mc:AlternateContent>
        <mc:AlternateContent xmlns:mc="http://schemas.openxmlformats.org/markup-compatibility/2006">
          <mc:Choice Requires="x14">
            <control shapeId="59523" r:id="rId119" name="Check Box 131">
              <controlPr defaultSize="0" autoFill="0" autoLine="0" autoPict="0">
                <anchor moveWithCells="1">
                  <from>
                    <xdr:col>12</xdr:col>
                    <xdr:colOff>76200</xdr:colOff>
                    <xdr:row>154</xdr:row>
                    <xdr:rowOff>38100</xdr:rowOff>
                  </from>
                  <to>
                    <xdr:col>12</xdr:col>
                    <xdr:colOff>323850</xdr:colOff>
                    <xdr:row>154</xdr:row>
                    <xdr:rowOff>304800</xdr:rowOff>
                  </to>
                </anchor>
              </controlPr>
            </control>
          </mc:Choice>
        </mc:AlternateContent>
        <mc:AlternateContent xmlns:mc="http://schemas.openxmlformats.org/markup-compatibility/2006">
          <mc:Choice Requires="x14">
            <control shapeId="59524" r:id="rId120" name="Check Box 132">
              <controlPr defaultSize="0" autoFill="0" autoLine="0" autoPict="0">
                <anchor moveWithCells="1">
                  <from>
                    <xdr:col>12</xdr:col>
                    <xdr:colOff>76200</xdr:colOff>
                    <xdr:row>155</xdr:row>
                    <xdr:rowOff>38100</xdr:rowOff>
                  </from>
                  <to>
                    <xdr:col>12</xdr:col>
                    <xdr:colOff>323850</xdr:colOff>
                    <xdr:row>155</xdr:row>
                    <xdr:rowOff>304800</xdr:rowOff>
                  </to>
                </anchor>
              </controlPr>
            </control>
          </mc:Choice>
        </mc:AlternateContent>
        <mc:AlternateContent xmlns:mc="http://schemas.openxmlformats.org/markup-compatibility/2006">
          <mc:Choice Requires="x14">
            <control shapeId="59525" r:id="rId121" name="Check Box 133">
              <controlPr defaultSize="0" autoFill="0" autoLine="0" autoPict="0">
                <anchor moveWithCells="1">
                  <from>
                    <xdr:col>12</xdr:col>
                    <xdr:colOff>76200</xdr:colOff>
                    <xdr:row>156</xdr:row>
                    <xdr:rowOff>47625</xdr:rowOff>
                  </from>
                  <to>
                    <xdr:col>12</xdr:col>
                    <xdr:colOff>323850</xdr:colOff>
                    <xdr:row>156</xdr:row>
                    <xdr:rowOff>314325</xdr:rowOff>
                  </to>
                </anchor>
              </controlPr>
            </control>
          </mc:Choice>
        </mc:AlternateContent>
        <mc:AlternateContent xmlns:mc="http://schemas.openxmlformats.org/markup-compatibility/2006">
          <mc:Choice Requires="x14">
            <control shapeId="59526" r:id="rId122" name="Check Box 134">
              <controlPr defaultSize="0" autoFill="0" autoLine="0" autoPict="0">
                <anchor moveWithCells="1">
                  <from>
                    <xdr:col>12</xdr:col>
                    <xdr:colOff>76200</xdr:colOff>
                    <xdr:row>157</xdr:row>
                    <xdr:rowOff>38100</xdr:rowOff>
                  </from>
                  <to>
                    <xdr:col>12</xdr:col>
                    <xdr:colOff>323850</xdr:colOff>
                    <xdr:row>157</xdr:row>
                    <xdr:rowOff>304800</xdr:rowOff>
                  </to>
                </anchor>
              </controlPr>
            </control>
          </mc:Choice>
        </mc:AlternateContent>
        <mc:AlternateContent xmlns:mc="http://schemas.openxmlformats.org/markup-compatibility/2006">
          <mc:Choice Requires="x14">
            <control shapeId="59527" r:id="rId123" name="Check Box 135">
              <controlPr defaultSize="0" autoFill="0" autoLine="0" autoPict="0">
                <anchor moveWithCells="1">
                  <from>
                    <xdr:col>12</xdr:col>
                    <xdr:colOff>76200</xdr:colOff>
                    <xdr:row>158</xdr:row>
                    <xdr:rowOff>38100</xdr:rowOff>
                  </from>
                  <to>
                    <xdr:col>12</xdr:col>
                    <xdr:colOff>323850</xdr:colOff>
                    <xdr:row>158</xdr:row>
                    <xdr:rowOff>304800</xdr:rowOff>
                  </to>
                </anchor>
              </controlPr>
            </control>
          </mc:Choice>
        </mc:AlternateContent>
        <mc:AlternateContent xmlns:mc="http://schemas.openxmlformats.org/markup-compatibility/2006">
          <mc:Choice Requires="x14">
            <control shapeId="59528" r:id="rId124" name="Check Box 136">
              <controlPr defaultSize="0" autoFill="0" autoLine="0" autoPict="0">
                <anchor moveWithCells="1">
                  <from>
                    <xdr:col>12</xdr:col>
                    <xdr:colOff>76200</xdr:colOff>
                    <xdr:row>159</xdr:row>
                    <xdr:rowOff>38100</xdr:rowOff>
                  </from>
                  <to>
                    <xdr:col>12</xdr:col>
                    <xdr:colOff>323850</xdr:colOff>
                    <xdr:row>159</xdr:row>
                    <xdr:rowOff>304800</xdr:rowOff>
                  </to>
                </anchor>
              </controlPr>
            </control>
          </mc:Choice>
        </mc:AlternateContent>
        <mc:AlternateContent xmlns:mc="http://schemas.openxmlformats.org/markup-compatibility/2006">
          <mc:Choice Requires="x14">
            <control shapeId="59529" r:id="rId125" name="Check Box 137">
              <controlPr defaultSize="0" autoFill="0" autoLine="0" autoPict="0">
                <anchor moveWithCells="1">
                  <from>
                    <xdr:col>12</xdr:col>
                    <xdr:colOff>76200</xdr:colOff>
                    <xdr:row>160</xdr:row>
                    <xdr:rowOff>38100</xdr:rowOff>
                  </from>
                  <to>
                    <xdr:col>12</xdr:col>
                    <xdr:colOff>323850</xdr:colOff>
                    <xdr:row>160</xdr:row>
                    <xdr:rowOff>304800</xdr:rowOff>
                  </to>
                </anchor>
              </controlPr>
            </control>
          </mc:Choice>
        </mc:AlternateContent>
        <mc:AlternateContent xmlns:mc="http://schemas.openxmlformats.org/markup-compatibility/2006">
          <mc:Choice Requires="x14">
            <control shapeId="59530" r:id="rId126" name="Check Box 138">
              <controlPr defaultSize="0" autoFill="0" autoLine="0" autoPict="0">
                <anchor moveWithCells="1">
                  <from>
                    <xdr:col>12</xdr:col>
                    <xdr:colOff>76200</xdr:colOff>
                    <xdr:row>161</xdr:row>
                    <xdr:rowOff>9525</xdr:rowOff>
                  </from>
                  <to>
                    <xdr:col>12</xdr:col>
                    <xdr:colOff>323850</xdr:colOff>
                    <xdr:row>162</xdr:row>
                    <xdr:rowOff>0</xdr:rowOff>
                  </to>
                </anchor>
              </controlPr>
            </control>
          </mc:Choice>
        </mc:AlternateContent>
        <mc:AlternateContent xmlns:mc="http://schemas.openxmlformats.org/markup-compatibility/2006">
          <mc:Choice Requires="x14">
            <control shapeId="59531" r:id="rId127" name="Check Box 139">
              <controlPr defaultSize="0" autoFill="0" autoLine="0" autoPict="0">
                <anchor moveWithCells="1">
                  <from>
                    <xdr:col>12</xdr:col>
                    <xdr:colOff>76200</xdr:colOff>
                    <xdr:row>162</xdr:row>
                    <xdr:rowOff>47625</xdr:rowOff>
                  </from>
                  <to>
                    <xdr:col>12</xdr:col>
                    <xdr:colOff>323850</xdr:colOff>
                    <xdr:row>162</xdr:row>
                    <xdr:rowOff>314325</xdr:rowOff>
                  </to>
                </anchor>
              </controlPr>
            </control>
          </mc:Choice>
        </mc:AlternateContent>
        <mc:AlternateContent xmlns:mc="http://schemas.openxmlformats.org/markup-compatibility/2006">
          <mc:Choice Requires="x14">
            <control shapeId="59532" r:id="rId128" name="Check Box 140">
              <controlPr defaultSize="0" autoFill="0" autoLine="0" autoPict="0">
                <anchor moveWithCells="1">
                  <from>
                    <xdr:col>12</xdr:col>
                    <xdr:colOff>76200</xdr:colOff>
                    <xdr:row>166</xdr:row>
                    <xdr:rowOff>38100</xdr:rowOff>
                  </from>
                  <to>
                    <xdr:col>12</xdr:col>
                    <xdr:colOff>323850</xdr:colOff>
                    <xdr:row>166</xdr:row>
                    <xdr:rowOff>304800</xdr:rowOff>
                  </to>
                </anchor>
              </controlPr>
            </control>
          </mc:Choice>
        </mc:AlternateContent>
        <mc:AlternateContent xmlns:mc="http://schemas.openxmlformats.org/markup-compatibility/2006">
          <mc:Choice Requires="x14">
            <control shapeId="59533" r:id="rId129" name="Check Box 141">
              <controlPr defaultSize="0" autoFill="0" autoLine="0" autoPict="0">
                <anchor moveWithCells="1">
                  <from>
                    <xdr:col>12</xdr:col>
                    <xdr:colOff>76200</xdr:colOff>
                    <xdr:row>167</xdr:row>
                    <xdr:rowOff>76200</xdr:rowOff>
                  </from>
                  <to>
                    <xdr:col>12</xdr:col>
                    <xdr:colOff>323850</xdr:colOff>
                    <xdr:row>167</xdr:row>
                    <xdr:rowOff>342900</xdr:rowOff>
                  </to>
                </anchor>
              </controlPr>
            </control>
          </mc:Choice>
        </mc:AlternateContent>
        <mc:AlternateContent xmlns:mc="http://schemas.openxmlformats.org/markup-compatibility/2006">
          <mc:Choice Requires="x14">
            <control shapeId="59535" r:id="rId130" name="Check Box 143">
              <controlPr defaultSize="0" autoFill="0" autoLine="0" autoPict="0">
                <anchor moveWithCells="1">
                  <from>
                    <xdr:col>12</xdr:col>
                    <xdr:colOff>76200</xdr:colOff>
                    <xdr:row>169</xdr:row>
                    <xdr:rowOff>76200</xdr:rowOff>
                  </from>
                  <to>
                    <xdr:col>12</xdr:col>
                    <xdr:colOff>323850</xdr:colOff>
                    <xdr:row>169</xdr:row>
                    <xdr:rowOff>342900</xdr:rowOff>
                  </to>
                </anchor>
              </controlPr>
            </control>
          </mc:Choice>
        </mc:AlternateContent>
        <mc:AlternateContent xmlns:mc="http://schemas.openxmlformats.org/markup-compatibility/2006">
          <mc:Choice Requires="x14">
            <control shapeId="59537" r:id="rId131" name="Check Box 145">
              <controlPr defaultSize="0" autoFill="0" autoLine="0" autoPict="0">
                <anchor moveWithCells="1">
                  <from>
                    <xdr:col>12</xdr:col>
                    <xdr:colOff>76200</xdr:colOff>
                    <xdr:row>170</xdr:row>
                    <xdr:rowOff>85725</xdr:rowOff>
                  </from>
                  <to>
                    <xdr:col>12</xdr:col>
                    <xdr:colOff>323850</xdr:colOff>
                    <xdr:row>170</xdr:row>
                    <xdr:rowOff>352425</xdr:rowOff>
                  </to>
                </anchor>
              </controlPr>
            </control>
          </mc:Choice>
        </mc:AlternateContent>
        <mc:AlternateContent xmlns:mc="http://schemas.openxmlformats.org/markup-compatibility/2006">
          <mc:Choice Requires="x14">
            <control shapeId="59538" r:id="rId132" name="Check Box 146">
              <controlPr defaultSize="0" autoFill="0" autoLine="0" autoPict="0">
                <anchor moveWithCells="1">
                  <from>
                    <xdr:col>12</xdr:col>
                    <xdr:colOff>76200</xdr:colOff>
                    <xdr:row>173</xdr:row>
                    <xdr:rowOff>38100</xdr:rowOff>
                  </from>
                  <to>
                    <xdr:col>12</xdr:col>
                    <xdr:colOff>323850</xdr:colOff>
                    <xdr:row>173</xdr:row>
                    <xdr:rowOff>304800</xdr:rowOff>
                  </to>
                </anchor>
              </controlPr>
            </control>
          </mc:Choice>
        </mc:AlternateContent>
        <mc:AlternateContent xmlns:mc="http://schemas.openxmlformats.org/markup-compatibility/2006">
          <mc:Choice Requires="x14">
            <control shapeId="59539" r:id="rId133" name="Check Box 147">
              <controlPr defaultSize="0" autoFill="0" autoLine="0" autoPict="0">
                <anchor moveWithCells="1">
                  <from>
                    <xdr:col>12</xdr:col>
                    <xdr:colOff>76200</xdr:colOff>
                    <xdr:row>174</xdr:row>
                    <xdr:rowOff>47625</xdr:rowOff>
                  </from>
                  <to>
                    <xdr:col>12</xdr:col>
                    <xdr:colOff>323850</xdr:colOff>
                    <xdr:row>174</xdr:row>
                    <xdr:rowOff>314325</xdr:rowOff>
                  </to>
                </anchor>
              </controlPr>
            </control>
          </mc:Choice>
        </mc:AlternateContent>
        <mc:AlternateContent xmlns:mc="http://schemas.openxmlformats.org/markup-compatibility/2006">
          <mc:Choice Requires="x14">
            <control shapeId="59540" r:id="rId134" name="Check Box 148">
              <controlPr defaultSize="0" autoFill="0" autoLine="0" autoPict="0">
                <anchor moveWithCells="1">
                  <from>
                    <xdr:col>12</xdr:col>
                    <xdr:colOff>76200</xdr:colOff>
                    <xdr:row>175</xdr:row>
                    <xdr:rowOff>209550</xdr:rowOff>
                  </from>
                  <to>
                    <xdr:col>12</xdr:col>
                    <xdr:colOff>323850</xdr:colOff>
                    <xdr:row>176</xdr:row>
                    <xdr:rowOff>95250</xdr:rowOff>
                  </to>
                </anchor>
              </controlPr>
            </control>
          </mc:Choice>
        </mc:AlternateContent>
        <mc:AlternateContent xmlns:mc="http://schemas.openxmlformats.org/markup-compatibility/2006">
          <mc:Choice Requires="x14">
            <control shapeId="59542" r:id="rId135" name="Check Box 150">
              <controlPr defaultSize="0" autoFill="0" autoLine="0" autoPict="0">
                <anchor moveWithCells="1">
                  <from>
                    <xdr:col>12</xdr:col>
                    <xdr:colOff>76200</xdr:colOff>
                    <xdr:row>177</xdr:row>
                    <xdr:rowOff>38100</xdr:rowOff>
                  </from>
                  <to>
                    <xdr:col>12</xdr:col>
                    <xdr:colOff>323850</xdr:colOff>
                    <xdr:row>177</xdr:row>
                    <xdr:rowOff>304800</xdr:rowOff>
                  </to>
                </anchor>
              </controlPr>
            </control>
          </mc:Choice>
        </mc:AlternateContent>
        <mc:AlternateContent xmlns:mc="http://schemas.openxmlformats.org/markup-compatibility/2006">
          <mc:Choice Requires="x14">
            <control shapeId="59543" r:id="rId136" name="Check Box 151">
              <controlPr defaultSize="0" autoFill="0" autoLine="0" autoPict="0">
                <anchor moveWithCells="1">
                  <from>
                    <xdr:col>12</xdr:col>
                    <xdr:colOff>76200</xdr:colOff>
                    <xdr:row>178</xdr:row>
                    <xdr:rowOff>38100</xdr:rowOff>
                  </from>
                  <to>
                    <xdr:col>12</xdr:col>
                    <xdr:colOff>323850</xdr:colOff>
                    <xdr:row>178</xdr:row>
                    <xdr:rowOff>304800</xdr:rowOff>
                  </to>
                </anchor>
              </controlPr>
            </control>
          </mc:Choice>
        </mc:AlternateContent>
        <mc:AlternateContent xmlns:mc="http://schemas.openxmlformats.org/markup-compatibility/2006">
          <mc:Choice Requires="x14">
            <control shapeId="59544" r:id="rId137" name="Check Box 152">
              <controlPr defaultSize="0" autoFill="0" autoLine="0" autoPict="0">
                <anchor moveWithCells="1">
                  <from>
                    <xdr:col>12</xdr:col>
                    <xdr:colOff>76200</xdr:colOff>
                    <xdr:row>179</xdr:row>
                    <xdr:rowOff>38100</xdr:rowOff>
                  </from>
                  <to>
                    <xdr:col>12</xdr:col>
                    <xdr:colOff>323850</xdr:colOff>
                    <xdr:row>179</xdr:row>
                    <xdr:rowOff>304800</xdr:rowOff>
                  </to>
                </anchor>
              </controlPr>
            </control>
          </mc:Choice>
        </mc:AlternateContent>
        <mc:AlternateContent xmlns:mc="http://schemas.openxmlformats.org/markup-compatibility/2006">
          <mc:Choice Requires="x14">
            <control shapeId="59545" r:id="rId138" name="Check Box 153">
              <controlPr defaultSize="0" autoFill="0" autoLine="0" autoPict="0">
                <anchor moveWithCells="1">
                  <from>
                    <xdr:col>12</xdr:col>
                    <xdr:colOff>76200</xdr:colOff>
                    <xdr:row>180</xdr:row>
                    <xdr:rowOff>38100</xdr:rowOff>
                  </from>
                  <to>
                    <xdr:col>12</xdr:col>
                    <xdr:colOff>323850</xdr:colOff>
                    <xdr:row>180</xdr:row>
                    <xdr:rowOff>304800</xdr:rowOff>
                  </to>
                </anchor>
              </controlPr>
            </control>
          </mc:Choice>
        </mc:AlternateContent>
        <mc:AlternateContent xmlns:mc="http://schemas.openxmlformats.org/markup-compatibility/2006">
          <mc:Choice Requires="x14">
            <control shapeId="59546" r:id="rId139" name="Check Box 154">
              <controlPr defaultSize="0" autoFill="0" autoLine="0" autoPict="0">
                <anchor moveWithCells="1">
                  <from>
                    <xdr:col>12</xdr:col>
                    <xdr:colOff>76200</xdr:colOff>
                    <xdr:row>181</xdr:row>
                    <xdr:rowOff>57150</xdr:rowOff>
                  </from>
                  <to>
                    <xdr:col>12</xdr:col>
                    <xdr:colOff>323850</xdr:colOff>
                    <xdr:row>181</xdr:row>
                    <xdr:rowOff>323850</xdr:rowOff>
                  </to>
                </anchor>
              </controlPr>
            </control>
          </mc:Choice>
        </mc:AlternateContent>
        <mc:AlternateContent xmlns:mc="http://schemas.openxmlformats.org/markup-compatibility/2006">
          <mc:Choice Requires="x14">
            <control shapeId="59547" r:id="rId140" name="Check Box 155">
              <controlPr defaultSize="0" autoFill="0" autoLine="0" autoPict="0">
                <anchor moveWithCells="1">
                  <from>
                    <xdr:col>12</xdr:col>
                    <xdr:colOff>76200</xdr:colOff>
                    <xdr:row>182</xdr:row>
                    <xdr:rowOff>38100</xdr:rowOff>
                  </from>
                  <to>
                    <xdr:col>12</xdr:col>
                    <xdr:colOff>323850</xdr:colOff>
                    <xdr:row>182</xdr:row>
                    <xdr:rowOff>304800</xdr:rowOff>
                  </to>
                </anchor>
              </controlPr>
            </control>
          </mc:Choice>
        </mc:AlternateContent>
        <mc:AlternateContent xmlns:mc="http://schemas.openxmlformats.org/markup-compatibility/2006">
          <mc:Choice Requires="x14">
            <control shapeId="59548" r:id="rId141" name="Check Box 156">
              <controlPr defaultSize="0" autoFill="0" autoLine="0" autoPict="0">
                <anchor moveWithCells="1">
                  <from>
                    <xdr:col>12</xdr:col>
                    <xdr:colOff>76200</xdr:colOff>
                    <xdr:row>172</xdr:row>
                    <xdr:rowOff>152400</xdr:rowOff>
                  </from>
                  <to>
                    <xdr:col>12</xdr:col>
                    <xdr:colOff>323850</xdr:colOff>
                    <xdr:row>172</xdr:row>
                    <xdr:rowOff>600075</xdr:rowOff>
                  </to>
                </anchor>
              </controlPr>
            </control>
          </mc:Choice>
        </mc:AlternateContent>
        <mc:AlternateContent xmlns:mc="http://schemas.openxmlformats.org/markup-compatibility/2006">
          <mc:Choice Requires="x14">
            <control shapeId="59549" r:id="rId142" name="Check Box 157">
              <controlPr defaultSize="0" autoFill="0" autoLine="0" autoPict="0">
                <anchor moveWithCells="1">
                  <from>
                    <xdr:col>12</xdr:col>
                    <xdr:colOff>76200</xdr:colOff>
                    <xdr:row>184</xdr:row>
                    <xdr:rowOff>247650</xdr:rowOff>
                  </from>
                  <to>
                    <xdr:col>12</xdr:col>
                    <xdr:colOff>323850</xdr:colOff>
                    <xdr:row>184</xdr:row>
                    <xdr:rowOff>476250</xdr:rowOff>
                  </to>
                </anchor>
              </controlPr>
            </control>
          </mc:Choice>
        </mc:AlternateContent>
        <mc:AlternateContent xmlns:mc="http://schemas.openxmlformats.org/markup-compatibility/2006">
          <mc:Choice Requires="x14">
            <control shapeId="59550" r:id="rId143" name="Check Box 158">
              <controlPr defaultSize="0" autoFill="0" autoLine="0" autoPict="0">
                <anchor moveWithCells="1">
                  <from>
                    <xdr:col>12</xdr:col>
                    <xdr:colOff>76200</xdr:colOff>
                    <xdr:row>185</xdr:row>
                    <xdr:rowOff>257175</xdr:rowOff>
                  </from>
                  <to>
                    <xdr:col>12</xdr:col>
                    <xdr:colOff>323850</xdr:colOff>
                    <xdr:row>185</xdr:row>
                    <xdr:rowOff>523875</xdr:rowOff>
                  </to>
                </anchor>
              </controlPr>
            </control>
          </mc:Choice>
        </mc:AlternateContent>
        <mc:AlternateContent xmlns:mc="http://schemas.openxmlformats.org/markup-compatibility/2006">
          <mc:Choice Requires="x14">
            <control shapeId="59551" r:id="rId144" name="Check Box 159">
              <controlPr defaultSize="0" autoFill="0" autoLine="0" autoPict="0">
                <anchor moveWithCells="1">
                  <from>
                    <xdr:col>12</xdr:col>
                    <xdr:colOff>76200</xdr:colOff>
                    <xdr:row>186</xdr:row>
                    <xdr:rowOff>38100</xdr:rowOff>
                  </from>
                  <to>
                    <xdr:col>12</xdr:col>
                    <xdr:colOff>323850</xdr:colOff>
                    <xdr:row>186</xdr:row>
                    <xdr:rowOff>304800</xdr:rowOff>
                  </to>
                </anchor>
              </controlPr>
            </control>
          </mc:Choice>
        </mc:AlternateContent>
        <mc:AlternateContent xmlns:mc="http://schemas.openxmlformats.org/markup-compatibility/2006">
          <mc:Choice Requires="x14">
            <control shapeId="59552" r:id="rId145" name="Check Box 160">
              <controlPr defaultSize="0" autoFill="0" autoLine="0" autoPict="0">
                <anchor moveWithCells="1">
                  <from>
                    <xdr:col>12</xdr:col>
                    <xdr:colOff>76200</xdr:colOff>
                    <xdr:row>188</xdr:row>
                    <xdr:rowOff>57150</xdr:rowOff>
                  </from>
                  <to>
                    <xdr:col>12</xdr:col>
                    <xdr:colOff>323850</xdr:colOff>
                    <xdr:row>188</xdr:row>
                    <xdr:rowOff>323850</xdr:rowOff>
                  </to>
                </anchor>
              </controlPr>
            </control>
          </mc:Choice>
        </mc:AlternateContent>
        <mc:AlternateContent xmlns:mc="http://schemas.openxmlformats.org/markup-compatibility/2006">
          <mc:Choice Requires="x14">
            <control shapeId="59557" r:id="rId146" name="Check Box 165">
              <controlPr defaultSize="0" autoFill="0" autoLine="0" autoPict="0">
                <anchor moveWithCells="1">
                  <from>
                    <xdr:col>12</xdr:col>
                    <xdr:colOff>76200</xdr:colOff>
                    <xdr:row>192</xdr:row>
                    <xdr:rowOff>76200</xdr:rowOff>
                  </from>
                  <to>
                    <xdr:col>12</xdr:col>
                    <xdr:colOff>323850</xdr:colOff>
                    <xdr:row>192</xdr:row>
                    <xdr:rowOff>342900</xdr:rowOff>
                  </to>
                </anchor>
              </controlPr>
            </control>
          </mc:Choice>
        </mc:AlternateContent>
        <mc:AlternateContent xmlns:mc="http://schemas.openxmlformats.org/markup-compatibility/2006">
          <mc:Choice Requires="x14">
            <control shapeId="59559" r:id="rId147" name="Option Button 167">
              <controlPr defaultSize="0" autoFill="0" autoLine="0" autoPict="0">
                <anchor moveWithCells="1">
                  <from>
                    <xdr:col>8</xdr:col>
                    <xdr:colOff>238125</xdr:colOff>
                    <xdr:row>21</xdr:row>
                    <xdr:rowOff>523875</xdr:rowOff>
                  </from>
                  <to>
                    <xdr:col>8</xdr:col>
                    <xdr:colOff>485775</xdr:colOff>
                    <xdr:row>21</xdr:row>
                    <xdr:rowOff>742950</xdr:rowOff>
                  </to>
                </anchor>
              </controlPr>
            </control>
          </mc:Choice>
        </mc:AlternateContent>
        <mc:AlternateContent xmlns:mc="http://schemas.openxmlformats.org/markup-compatibility/2006">
          <mc:Choice Requires="x14">
            <control shapeId="59560" r:id="rId148" name="Option Button 168">
              <controlPr defaultSize="0" autoFill="0" autoLine="0" autoPict="0">
                <anchor moveWithCells="1">
                  <from>
                    <xdr:col>9</xdr:col>
                    <xdr:colOff>238125</xdr:colOff>
                    <xdr:row>21</xdr:row>
                    <xdr:rowOff>523875</xdr:rowOff>
                  </from>
                  <to>
                    <xdr:col>9</xdr:col>
                    <xdr:colOff>485775</xdr:colOff>
                    <xdr:row>21</xdr:row>
                    <xdr:rowOff>742950</xdr:rowOff>
                  </to>
                </anchor>
              </controlPr>
            </control>
          </mc:Choice>
        </mc:AlternateContent>
        <mc:AlternateContent xmlns:mc="http://schemas.openxmlformats.org/markup-compatibility/2006">
          <mc:Choice Requires="x14">
            <control shapeId="59561" r:id="rId149" name="Option Button 169">
              <controlPr defaultSize="0" autoFill="0" autoLine="0" autoPict="0">
                <anchor moveWithCells="1">
                  <from>
                    <xdr:col>10</xdr:col>
                    <xdr:colOff>238125</xdr:colOff>
                    <xdr:row>21</xdr:row>
                    <xdr:rowOff>523875</xdr:rowOff>
                  </from>
                  <to>
                    <xdr:col>10</xdr:col>
                    <xdr:colOff>485775</xdr:colOff>
                    <xdr:row>21</xdr:row>
                    <xdr:rowOff>742950</xdr:rowOff>
                  </to>
                </anchor>
              </controlPr>
            </control>
          </mc:Choice>
        </mc:AlternateContent>
        <mc:AlternateContent xmlns:mc="http://schemas.openxmlformats.org/markup-compatibility/2006">
          <mc:Choice Requires="x14">
            <control shapeId="59562" r:id="rId150" name="Group Box 170">
              <controlPr defaultSize="0" autoFill="0" autoPict="0">
                <anchor moveWithCells="1">
                  <from>
                    <xdr:col>8</xdr:col>
                    <xdr:colOff>66675</xdr:colOff>
                    <xdr:row>21</xdr:row>
                    <xdr:rowOff>504825</xdr:rowOff>
                  </from>
                  <to>
                    <xdr:col>10</xdr:col>
                    <xdr:colOff>647700</xdr:colOff>
                    <xdr:row>21</xdr:row>
                    <xdr:rowOff>762000</xdr:rowOff>
                  </to>
                </anchor>
              </controlPr>
            </control>
          </mc:Choice>
        </mc:AlternateContent>
        <mc:AlternateContent xmlns:mc="http://schemas.openxmlformats.org/markup-compatibility/2006">
          <mc:Choice Requires="x14">
            <control shapeId="59563" r:id="rId151" name="Option Button 171">
              <controlPr defaultSize="0" autoFill="0" autoLine="0" autoPict="0">
                <anchor moveWithCells="1">
                  <from>
                    <xdr:col>8</xdr:col>
                    <xdr:colOff>238125</xdr:colOff>
                    <xdr:row>23</xdr:row>
                    <xdr:rowOff>419100</xdr:rowOff>
                  </from>
                  <to>
                    <xdr:col>8</xdr:col>
                    <xdr:colOff>485775</xdr:colOff>
                    <xdr:row>23</xdr:row>
                    <xdr:rowOff>638175</xdr:rowOff>
                  </to>
                </anchor>
              </controlPr>
            </control>
          </mc:Choice>
        </mc:AlternateContent>
        <mc:AlternateContent xmlns:mc="http://schemas.openxmlformats.org/markup-compatibility/2006">
          <mc:Choice Requires="x14">
            <control shapeId="59564" r:id="rId152" name="Option Button 172">
              <controlPr defaultSize="0" autoFill="0" autoLine="0" autoPict="0">
                <anchor moveWithCells="1">
                  <from>
                    <xdr:col>9</xdr:col>
                    <xdr:colOff>238125</xdr:colOff>
                    <xdr:row>23</xdr:row>
                    <xdr:rowOff>419100</xdr:rowOff>
                  </from>
                  <to>
                    <xdr:col>9</xdr:col>
                    <xdr:colOff>485775</xdr:colOff>
                    <xdr:row>23</xdr:row>
                    <xdr:rowOff>638175</xdr:rowOff>
                  </to>
                </anchor>
              </controlPr>
            </control>
          </mc:Choice>
        </mc:AlternateContent>
        <mc:AlternateContent xmlns:mc="http://schemas.openxmlformats.org/markup-compatibility/2006">
          <mc:Choice Requires="x14">
            <control shapeId="59565" r:id="rId153" name="Option Button 173">
              <controlPr defaultSize="0" autoFill="0" autoLine="0" autoPict="0">
                <anchor moveWithCells="1">
                  <from>
                    <xdr:col>10</xdr:col>
                    <xdr:colOff>238125</xdr:colOff>
                    <xdr:row>23</xdr:row>
                    <xdr:rowOff>419100</xdr:rowOff>
                  </from>
                  <to>
                    <xdr:col>10</xdr:col>
                    <xdr:colOff>485775</xdr:colOff>
                    <xdr:row>23</xdr:row>
                    <xdr:rowOff>638175</xdr:rowOff>
                  </to>
                </anchor>
              </controlPr>
            </control>
          </mc:Choice>
        </mc:AlternateContent>
        <mc:AlternateContent xmlns:mc="http://schemas.openxmlformats.org/markup-compatibility/2006">
          <mc:Choice Requires="x14">
            <control shapeId="59566" r:id="rId154" name="Group Box 174">
              <controlPr defaultSize="0" autoFill="0" autoPict="0">
                <anchor moveWithCells="1">
                  <from>
                    <xdr:col>8</xdr:col>
                    <xdr:colOff>66675</xdr:colOff>
                    <xdr:row>23</xdr:row>
                    <xdr:rowOff>400050</xdr:rowOff>
                  </from>
                  <to>
                    <xdr:col>10</xdr:col>
                    <xdr:colOff>647700</xdr:colOff>
                    <xdr:row>23</xdr:row>
                    <xdr:rowOff>647700</xdr:rowOff>
                  </to>
                </anchor>
              </controlPr>
            </control>
          </mc:Choice>
        </mc:AlternateContent>
        <mc:AlternateContent xmlns:mc="http://schemas.openxmlformats.org/markup-compatibility/2006">
          <mc:Choice Requires="x14">
            <control shapeId="59567" r:id="rId155" name="Option Button 175">
              <controlPr defaultSize="0" autoFill="0" autoLine="0" autoPict="0">
                <anchor moveWithCells="1">
                  <from>
                    <xdr:col>8</xdr:col>
                    <xdr:colOff>238125</xdr:colOff>
                    <xdr:row>32</xdr:row>
                    <xdr:rowOff>609600</xdr:rowOff>
                  </from>
                  <to>
                    <xdr:col>8</xdr:col>
                    <xdr:colOff>485775</xdr:colOff>
                    <xdr:row>32</xdr:row>
                    <xdr:rowOff>828675</xdr:rowOff>
                  </to>
                </anchor>
              </controlPr>
            </control>
          </mc:Choice>
        </mc:AlternateContent>
        <mc:AlternateContent xmlns:mc="http://schemas.openxmlformats.org/markup-compatibility/2006">
          <mc:Choice Requires="x14">
            <control shapeId="59568" r:id="rId156" name="Option Button 176">
              <controlPr defaultSize="0" autoFill="0" autoLine="0" autoPict="0">
                <anchor moveWithCells="1">
                  <from>
                    <xdr:col>9</xdr:col>
                    <xdr:colOff>238125</xdr:colOff>
                    <xdr:row>32</xdr:row>
                    <xdr:rowOff>609600</xdr:rowOff>
                  </from>
                  <to>
                    <xdr:col>9</xdr:col>
                    <xdr:colOff>485775</xdr:colOff>
                    <xdr:row>32</xdr:row>
                    <xdr:rowOff>828675</xdr:rowOff>
                  </to>
                </anchor>
              </controlPr>
            </control>
          </mc:Choice>
        </mc:AlternateContent>
        <mc:AlternateContent xmlns:mc="http://schemas.openxmlformats.org/markup-compatibility/2006">
          <mc:Choice Requires="x14">
            <control shapeId="59569" r:id="rId157" name="Option Button 177">
              <controlPr defaultSize="0" autoFill="0" autoLine="0" autoPict="0">
                <anchor moveWithCells="1">
                  <from>
                    <xdr:col>10</xdr:col>
                    <xdr:colOff>238125</xdr:colOff>
                    <xdr:row>32</xdr:row>
                    <xdr:rowOff>609600</xdr:rowOff>
                  </from>
                  <to>
                    <xdr:col>10</xdr:col>
                    <xdr:colOff>485775</xdr:colOff>
                    <xdr:row>32</xdr:row>
                    <xdr:rowOff>828675</xdr:rowOff>
                  </to>
                </anchor>
              </controlPr>
            </control>
          </mc:Choice>
        </mc:AlternateContent>
        <mc:AlternateContent xmlns:mc="http://schemas.openxmlformats.org/markup-compatibility/2006">
          <mc:Choice Requires="x14">
            <control shapeId="59570" r:id="rId158" name="Group Box 178">
              <controlPr defaultSize="0" autoFill="0" autoPict="0">
                <anchor moveWithCells="1">
                  <from>
                    <xdr:col>8</xdr:col>
                    <xdr:colOff>66675</xdr:colOff>
                    <xdr:row>32</xdr:row>
                    <xdr:rowOff>590550</xdr:rowOff>
                  </from>
                  <to>
                    <xdr:col>10</xdr:col>
                    <xdr:colOff>647700</xdr:colOff>
                    <xdr:row>32</xdr:row>
                    <xdr:rowOff>838200</xdr:rowOff>
                  </to>
                </anchor>
              </controlPr>
            </control>
          </mc:Choice>
        </mc:AlternateContent>
        <mc:AlternateContent xmlns:mc="http://schemas.openxmlformats.org/markup-compatibility/2006">
          <mc:Choice Requires="x14">
            <control shapeId="59571" r:id="rId159" name="Option Button 179">
              <controlPr defaultSize="0" autoFill="0" autoLine="0" autoPict="0">
                <anchor moveWithCells="1">
                  <from>
                    <xdr:col>8</xdr:col>
                    <xdr:colOff>238125</xdr:colOff>
                    <xdr:row>39</xdr:row>
                    <xdr:rowOff>200025</xdr:rowOff>
                  </from>
                  <to>
                    <xdr:col>8</xdr:col>
                    <xdr:colOff>485775</xdr:colOff>
                    <xdr:row>39</xdr:row>
                    <xdr:rowOff>419100</xdr:rowOff>
                  </to>
                </anchor>
              </controlPr>
            </control>
          </mc:Choice>
        </mc:AlternateContent>
        <mc:AlternateContent xmlns:mc="http://schemas.openxmlformats.org/markup-compatibility/2006">
          <mc:Choice Requires="x14">
            <control shapeId="59572" r:id="rId160" name="Option Button 180">
              <controlPr defaultSize="0" autoFill="0" autoLine="0" autoPict="0">
                <anchor moveWithCells="1">
                  <from>
                    <xdr:col>9</xdr:col>
                    <xdr:colOff>238125</xdr:colOff>
                    <xdr:row>39</xdr:row>
                    <xdr:rowOff>200025</xdr:rowOff>
                  </from>
                  <to>
                    <xdr:col>9</xdr:col>
                    <xdr:colOff>485775</xdr:colOff>
                    <xdr:row>39</xdr:row>
                    <xdr:rowOff>419100</xdr:rowOff>
                  </to>
                </anchor>
              </controlPr>
            </control>
          </mc:Choice>
        </mc:AlternateContent>
        <mc:AlternateContent xmlns:mc="http://schemas.openxmlformats.org/markup-compatibility/2006">
          <mc:Choice Requires="x14">
            <control shapeId="59573" r:id="rId161" name="Option Button 181">
              <controlPr defaultSize="0" autoFill="0" autoLine="0" autoPict="0">
                <anchor moveWithCells="1">
                  <from>
                    <xdr:col>10</xdr:col>
                    <xdr:colOff>238125</xdr:colOff>
                    <xdr:row>39</xdr:row>
                    <xdr:rowOff>200025</xdr:rowOff>
                  </from>
                  <to>
                    <xdr:col>10</xdr:col>
                    <xdr:colOff>485775</xdr:colOff>
                    <xdr:row>39</xdr:row>
                    <xdr:rowOff>419100</xdr:rowOff>
                  </to>
                </anchor>
              </controlPr>
            </control>
          </mc:Choice>
        </mc:AlternateContent>
        <mc:AlternateContent xmlns:mc="http://schemas.openxmlformats.org/markup-compatibility/2006">
          <mc:Choice Requires="x14">
            <control shapeId="59574" r:id="rId162" name="Group Box 182">
              <controlPr defaultSize="0" autoFill="0" autoPict="0">
                <anchor moveWithCells="1">
                  <from>
                    <xdr:col>8</xdr:col>
                    <xdr:colOff>66675</xdr:colOff>
                    <xdr:row>39</xdr:row>
                    <xdr:rowOff>180975</xdr:rowOff>
                  </from>
                  <to>
                    <xdr:col>10</xdr:col>
                    <xdr:colOff>647700</xdr:colOff>
                    <xdr:row>39</xdr:row>
                    <xdr:rowOff>438150</xdr:rowOff>
                  </to>
                </anchor>
              </controlPr>
            </control>
          </mc:Choice>
        </mc:AlternateContent>
        <mc:AlternateContent xmlns:mc="http://schemas.openxmlformats.org/markup-compatibility/2006">
          <mc:Choice Requires="x14">
            <control shapeId="59575" r:id="rId163" name="Option Button 183">
              <controlPr defaultSize="0" autoFill="0" autoLine="0" autoPict="0">
                <anchor moveWithCells="1">
                  <from>
                    <xdr:col>8</xdr:col>
                    <xdr:colOff>238125</xdr:colOff>
                    <xdr:row>40</xdr:row>
                    <xdr:rowOff>838200</xdr:rowOff>
                  </from>
                  <to>
                    <xdr:col>8</xdr:col>
                    <xdr:colOff>485775</xdr:colOff>
                    <xdr:row>40</xdr:row>
                    <xdr:rowOff>1057275</xdr:rowOff>
                  </to>
                </anchor>
              </controlPr>
            </control>
          </mc:Choice>
        </mc:AlternateContent>
        <mc:AlternateContent xmlns:mc="http://schemas.openxmlformats.org/markup-compatibility/2006">
          <mc:Choice Requires="x14">
            <control shapeId="59576" r:id="rId164" name="Option Button 184">
              <controlPr defaultSize="0" autoFill="0" autoLine="0" autoPict="0">
                <anchor moveWithCells="1">
                  <from>
                    <xdr:col>9</xdr:col>
                    <xdr:colOff>238125</xdr:colOff>
                    <xdr:row>40</xdr:row>
                    <xdr:rowOff>838200</xdr:rowOff>
                  </from>
                  <to>
                    <xdr:col>9</xdr:col>
                    <xdr:colOff>485775</xdr:colOff>
                    <xdr:row>40</xdr:row>
                    <xdr:rowOff>1057275</xdr:rowOff>
                  </to>
                </anchor>
              </controlPr>
            </control>
          </mc:Choice>
        </mc:AlternateContent>
        <mc:AlternateContent xmlns:mc="http://schemas.openxmlformats.org/markup-compatibility/2006">
          <mc:Choice Requires="x14">
            <control shapeId="59577" r:id="rId165" name="Option Button 185">
              <controlPr defaultSize="0" autoFill="0" autoLine="0" autoPict="0">
                <anchor moveWithCells="1">
                  <from>
                    <xdr:col>10</xdr:col>
                    <xdr:colOff>238125</xdr:colOff>
                    <xdr:row>40</xdr:row>
                    <xdr:rowOff>838200</xdr:rowOff>
                  </from>
                  <to>
                    <xdr:col>10</xdr:col>
                    <xdr:colOff>485775</xdr:colOff>
                    <xdr:row>40</xdr:row>
                    <xdr:rowOff>1057275</xdr:rowOff>
                  </to>
                </anchor>
              </controlPr>
            </control>
          </mc:Choice>
        </mc:AlternateContent>
        <mc:AlternateContent xmlns:mc="http://schemas.openxmlformats.org/markup-compatibility/2006">
          <mc:Choice Requires="x14">
            <control shapeId="59578" r:id="rId166" name="Group Box 186">
              <controlPr defaultSize="0" autoFill="0" autoPict="0">
                <anchor moveWithCells="1">
                  <from>
                    <xdr:col>8</xdr:col>
                    <xdr:colOff>66675</xdr:colOff>
                    <xdr:row>40</xdr:row>
                    <xdr:rowOff>819150</xdr:rowOff>
                  </from>
                  <to>
                    <xdr:col>10</xdr:col>
                    <xdr:colOff>647700</xdr:colOff>
                    <xdr:row>40</xdr:row>
                    <xdr:rowOff>1076325</xdr:rowOff>
                  </to>
                </anchor>
              </controlPr>
            </control>
          </mc:Choice>
        </mc:AlternateContent>
        <mc:AlternateContent xmlns:mc="http://schemas.openxmlformats.org/markup-compatibility/2006">
          <mc:Choice Requires="x14">
            <control shapeId="59582" r:id="rId167" name="Group Box 190">
              <controlPr defaultSize="0" autoFill="0" autoPict="0">
                <anchor moveWithCells="1">
                  <from>
                    <xdr:col>8</xdr:col>
                    <xdr:colOff>66675</xdr:colOff>
                    <xdr:row>41</xdr:row>
                    <xdr:rowOff>0</xdr:rowOff>
                  </from>
                  <to>
                    <xdr:col>10</xdr:col>
                    <xdr:colOff>647700</xdr:colOff>
                    <xdr:row>41</xdr:row>
                    <xdr:rowOff>247650</xdr:rowOff>
                  </to>
                </anchor>
              </controlPr>
            </control>
          </mc:Choice>
        </mc:AlternateContent>
        <mc:AlternateContent xmlns:mc="http://schemas.openxmlformats.org/markup-compatibility/2006">
          <mc:Choice Requires="x14">
            <control shapeId="59583" r:id="rId168" name="Option Button 191">
              <controlPr defaultSize="0" autoFill="0" autoLine="0" autoPict="0">
                <anchor moveWithCells="1">
                  <from>
                    <xdr:col>8</xdr:col>
                    <xdr:colOff>238125</xdr:colOff>
                    <xdr:row>41</xdr:row>
                    <xdr:rowOff>609600</xdr:rowOff>
                  </from>
                  <to>
                    <xdr:col>8</xdr:col>
                    <xdr:colOff>485775</xdr:colOff>
                    <xdr:row>41</xdr:row>
                    <xdr:rowOff>828675</xdr:rowOff>
                  </to>
                </anchor>
              </controlPr>
            </control>
          </mc:Choice>
        </mc:AlternateContent>
        <mc:AlternateContent xmlns:mc="http://schemas.openxmlformats.org/markup-compatibility/2006">
          <mc:Choice Requires="x14">
            <control shapeId="59584" r:id="rId169" name="Option Button 192">
              <controlPr defaultSize="0" autoFill="0" autoLine="0" autoPict="0">
                <anchor moveWithCells="1">
                  <from>
                    <xdr:col>9</xdr:col>
                    <xdr:colOff>238125</xdr:colOff>
                    <xdr:row>41</xdr:row>
                    <xdr:rowOff>609600</xdr:rowOff>
                  </from>
                  <to>
                    <xdr:col>9</xdr:col>
                    <xdr:colOff>485775</xdr:colOff>
                    <xdr:row>41</xdr:row>
                    <xdr:rowOff>828675</xdr:rowOff>
                  </to>
                </anchor>
              </controlPr>
            </control>
          </mc:Choice>
        </mc:AlternateContent>
        <mc:AlternateContent xmlns:mc="http://schemas.openxmlformats.org/markup-compatibility/2006">
          <mc:Choice Requires="x14">
            <control shapeId="59585" r:id="rId170" name="Option Button 193">
              <controlPr defaultSize="0" autoFill="0" autoLine="0" autoPict="0">
                <anchor moveWithCells="1">
                  <from>
                    <xdr:col>10</xdr:col>
                    <xdr:colOff>238125</xdr:colOff>
                    <xdr:row>41</xdr:row>
                    <xdr:rowOff>609600</xdr:rowOff>
                  </from>
                  <to>
                    <xdr:col>10</xdr:col>
                    <xdr:colOff>485775</xdr:colOff>
                    <xdr:row>41</xdr:row>
                    <xdr:rowOff>828675</xdr:rowOff>
                  </to>
                </anchor>
              </controlPr>
            </control>
          </mc:Choice>
        </mc:AlternateContent>
        <mc:AlternateContent xmlns:mc="http://schemas.openxmlformats.org/markup-compatibility/2006">
          <mc:Choice Requires="x14">
            <control shapeId="59586" r:id="rId171" name="Group Box 194">
              <controlPr defaultSize="0" autoFill="0" autoPict="0">
                <anchor moveWithCells="1">
                  <from>
                    <xdr:col>8</xdr:col>
                    <xdr:colOff>66675</xdr:colOff>
                    <xdr:row>41</xdr:row>
                    <xdr:rowOff>590550</xdr:rowOff>
                  </from>
                  <to>
                    <xdr:col>10</xdr:col>
                    <xdr:colOff>647700</xdr:colOff>
                    <xdr:row>41</xdr:row>
                    <xdr:rowOff>838200</xdr:rowOff>
                  </to>
                </anchor>
              </controlPr>
            </control>
          </mc:Choice>
        </mc:AlternateContent>
        <mc:AlternateContent xmlns:mc="http://schemas.openxmlformats.org/markup-compatibility/2006">
          <mc:Choice Requires="x14">
            <control shapeId="59591" r:id="rId172" name="Option Button 199">
              <controlPr defaultSize="0" autoFill="0" autoLine="0" autoPict="0">
                <anchor moveWithCells="1">
                  <from>
                    <xdr:col>8</xdr:col>
                    <xdr:colOff>238125</xdr:colOff>
                    <xdr:row>43</xdr:row>
                    <xdr:rowOff>390525</xdr:rowOff>
                  </from>
                  <to>
                    <xdr:col>8</xdr:col>
                    <xdr:colOff>485775</xdr:colOff>
                    <xdr:row>43</xdr:row>
                    <xdr:rowOff>609600</xdr:rowOff>
                  </to>
                </anchor>
              </controlPr>
            </control>
          </mc:Choice>
        </mc:AlternateContent>
        <mc:AlternateContent xmlns:mc="http://schemas.openxmlformats.org/markup-compatibility/2006">
          <mc:Choice Requires="x14">
            <control shapeId="59592" r:id="rId173" name="Option Button 200">
              <controlPr defaultSize="0" autoFill="0" autoLine="0" autoPict="0">
                <anchor moveWithCells="1">
                  <from>
                    <xdr:col>9</xdr:col>
                    <xdr:colOff>238125</xdr:colOff>
                    <xdr:row>43</xdr:row>
                    <xdr:rowOff>390525</xdr:rowOff>
                  </from>
                  <to>
                    <xdr:col>9</xdr:col>
                    <xdr:colOff>485775</xdr:colOff>
                    <xdr:row>43</xdr:row>
                    <xdr:rowOff>609600</xdr:rowOff>
                  </to>
                </anchor>
              </controlPr>
            </control>
          </mc:Choice>
        </mc:AlternateContent>
        <mc:AlternateContent xmlns:mc="http://schemas.openxmlformats.org/markup-compatibility/2006">
          <mc:Choice Requires="x14">
            <control shapeId="59593" r:id="rId174" name="Option Button 201">
              <controlPr defaultSize="0" autoFill="0" autoLine="0" autoPict="0">
                <anchor moveWithCells="1">
                  <from>
                    <xdr:col>10</xdr:col>
                    <xdr:colOff>238125</xdr:colOff>
                    <xdr:row>43</xdr:row>
                    <xdr:rowOff>390525</xdr:rowOff>
                  </from>
                  <to>
                    <xdr:col>10</xdr:col>
                    <xdr:colOff>485775</xdr:colOff>
                    <xdr:row>43</xdr:row>
                    <xdr:rowOff>609600</xdr:rowOff>
                  </to>
                </anchor>
              </controlPr>
            </control>
          </mc:Choice>
        </mc:AlternateContent>
        <mc:AlternateContent xmlns:mc="http://schemas.openxmlformats.org/markup-compatibility/2006">
          <mc:Choice Requires="x14">
            <control shapeId="59594" r:id="rId175" name="Group Box 202">
              <controlPr defaultSize="0" autoFill="0" autoPict="0">
                <anchor moveWithCells="1">
                  <from>
                    <xdr:col>8</xdr:col>
                    <xdr:colOff>66675</xdr:colOff>
                    <xdr:row>43</xdr:row>
                    <xdr:rowOff>371475</xdr:rowOff>
                  </from>
                  <to>
                    <xdr:col>10</xdr:col>
                    <xdr:colOff>647700</xdr:colOff>
                    <xdr:row>43</xdr:row>
                    <xdr:rowOff>628650</xdr:rowOff>
                  </to>
                </anchor>
              </controlPr>
            </control>
          </mc:Choice>
        </mc:AlternateContent>
        <mc:AlternateContent xmlns:mc="http://schemas.openxmlformats.org/markup-compatibility/2006">
          <mc:Choice Requires="x14">
            <control shapeId="59595" r:id="rId176" name="Option Button 203">
              <controlPr defaultSize="0" autoFill="0" autoLine="0" autoPict="0">
                <anchor moveWithCells="1">
                  <from>
                    <xdr:col>8</xdr:col>
                    <xdr:colOff>238125</xdr:colOff>
                    <xdr:row>46</xdr:row>
                    <xdr:rowOff>200025</xdr:rowOff>
                  </from>
                  <to>
                    <xdr:col>8</xdr:col>
                    <xdr:colOff>485775</xdr:colOff>
                    <xdr:row>46</xdr:row>
                    <xdr:rowOff>419100</xdr:rowOff>
                  </to>
                </anchor>
              </controlPr>
            </control>
          </mc:Choice>
        </mc:AlternateContent>
        <mc:AlternateContent xmlns:mc="http://schemas.openxmlformats.org/markup-compatibility/2006">
          <mc:Choice Requires="x14">
            <control shapeId="59596" r:id="rId177" name="Option Button 204">
              <controlPr defaultSize="0" autoFill="0" autoLine="0" autoPict="0">
                <anchor moveWithCells="1">
                  <from>
                    <xdr:col>9</xdr:col>
                    <xdr:colOff>238125</xdr:colOff>
                    <xdr:row>46</xdr:row>
                    <xdr:rowOff>200025</xdr:rowOff>
                  </from>
                  <to>
                    <xdr:col>9</xdr:col>
                    <xdr:colOff>485775</xdr:colOff>
                    <xdr:row>46</xdr:row>
                    <xdr:rowOff>419100</xdr:rowOff>
                  </to>
                </anchor>
              </controlPr>
            </control>
          </mc:Choice>
        </mc:AlternateContent>
        <mc:AlternateContent xmlns:mc="http://schemas.openxmlformats.org/markup-compatibility/2006">
          <mc:Choice Requires="x14">
            <control shapeId="59597" r:id="rId178" name="Option Button 205">
              <controlPr defaultSize="0" autoFill="0" autoLine="0" autoPict="0">
                <anchor moveWithCells="1">
                  <from>
                    <xdr:col>10</xdr:col>
                    <xdr:colOff>238125</xdr:colOff>
                    <xdr:row>46</xdr:row>
                    <xdr:rowOff>200025</xdr:rowOff>
                  </from>
                  <to>
                    <xdr:col>10</xdr:col>
                    <xdr:colOff>485775</xdr:colOff>
                    <xdr:row>46</xdr:row>
                    <xdr:rowOff>419100</xdr:rowOff>
                  </to>
                </anchor>
              </controlPr>
            </control>
          </mc:Choice>
        </mc:AlternateContent>
        <mc:AlternateContent xmlns:mc="http://schemas.openxmlformats.org/markup-compatibility/2006">
          <mc:Choice Requires="x14">
            <control shapeId="59598" r:id="rId179" name="Group Box 206">
              <controlPr defaultSize="0" autoFill="0" autoPict="0">
                <anchor moveWithCells="1">
                  <from>
                    <xdr:col>8</xdr:col>
                    <xdr:colOff>66675</xdr:colOff>
                    <xdr:row>46</xdr:row>
                    <xdr:rowOff>180975</xdr:rowOff>
                  </from>
                  <to>
                    <xdr:col>10</xdr:col>
                    <xdr:colOff>647700</xdr:colOff>
                    <xdr:row>46</xdr:row>
                    <xdr:rowOff>438150</xdr:rowOff>
                  </to>
                </anchor>
              </controlPr>
            </control>
          </mc:Choice>
        </mc:AlternateContent>
        <mc:AlternateContent xmlns:mc="http://schemas.openxmlformats.org/markup-compatibility/2006">
          <mc:Choice Requires="x14">
            <control shapeId="59611" r:id="rId180" name="Option Button 219">
              <controlPr defaultSize="0" autoFill="0" autoLine="0" autoPict="0">
                <anchor moveWithCells="1">
                  <from>
                    <xdr:col>8</xdr:col>
                    <xdr:colOff>238125</xdr:colOff>
                    <xdr:row>58</xdr:row>
                    <xdr:rowOff>523875</xdr:rowOff>
                  </from>
                  <to>
                    <xdr:col>8</xdr:col>
                    <xdr:colOff>485775</xdr:colOff>
                    <xdr:row>58</xdr:row>
                    <xdr:rowOff>742950</xdr:rowOff>
                  </to>
                </anchor>
              </controlPr>
            </control>
          </mc:Choice>
        </mc:AlternateContent>
        <mc:AlternateContent xmlns:mc="http://schemas.openxmlformats.org/markup-compatibility/2006">
          <mc:Choice Requires="x14">
            <control shapeId="59612" r:id="rId181" name="Option Button 220">
              <controlPr defaultSize="0" autoFill="0" autoLine="0" autoPict="0">
                <anchor moveWithCells="1">
                  <from>
                    <xdr:col>9</xdr:col>
                    <xdr:colOff>238125</xdr:colOff>
                    <xdr:row>58</xdr:row>
                    <xdr:rowOff>523875</xdr:rowOff>
                  </from>
                  <to>
                    <xdr:col>9</xdr:col>
                    <xdr:colOff>485775</xdr:colOff>
                    <xdr:row>58</xdr:row>
                    <xdr:rowOff>742950</xdr:rowOff>
                  </to>
                </anchor>
              </controlPr>
            </control>
          </mc:Choice>
        </mc:AlternateContent>
        <mc:AlternateContent xmlns:mc="http://schemas.openxmlformats.org/markup-compatibility/2006">
          <mc:Choice Requires="x14">
            <control shapeId="59613" r:id="rId182" name="Option Button 221">
              <controlPr defaultSize="0" autoFill="0" autoLine="0" autoPict="0">
                <anchor moveWithCells="1">
                  <from>
                    <xdr:col>10</xdr:col>
                    <xdr:colOff>238125</xdr:colOff>
                    <xdr:row>58</xdr:row>
                    <xdr:rowOff>523875</xdr:rowOff>
                  </from>
                  <to>
                    <xdr:col>10</xdr:col>
                    <xdr:colOff>485775</xdr:colOff>
                    <xdr:row>58</xdr:row>
                    <xdr:rowOff>742950</xdr:rowOff>
                  </to>
                </anchor>
              </controlPr>
            </control>
          </mc:Choice>
        </mc:AlternateContent>
        <mc:AlternateContent xmlns:mc="http://schemas.openxmlformats.org/markup-compatibility/2006">
          <mc:Choice Requires="x14">
            <control shapeId="59614" r:id="rId183" name="Group Box 222">
              <controlPr defaultSize="0" autoFill="0" autoPict="0">
                <anchor moveWithCells="1">
                  <from>
                    <xdr:col>8</xdr:col>
                    <xdr:colOff>66675</xdr:colOff>
                    <xdr:row>58</xdr:row>
                    <xdr:rowOff>504825</xdr:rowOff>
                  </from>
                  <to>
                    <xdr:col>10</xdr:col>
                    <xdr:colOff>647700</xdr:colOff>
                    <xdr:row>58</xdr:row>
                    <xdr:rowOff>762000</xdr:rowOff>
                  </to>
                </anchor>
              </controlPr>
            </control>
          </mc:Choice>
        </mc:AlternateContent>
        <mc:AlternateContent xmlns:mc="http://schemas.openxmlformats.org/markup-compatibility/2006">
          <mc:Choice Requires="x14">
            <control shapeId="59615" r:id="rId184" name="Option Button 223">
              <controlPr defaultSize="0" autoFill="0" autoLine="0" autoPict="0">
                <anchor moveWithCells="1">
                  <from>
                    <xdr:col>8</xdr:col>
                    <xdr:colOff>238125</xdr:colOff>
                    <xdr:row>59</xdr:row>
                    <xdr:rowOff>390525</xdr:rowOff>
                  </from>
                  <to>
                    <xdr:col>8</xdr:col>
                    <xdr:colOff>485775</xdr:colOff>
                    <xdr:row>59</xdr:row>
                    <xdr:rowOff>609600</xdr:rowOff>
                  </to>
                </anchor>
              </controlPr>
            </control>
          </mc:Choice>
        </mc:AlternateContent>
        <mc:AlternateContent xmlns:mc="http://schemas.openxmlformats.org/markup-compatibility/2006">
          <mc:Choice Requires="x14">
            <control shapeId="59616" r:id="rId185" name="Option Button 224">
              <controlPr defaultSize="0" autoFill="0" autoLine="0" autoPict="0">
                <anchor moveWithCells="1">
                  <from>
                    <xdr:col>9</xdr:col>
                    <xdr:colOff>238125</xdr:colOff>
                    <xdr:row>59</xdr:row>
                    <xdr:rowOff>390525</xdr:rowOff>
                  </from>
                  <to>
                    <xdr:col>9</xdr:col>
                    <xdr:colOff>485775</xdr:colOff>
                    <xdr:row>59</xdr:row>
                    <xdr:rowOff>609600</xdr:rowOff>
                  </to>
                </anchor>
              </controlPr>
            </control>
          </mc:Choice>
        </mc:AlternateContent>
        <mc:AlternateContent xmlns:mc="http://schemas.openxmlformats.org/markup-compatibility/2006">
          <mc:Choice Requires="x14">
            <control shapeId="59617" r:id="rId186" name="Option Button 225">
              <controlPr defaultSize="0" autoFill="0" autoLine="0" autoPict="0">
                <anchor moveWithCells="1">
                  <from>
                    <xdr:col>10</xdr:col>
                    <xdr:colOff>238125</xdr:colOff>
                    <xdr:row>59</xdr:row>
                    <xdr:rowOff>390525</xdr:rowOff>
                  </from>
                  <to>
                    <xdr:col>10</xdr:col>
                    <xdr:colOff>485775</xdr:colOff>
                    <xdr:row>59</xdr:row>
                    <xdr:rowOff>609600</xdr:rowOff>
                  </to>
                </anchor>
              </controlPr>
            </control>
          </mc:Choice>
        </mc:AlternateContent>
        <mc:AlternateContent xmlns:mc="http://schemas.openxmlformats.org/markup-compatibility/2006">
          <mc:Choice Requires="x14">
            <control shapeId="59618" r:id="rId187" name="Group Box 226">
              <controlPr defaultSize="0" autoFill="0" autoPict="0">
                <anchor moveWithCells="1">
                  <from>
                    <xdr:col>8</xdr:col>
                    <xdr:colOff>66675</xdr:colOff>
                    <xdr:row>59</xdr:row>
                    <xdr:rowOff>371475</xdr:rowOff>
                  </from>
                  <to>
                    <xdr:col>10</xdr:col>
                    <xdr:colOff>647700</xdr:colOff>
                    <xdr:row>59</xdr:row>
                    <xdr:rowOff>628650</xdr:rowOff>
                  </to>
                </anchor>
              </controlPr>
            </control>
          </mc:Choice>
        </mc:AlternateContent>
        <mc:AlternateContent xmlns:mc="http://schemas.openxmlformats.org/markup-compatibility/2006">
          <mc:Choice Requires="x14">
            <control shapeId="59619" r:id="rId188" name="Option Button 227">
              <controlPr defaultSize="0" autoFill="0" autoLine="0" autoPict="0">
                <anchor moveWithCells="1">
                  <from>
                    <xdr:col>8</xdr:col>
                    <xdr:colOff>238125</xdr:colOff>
                    <xdr:row>60</xdr:row>
                    <xdr:rowOff>514350</xdr:rowOff>
                  </from>
                  <to>
                    <xdr:col>8</xdr:col>
                    <xdr:colOff>485775</xdr:colOff>
                    <xdr:row>60</xdr:row>
                    <xdr:rowOff>733425</xdr:rowOff>
                  </to>
                </anchor>
              </controlPr>
            </control>
          </mc:Choice>
        </mc:AlternateContent>
        <mc:AlternateContent xmlns:mc="http://schemas.openxmlformats.org/markup-compatibility/2006">
          <mc:Choice Requires="x14">
            <control shapeId="59620" r:id="rId189" name="Option Button 228">
              <controlPr defaultSize="0" autoFill="0" autoLine="0" autoPict="0">
                <anchor moveWithCells="1">
                  <from>
                    <xdr:col>9</xdr:col>
                    <xdr:colOff>238125</xdr:colOff>
                    <xdr:row>60</xdr:row>
                    <xdr:rowOff>514350</xdr:rowOff>
                  </from>
                  <to>
                    <xdr:col>9</xdr:col>
                    <xdr:colOff>485775</xdr:colOff>
                    <xdr:row>60</xdr:row>
                    <xdr:rowOff>733425</xdr:rowOff>
                  </to>
                </anchor>
              </controlPr>
            </control>
          </mc:Choice>
        </mc:AlternateContent>
        <mc:AlternateContent xmlns:mc="http://schemas.openxmlformats.org/markup-compatibility/2006">
          <mc:Choice Requires="x14">
            <control shapeId="59621" r:id="rId190" name="Option Button 229">
              <controlPr defaultSize="0" autoFill="0" autoLine="0" autoPict="0">
                <anchor moveWithCells="1">
                  <from>
                    <xdr:col>10</xdr:col>
                    <xdr:colOff>238125</xdr:colOff>
                    <xdr:row>60</xdr:row>
                    <xdr:rowOff>514350</xdr:rowOff>
                  </from>
                  <to>
                    <xdr:col>10</xdr:col>
                    <xdr:colOff>485775</xdr:colOff>
                    <xdr:row>60</xdr:row>
                    <xdr:rowOff>733425</xdr:rowOff>
                  </to>
                </anchor>
              </controlPr>
            </control>
          </mc:Choice>
        </mc:AlternateContent>
        <mc:AlternateContent xmlns:mc="http://schemas.openxmlformats.org/markup-compatibility/2006">
          <mc:Choice Requires="x14">
            <control shapeId="59622" r:id="rId191" name="Group Box 230">
              <controlPr defaultSize="0" autoFill="0" autoPict="0">
                <anchor moveWithCells="1">
                  <from>
                    <xdr:col>8</xdr:col>
                    <xdr:colOff>66675</xdr:colOff>
                    <xdr:row>60</xdr:row>
                    <xdr:rowOff>495300</xdr:rowOff>
                  </from>
                  <to>
                    <xdr:col>10</xdr:col>
                    <xdr:colOff>647700</xdr:colOff>
                    <xdr:row>60</xdr:row>
                    <xdr:rowOff>742950</xdr:rowOff>
                  </to>
                </anchor>
              </controlPr>
            </control>
          </mc:Choice>
        </mc:AlternateContent>
        <mc:AlternateContent xmlns:mc="http://schemas.openxmlformats.org/markup-compatibility/2006">
          <mc:Choice Requires="x14">
            <control shapeId="59627" r:id="rId192" name="Option Button 235">
              <controlPr defaultSize="0" autoFill="0" autoLine="0" autoPict="0">
                <anchor moveWithCells="1">
                  <from>
                    <xdr:col>8</xdr:col>
                    <xdr:colOff>238125</xdr:colOff>
                    <xdr:row>84</xdr:row>
                    <xdr:rowOff>323850</xdr:rowOff>
                  </from>
                  <to>
                    <xdr:col>8</xdr:col>
                    <xdr:colOff>485775</xdr:colOff>
                    <xdr:row>84</xdr:row>
                    <xdr:rowOff>542925</xdr:rowOff>
                  </to>
                </anchor>
              </controlPr>
            </control>
          </mc:Choice>
        </mc:AlternateContent>
        <mc:AlternateContent xmlns:mc="http://schemas.openxmlformats.org/markup-compatibility/2006">
          <mc:Choice Requires="x14">
            <control shapeId="59628" r:id="rId193" name="Option Button 236">
              <controlPr defaultSize="0" autoFill="0" autoLine="0" autoPict="0">
                <anchor moveWithCells="1">
                  <from>
                    <xdr:col>9</xdr:col>
                    <xdr:colOff>238125</xdr:colOff>
                    <xdr:row>84</xdr:row>
                    <xdr:rowOff>323850</xdr:rowOff>
                  </from>
                  <to>
                    <xdr:col>9</xdr:col>
                    <xdr:colOff>485775</xdr:colOff>
                    <xdr:row>84</xdr:row>
                    <xdr:rowOff>542925</xdr:rowOff>
                  </to>
                </anchor>
              </controlPr>
            </control>
          </mc:Choice>
        </mc:AlternateContent>
        <mc:AlternateContent xmlns:mc="http://schemas.openxmlformats.org/markup-compatibility/2006">
          <mc:Choice Requires="x14">
            <control shapeId="59629" r:id="rId194" name="Option Button 237">
              <controlPr defaultSize="0" autoFill="0" autoLine="0" autoPict="0">
                <anchor moveWithCells="1">
                  <from>
                    <xdr:col>10</xdr:col>
                    <xdr:colOff>238125</xdr:colOff>
                    <xdr:row>84</xdr:row>
                    <xdr:rowOff>323850</xdr:rowOff>
                  </from>
                  <to>
                    <xdr:col>10</xdr:col>
                    <xdr:colOff>485775</xdr:colOff>
                    <xdr:row>84</xdr:row>
                    <xdr:rowOff>542925</xdr:rowOff>
                  </to>
                </anchor>
              </controlPr>
            </control>
          </mc:Choice>
        </mc:AlternateContent>
        <mc:AlternateContent xmlns:mc="http://schemas.openxmlformats.org/markup-compatibility/2006">
          <mc:Choice Requires="x14">
            <control shapeId="59630" r:id="rId195" name="Group Box 238">
              <controlPr defaultSize="0" autoFill="0" autoPict="0">
                <anchor moveWithCells="1">
                  <from>
                    <xdr:col>8</xdr:col>
                    <xdr:colOff>66675</xdr:colOff>
                    <xdr:row>84</xdr:row>
                    <xdr:rowOff>304800</xdr:rowOff>
                  </from>
                  <to>
                    <xdr:col>10</xdr:col>
                    <xdr:colOff>647700</xdr:colOff>
                    <xdr:row>84</xdr:row>
                    <xdr:rowOff>552450</xdr:rowOff>
                  </to>
                </anchor>
              </controlPr>
            </control>
          </mc:Choice>
        </mc:AlternateContent>
        <mc:AlternateContent xmlns:mc="http://schemas.openxmlformats.org/markup-compatibility/2006">
          <mc:Choice Requires="x14">
            <control shapeId="59631" r:id="rId196" name="Option Button 239">
              <controlPr defaultSize="0" autoFill="0" autoLine="0" autoPict="0">
                <anchor moveWithCells="1">
                  <from>
                    <xdr:col>8</xdr:col>
                    <xdr:colOff>238125</xdr:colOff>
                    <xdr:row>85</xdr:row>
                    <xdr:rowOff>190500</xdr:rowOff>
                  </from>
                  <to>
                    <xdr:col>8</xdr:col>
                    <xdr:colOff>485775</xdr:colOff>
                    <xdr:row>85</xdr:row>
                    <xdr:rowOff>400050</xdr:rowOff>
                  </to>
                </anchor>
              </controlPr>
            </control>
          </mc:Choice>
        </mc:AlternateContent>
        <mc:AlternateContent xmlns:mc="http://schemas.openxmlformats.org/markup-compatibility/2006">
          <mc:Choice Requires="x14">
            <control shapeId="59632" r:id="rId197" name="Option Button 240">
              <controlPr defaultSize="0" autoFill="0" autoLine="0" autoPict="0">
                <anchor moveWithCells="1">
                  <from>
                    <xdr:col>9</xdr:col>
                    <xdr:colOff>238125</xdr:colOff>
                    <xdr:row>85</xdr:row>
                    <xdr:rowOff>190500</xdr:rowOff>
                  </from>
                  <to>
                    <xdr:col>9</xdr:col>
                    <xdr:colOff>485775</xdr:colOff>
                    <xdr:row>85</xdr:row>
                    <xdr:rowOff>400050</xdr:rowOff>
                  </to>
                </anchor>
              </controlPr>
            </control>
          </mc:Choice>
        </mc:AlternateContent>
        <mc:AlternateContent xmlns:mc="http://schemas.openxmlformats.org/markup-compatibility/2006">
          <mc:Choice Requires="x14">
            <control shapeId="59633" r:id="rId198" name="Option Button 241">
              <controlPr defaultSize="0" autoFill="0" autoLine="0" autoPict="0">
                <anchor moveWithCells="1">
                  <from>
                    <xdr:col>10</xdr:col>
                    <xdr:colOff>238125</xdr:colOff>
                    <xdr:row>85</xdr:row>
                    <xdr:rowOff>190500</xdr:rowOff>
                  </from>
                  <to>
                    <xdr:col>10</xdr:col>
                    <xdr:colOff>485775</xdr:colOff>
                    <xdr:row>85</xdr:row>
                    <xdr:rowOff>400050</xdr:rowOff>
                  </to>
                </anchor>
              </controlPr>
            </control>
          </mc:Choice>
        </mc:AlternateContent>
        <mc:AlternateContent xmlns:mc="http://schemas.openxmlformats.org/markup-compatibility/2006">
          <mc:Choice Requires="x14">
            <control shapeId="59634" r:id="rId199" name="Group Box 242">
              <controlPr defaultSize="0" autoFill="0" autoPict="0">
                <anchor moveWithCells="1">
                  <from>
                    <xdr:col>8</xdr:col>
                    <xdr:colOff>66675</xdr:colOff>
                    <xdr:row>85</xdr:row>
                    <xdr:rowOff>171450</xdr:rowOff>
                  </from>
                  <to>
                    <xdr:col>10</xdr:col>
                    <xdr:colOff>647700</xdr:colOff>
                    <xdr:row>85</xdr:row>
                    <xdr:rowOff>419100</xdr:rowOff>
                  </to>
                </anchor>
              </controlPr>
            </control>
          </mc:Choice>
        </mc:AlternateContent>
        <mc:AlternateContent xmlns:mc="http://schemas.openxmlformats.org/markup-compatibility/2006">
          <mc:Choice Requires="x14">
            <control shapeId="59635" r:id="rId200" name="Option Button 243">
              <controlPr defaultSize="0" autoFill="0" autoLine="0" autoPict="0">
                <anchor moveWithCells="1">
                  <from>
                    <xdr:col>8</xdr:col>
                    <xdr:colOff>238125</xdr:colOff>
                    <xdr:row>87</xdr:row>
                    <xdr:rowOff>514350</xdr:rowOff>
                  </from>
                  <to>
                    <xdr:col>8</xdr:col>
                    <xdr:colOff>485775</xdr:colOff>
                    <xdr:row>87</xdr:row>
                    <xdr:rowOff>733425</xdr:rowOff>
                  </to>
                </anchor>
              </controlPr>
            </control>
          </mc:Choice>
        </mc:AlternateContent>
        <mc:AlternateContent xmlns:mc="http://schemas.openxmlformats.org/markup-compatibility/2006">
          <mc:Choice Requires="x14">
            <control shapeId="59636" r:id="rId201" name="Option Button 244">
              <controlPr defaultSize="0" autoFill="0" autoLine="0" autoPict="0">
                <anchor moveWithCells="1">
                  <from>
                    <xdr:col>9</xdr:col>
                    <xdr:colOff>238125</xdr:colOff>
                    <xdr:row>87</xdr:row>
                    <xdr:rowOff>514350</xdr:rowOff>
                  </from>
                  <to>
                    <xdr:col>9</xdr:col>
                    <xdr:colOff>485775</xdr:colOff>
                    <xdr:row>87</xdr:row>
                    <xdr:rowOff>733425</xdr:rowOff>
                  </to>
                </anchor>
              </controlPr>
            </control>
          </mc:Choice>
        </mc:AlternateContent>
        <mc:AlternateContent xmlns:mc="http://schemas.openxmlformats.org/markup-compatibility/2006">
          <mc:Choice Requires="x14">
            <control shapeId="59637" r:id="rId202" name="Option Button 245">
              <controlPr defaultSize="0" autoFill="0" autoLine="0" autoPict="0">
                <anchor moveWithCells="1">
                  <from>
                    <xdr:col>10</xdr:col>
                    <xdr:colOff>238125</xdr:colOff>
                    <xdr:row>87</xdr:row>
                    <xdr:rowOff>514350</xdr:rowOff>
                  </from>
                  <to>
                    <xdr:col>10</xdr:col>
                    <xdr:colOff>485775</xdr:colOff>
                    <xdr:row>87</xdr:row>
                    <xdr:rowOff>733425</xdr:rowOff>
                  </to>
                </anchor>
              </controlPr>
            </control>
          </mc:Choice>
        </mc:AlternateContent>
        <mc:AlternateContent xmlns:mc="http://schemas.openxmlformats.org/markup-compatibility/2006">
          <mc:Choice Requires="x14">
            <control shapeId="59638" r:id="rId203" name="Group Box 246">
              <controlPr defaultSize="0" autoFill="0" autoPict="0">
                <anchor moveWithCells="1">
                  <from>
                    <xdr:col>8</xdr:col>
                    <xdr:colOff>66675</xdr:colOff>
                    <xdr:row>87</xdr:row>
                    <xdr:rowOff>495300</xdr:rowOff>
                  </from>
                  <to>
                    <xdr:col>10</xdr:col>
                    <xdr:colOff>647700</xdr:colOff>
                    <xdr:row>87</xdr:row>
                    <xdr:rowOff>742950</xdr:rowOff>
                  </to>
                </anchor>
              </controlPr>
            </control>
          </mc:Choice>
        </mc:AlternateContent>
        <mc:AlternateContent xmlns:mc="http://schemas.openxmlformats.org/markup-compatibility/2006">
          <mc:Choice Requires="x14">
            <control shapeId="59639" r:id="rId204" name="Option Button 247">
              <controlPr defaultSize="0" autoFill="0" autoLine="0" autoPict="0">
                <anchor moveWithCells="1">
                  <from>
                    <xdr:col>8</xdr:col>
                    <xdr:colOff>238125</xdr:colOff>
                    <xdr:row>88</xdr:row>
                    <xdr:rowOff>419100</xdr:rowOff>
                  </from>
                  <to>
                    <xdr:col>8</xdr:col>
                    <xdr:colOff>485775</xdr:colOff>
                    <xdr:row>88</xdr:row>
                    <xdr:rowOff>638175</xdr:rowOff>
                  </to>
                </anchor>
              </controlPr>
            </control>
          </mc:Choice>
        </mc:AlternateContent>
        <mc:AlternateContent xmlns:mc="http://schemas.openxmlformats.org/markup-compatibility/2006">
          <mc:Choice Requires="x14">
            <control shapeId="59640" r:id="rId205" name="Option Button 248">
              <controlPr defaultSize="0" autoFill="0" autoLine="0" autoPict="0">
                <anchor moveWithCells="1">
                  <from>
                    <xdr:col>9</xdr:col>
                    <xdr:colOff>238125</xdr:colOff>
                    <xdr:row>88</xdr:row>
                    <xdr:rowOff>419100</xdr:rowOff>
                  </from>
                  <to>
                    <xdr:col>9</xdr:col>
                    <xdr:colOff>485775</xdr:colOff>
                    <xdr:row>88</xdr:row>
                    <xdr:rowOff>638175</xdr:rowOff>
                  </to>
                </anchor>
              </controlPr>
            </control>
          </mc:Choice>
        </mc:AlternateContent>
        <mc:AlternateContent xmlns:mc="http://schemas.openxmlformats.org/markup-compatibility/2006">
          <mc:Choice Requires="x14">
            <control shapeId="59641" r:id="rId206" name="Option Button 249">
              <controlPr defaultSize="0" autoFill="0" autoLine="0" autoPict="0">
                <anchor moveWithCells="1">
                  <from>
                    <xdr:col>10</xdr:col>
                    <xdr:colOff>238125</xdr:colOff>
                    <xdr:row>88</xdr:row>
                    <xdr:rowOff>419100</xdr:rowOff>
                  </from>
                  <to>
                    <xdr:col>10</xdr:col>
                    <xdr:colOff>485775</xdr:colOff>
                    <xdr:row>88</xdr:row>
                    <xdr:rowOff>638175</xdr:rowOff>
                  </to>
                </anchor>
              </controlPr>
            </control>
          </mc:Choice>
        </mc:AlternateContent>
        <mc:AlternateContent xmlns:mc="http://schemas.openxmlformats.org/markup-compatibility/2006">
          <mc:Choice Requires="x14">
            <control shapeId="59642" r:id="rId207" name="Group Box 250">
              <controlPr defaultSize="0" autoFill="0" autoPict="0">
                <anchor moveWithCells="1">
                  <from>
                    <xdr:col>8</xdr:col>
                    <xdr:colOff>66675</xdr:colOff>
                    <xdr:row>88</xdr:row>
                    <xdr:rowOff>400050</xdr:rowOff>
                  </from>
                  <to>
                    <xdr:col>10</xdr:col>
                    <xdr:colOff>647700</xdr:colOff>
                    <xdr:row>88</xdr:row>
                    <xdr:rowOff>647700</xdr:rowOff>
                  </to>
                </anchor>
              </controlPr>
            </control>
          </mc:Choice>
        </mc:AlternateContent>
        <mc:AlternateContent xmlns:mc="http://schemas.openxmlformats.org/markup-compatibility/2006">
          <mc:Choice Requires="x14">
            <control shapeId="59647" r:id="rId208" name="Option Button 255">
              <controlPr defaultSize="0" autoFill="0" autoLine="0" autoPict="0">
                <anchor moveWithCells="1">
                  <from>
                    <xdr:col>8</xdr:col>
                    <xdr:colOff>238125</xdr:colOff>
                    <xdr:row>99</xdr:row>
                    <xdr:rowOff>542925</xdr:rowOff>
                  </from>
                  <to>
                    <xdr:col>8</xdr:col>
                    <xdr:colOff>485775</xdr:colOff>
                    <xdr:row>99</xdr:row>
                    <xdr:rowOff>752475</xdr:rowOff>
                  </to>
                </anchor>
              </controlPr>
            </control>
          </mc:Choice>
        </mc:AlternateContent>
        <mc:AlternateContent xmlns:mc="http://schemas.openxmlformats.org/markup-compatibility/2006">
          <mc:Choice Requires="x14">
            <control shapeId="59648" r:id="rId209" name="Option Button 256">
              <controlPr defaultSize="0" autoFill="0" autoLine="0" autoPict="0">
                <anchor moveWithCells="1">
                  <from>
                    <xdr:col>9</xdr:col>
                    <xdr:colOff>238125</xdr:colOff>
                    <xdr:row>99</xdr:row>
                    <xdr:rowOff>542925</xdr:rowOff>
                  </from>
                  <to>
                    <xdr:col>9</xdr:col>
                    <xdr:colOff>485775</xdr:colOff>
                    <xdr:row>99</xdr:row>
                    <xdr:rowOff>752475</xdr:rowOff>
                  </to>
                </anchor>
              </controlPr>
            </control>
          </mc:Choice>
        </mc:AlternateContent>
        <mc:AlternateContent xmlns:mc="http://schemas.openxmlformats.org/markup-compatibility/2006">
          <mc:Choice Requires="x14">
            <control shapeId="59649" r:id="rId210" name="Option Button 257">
              <controlPr defaultSize="0" autoFill="0" autoLine="0" autoPict="0">
                <anchor moveWithCells="1">
                  <from>
                    <xdr:col>10</xdr:col>
                    <xdr:colOff>238125</xdr:colOff>
                    <xdr:row>99</xdr:row>
                    <xdr:rowOff>542925</xdr:rowOff>
                  </from>
                  <to>
                    <xdr:col>10</xdr:col>
                    <xdr:colOff>485775</xdr:colOff>
                    <xdr:row>99</xdr:row>
                    <xdr:rowOff>752475</xdr:rowOff>
                  </to>
                </anchor>
              </controlPr>
            </control>
          </mc:Choice>
        </mc:AlternateContent>
        <mc:AlternateContent xmlns:mc="http://schemas.openxmlformats.org/markup-compatibility/2006">
          <mc:Choice Requires="x14">
            <control shapeId="59650" r:id="rId211" name="Group Box 258">
              <controlPr defaultSize="0" autoFill="0" autoPict="0">
                <anchor moveWithCells="1">
                  <from>
                    <xdr:col>8</xdr:col>
                    <xdr:colOff>66675</xdr:colOff>
                    <xdr:row>99</xdr:row>
                    <xdr:rowOff>523875</xdr:rowOff>
                  </from>
                  <to>
                    <xdr:col>10</xdr:col>
                    <xdr:colOff>647700</xdr:colOff>
                    <xdr:row>99</xdr:row>
                    <xdr:rowOff>771525</xdr:rowOff>
                  </to>
                </anchor>
              </controlPr>
            </control>
          </mc:Choice>
        </mc:AlternateContent>
        <mc:AlternateContent xmlns:mc="http://schemas.openxmlformats.org/markup-compatibility/2006">
          <mc:Choice Requires="x14">
            <control shapeId="59655" r:id="rId212" name="Option Button 263">
              <controlPr defaultSize="0" autoFill="0" autoLine="0" autoPict="0">
                <anchor moveWithCells="1">
                  <from>
                    <xdr:col>8</xdr:col>
                    <xdr:colOff>238125</xdr:colOff>
                    <xdr:row>135</xdr:row>
                    <xdr:rowOff>228600</xdr:rowOff>
                  </from>
                  <to>
                    <xdr:col>8</xdr:col>
                    <xdr:colOff>485775</xdr:colOff>
                    <xdr:row>135</xdr:row>
                    <xdr:rowOff>447675</xdr:rowOff>
                  </to>
                </anchor>
              </controlPr>
            </control>
          </mc:Choice>
        </mc:AlternateContent>
        <mc:AlternateContent xmlns:mc="http://schemas.openxmlformats.org/markup-compatibility/2006">
          <mc:Choice Requires="x14">
            <control shapeId="59656" r:id="rId213" name="Option Button 264">
              <controlPr defaultSize="0" autoFill="0" autoLine="0" autoPict="0">
                <anchor moveWithCells="1">
                  <from>
                    <xdr:col>9</xdr:col>
                    <xdr:colOff>238125</xdr:colOff>
                    <xdr:row>135</xdr:row>
                    <xdr:rowOff>228600</xdr:rowOff>
                  </from>
                  <to>
                    <xdr:col>9</xdr:col>
                    <xdr:colOff>485775</xdr:colOff>
                    <xdr:row>135</xdr:row>
                    <xdr:rowOff>447675</xdr:rowOff>
                  </to>
                </anchor>
              </controlPr>
            </control>
          </mc:Choice>
        </mc:AlternateContent>
        <mc:AlternateContent xmlns:mc="http://schemas.openxmlformats.org/markup-compatibility/2006">
          <mc:Choice Requires="x14">
            <control shapeId="59657" r:id="rId214" name="Option Button 265">
              <controlPr defaultSize="0" autoFill="0" autoLine="0" autoPict="0">
                <anchor moveWithCells="1">
                  <from>
                    <xdr:col>10</xdr:col>
                    <xdr:colOff>238125</xdr:colOff>
                    <xdr:row>135</xdr:row>
                    <xdr:rowOff>228600</xdr:rowOff>
                  </from>
                  <to>
                    <xdr:col>10</xdr:col>
                    <xdr:colOff>485775</xdr:colOff>
                    <xdr:row>135</xdr:row>
                    <xdr:rowOff>447675</xdr:rowOff>
                  </to>
                </anchor>
              </controlPr>
            </control>
          </mc:Choice>
        </mc:AlternateContent>
        <mc:AlternateContent xmlns:mc="http://schemas.openxmlformats.org/markup-compatibility/2006">
          <mc:Choice Requires="x14">
            <control shapeId="59658" r:id="rId215" name="Group Box 266">
              <controlPr defaultSize="0" autoFill="0" autoPict="0">
                <anchor moveWithCells="1">
                  <from>
                    <xdr:col>8</xdr:col>
                    <xdr:colOff>66675</xdr:colOff>
                    <xdr:row>135</xdr:row>
                    <xdr:rowOff>209550</xdr:rowOff>
                  </from>
                  <to>
                    <xdr:col>10</xdr:col>
                    <xdr:colOff>647700</xdr:colOff>
                    <xdr:row>135</xdr:row>
                    <xdr:rowOff>457200</xdr:rowOff>
                  </to>
                </anchor>
              </controlPr>
            </control>
          </mc:Choice>
        </mc:AlternateContent>
        <mc:AlternateContent xmlns:mc="http://schemas.openxmlformats.org/markup-compatibility/2006">
          <mc:Choice Requires="x14">
            <control shapeId="59663" r:id="rId216" name="Option Button 271">
              <controlPr defaultSize="0" autoFill="0" autoLine="0" autoPict="0">
                <anchor moveWithCells="1">
                  <from>
                    <xdr:col>8</xdr:col>
                    <xdr:colOff>238125</xdr:colOff>
                    <xdr:row>153</xdr:row>
                    <xdr:rowOff>200025</xdr:rowOff>
                  </from>
                  <to>
                    <xdr:col>8</xdr:col>
                    <xdr:colOff>485775</xdr:colOff>
                    <xdr:row>153</xdr:row>
                    <xdr:rowOff>419100</xdr:rowOff>
                  </to>
                </anchor>
              </controlPr>
            </control>
          </mc:Choice>
        </mc:AlternateContent>
        <mc:AlternateContent xmlns:mc="http://schemas.openxmlformats.org/markup-compatibility/2006">
          <mc:Choice Requires="x14">
            <control shapeId="59664" r:id="rId217" name="Option Button 272">
              <controlPr defaultSize="0" autoFill="0" autoLine="0" autoPict="0">
                <anchor moveWithCells="1">
                  <from>
                    <xdr:col>9</xdr:col>
                    <xdr:colOff>238125</xdr:colOff>
                    <xdr:row>153</xdr:row>
                    <xdr:rowOff>200025</xdr:rowOff>
                  </from>
                  <to>
                    <xdr:col>9</xdr:col>
                    <xdr:colOff>485775</xdr:colOff>
                    <xdr:row>153</xdr:row>
                    <xdr:rowOff>419100</xdr:rowOff>
                  </to>
                </anchor>
              </controlPr>
            </control>
          </mc:Choice>
        </mc:AlternateContent>
        <mc:AlternateContent xmlns:mc="http://schemas.openxmlformats.org/markup-compatibility/2006">
          <mc:Choice Requires="x14">
            <control shapeId="59665" r:id="rId218" name="Option Button 273">
              <controlPr defaultSize="0" autoFill="0" autoLine="0" autoPict="0">
                <anchor moveWithCells="1">
                  <from>
                    <xdr:col>10</xdr:col>
                    <xdr:colOff>238125</xdr:colOff>
                    <xdr:row>153</xdr:row>
                    <xdr:rowOff>200025</xdr:rowOff>
                  </from>
                  <to>
                    <xdr:col>10</xdr:col>
                    <xdr:colOff>485775</xdr:colOff>
                    <xdr:row>153</xdr:row>
                    <xdr:rowOff>419100</xdr:rowOff>
                  </to>
                </anchor>
              </controlPr>
            </control>
          </mc:Choice>
        </mc:AlternateContent>
        <mc:AlternateContent xmlns:mc="http://schemas.openxmlformats.org/markup-compatibility/2006">
          <mc:Choice Requires="x14">
            <control shapeId="59666" r:id="rId219" name="Group Box 274">
              <controlPr defaultSize="0" autoFill="0" autoPict="0">
                <anchor moveWithCells="1">
                  <from>
                    <xdr:col>8</xdr:col>
                    <xdr:colOff>66675</xdr:colOff>
                    <xdr:row>153</xdr:row>
                    <xdr:rowOff>180975</xdr:rowOff>
                  </from>
                  <to>
                    <xdr:col>10</xdr:col>
                    <xdr:colOff>647700</xdr:colOff>
                    <xdr:row>153</xdr:row>
                    <xdr:rowOff>438150</xdr:rowOff>
                  </to>
                </anchor>
              </controlPr>
            </control>
          </mc:Choice>
        </mc:AlternateContent>
        <mc:AlternateContent xmlns:mc="http://schemas.openxmlformats.org/markup-compatibility/2006">
          <mc:Choice Requires="x14">
            <control shapeId="59675" r:id="rId220" name="Option Button 283">
              <controlPr defaultSize="0" autoFill="0" autoLine="0" autoPict="0">
                <anchor moveWithCells="1">
                  <from>
                    <xdr:col>8</xdr:col>
                    <xdr:colOff>238125</xdr:colOff>
                    <xdr:row>188</xdr:row>
                    <xdr:rowOff>95250</xdr:rowOff>
                  </from>
                  <to>
                    <xdr:col>8</xdr:col>
                    <xdr:colOff>485775</xdr:colOff>
                    <xdr:row>188</xdr:row>
                    <xdr:rowOff>304800</xdr:rowOff>
                  </to>
                </anchor>
              </controlPr>
            </control>
          </mc:Choice>
        </mc:AlternateContent>
        <mc:AlternateContent xmlns:mc="http://schemas.openxmlformats.org/markup-compatibility/2006">
          <mc:Choice Requires="x14">
            <control shapeId="59676" r:id="rId221" name="Option Button 284">
              <controlPr defaultSize="0" autoFill="0" autoLine="0" autoPict="0">
                <anchor moveWithCells="1">
                  <from>
                    <xdr:col>9</xdr:col>
                    <xdr:colOff>238125</xdr:colOff>
                    <xdr:row>188</xdr:row>
                    <xdr:rowOff>95250</xdr:rowOff>
                  </from>
                  <to>
                    <xdr:col>9</xdr:col>
                    <xdr:colOff>485775</xdr:colOff>
                    <xdr:row>188</xdr:row>
                    <xdr:rowOff>304800</xdr:rowOff>
                  </to>
                </anchor>
              </controlPr>
            </control>
          </mc:Choice>
        </mc:AlternateContent>
        <mc:AlternateContent xmlns:mc="http://schemas.openxmlformats.org/markup-compatibility/2006">
          <mc:Choice Requires="x14">
            <control shapeId="59677" r:id="rId222" name="Option Button 285">
              <controlPr defaultSize="0" autoFill="0" autoLine="0" autoPict="0">
                <anchor moveWithCells="1">
                  <from>
                    <xdr:col>10</xdr:col>
                    <xdr:colOff>238125</xdr:colOff>
                    <xdr:row>188</xdr:row>
                    <xdr:rowOff>95250</xdr:rowOff>
                  </from>
                  <to>
                    <xdr:col>10</xdr:col>
                    <xdr:colOff>485775</xdr:colOff>
                    <xdr:row>188</xdr:row>
                    <xdr:rowOff>304800</xdr:rowOff>
                  </to>
                </anchor>
              </controlPr>
            </control>
          </mc:Choice>
        </mc:AlternateContent>
        <mc:AlternateContent xmlns:mc="http://schemas.openxmlformats.org/markup-compatibility/2006">
          <mc:Choice Requires="x14">
            <control shapeId="59678" r:id="rId223" name="Group Box 286">
              <controlPr defaultSize="0" autoFill="0" autoPict="0">
                <anchor moveWithCells="1">
                  <from>
                    <xdr:col>8</xdr:col>
                    <xdr:colOff>66675</xdr:colOff>
                    <xdr:row>188</xdr:row>
                    <xdr:rowOff>76200</xdr:rowOff>
                  </from>
                  <to>
                    <xdr:col>10</xdr:col>
                    <xdr:colOff>647700</xdr:colOff>
                    <xdr:row>188</xdr:row>
                    <xdr:rowOff>323850</xdr:rowOff>
                  </to>
                </anchor>
              </controlPr>
            </control>
          </mc:Choice>
        </mc:AlternateContent>
        <mc:AlternateContent xmlns:mc="http://schemas.openxmlformats.org/markup-compatibility/2006">
          <mc:Choice Requires="x14">
            <control shapeId="59701" r:id="rId224" name="Check Box 309">
              <controlPr defaultSize="0" autoFill="0" autoLine="0" autoPict="0">
                <anchor moveWithCells="1">
                  <from>
                    <xdr:col>12</xdr:col>
                    <xdr:colOff>76200</xdr:colOff>
                    <xdr:row>12</xdr:row>
                    <xdr:rowOff>66675</xdr:rowOff>
                  </from>
                  <to>
                    <xdr:col>12</xdr:col>
                    <xdr:colOff>323850</xdr:colOff>
                    <xdr:row>12</xdr:row>
                    <xdr:rowOff>342900</xdr:rowOff>
                  </to>
                </anchor>
              </controlPr>
            </control>
          </mc:Choice>
        </mc:AlternateContent>
        <mc:AlternateContent xmlns:mc="http://schemas.openxmlformats.org/markup-compatibility/2006">
          <mc:Choice Requires="x14">
            <control shapeId="59702" r:id="rId225" name="Check Box 310">
              <controlPr defaultSize="0" autoFill="0" autoLine="0" autoPict="0">
                <anchor moveWithCells="1">
                  <from>
                    <xdr:col>12</xdr:col>
                    <xdr:colOff>76200</xdr:colOff>
                    <xdr:row>13</xdr:row>
                    <xdr:rowOff>85725</xdr:rowOff>
                  </from>
                  <to>
                    <xdr:col>12</xdr:col>
                    <xdr:colOff>323850</xdr:colOff>
                    <xdr:row>13</xdr:row>
                    <xdr:rowOff>352425</xdr:rowOff>
                  </to>
                </anchor>
              </controlPr>
            </control>
          </mc:Choice>
        </mc:AlternateContent>
        <mc:AlternateContent xmlns:mc="http://schemas.openxmlformats.org/markup-compatibility/2006">
          <mc:Choice Requires="x14">
            <control shapeId="59703" r:id="rId226" name="Check Box 311">
              <controlPr defaultSize="0" autoFill="0" autoLine="0" autoPict="0">
                <anchor moveWithCells="1">
                  <from>
                    <xdr:col>12</xdr:col>
                    <xdr:colOff>76200</xdr:colOff>
                    <xdr:row>14</xdr:row>
                    <xdr:rowOff>85725</xdr:rowOff>
                  </from>
                  <to>
                    <xdr:col>12</xdr:col>
                    <xdr:colOff>323850</xdr:colOff>
                    <xdr:row>14</xdr:row>
                    <xdr:rowOff>352425</xdr:rowOff>
                  </to>
                </anchor>
              </controlPr>
            </control>
          </mc:Choice>
        </mc:AlternateContent>
        <mc:AlternateContent xmlns:mc="http://schemas.openxmlformats.org/markup-compatibility/2006">
          <mc:Choice Requires="x14">
            <control shapeId="59704" r:id="rId227" name="Check Box 312">
              <controlPr defaultSize="0" autoFill="0" autoLine="0" autoPict="0">
                <anchor moveWithCells="1">
                  <from>
                    <xdr:col>12</xdr:col>
                    <xdr:colOff>76200</xdr:colOff>
                    <xdr:row>15</xdr:row>
                    <xdr:rowOff>66675</xdr:rowOff>
                  </from>
                  <to>
                    <xdr:col>12</xdr:col>
                    <xdr:colOff>323850</xdr:colOff>
                    <xdr:row>15</xdr:row>
                    <xdr:rowOff>342900</xdr:rowOff>
                  </to>
                </anchor>
              </controlPr>
            </control>
          </mc:Choice>
        </mc:AlternateContent>
        <mc:AlternateContent xmlns:mc="http://schemas.openxmlformats.org/markup-compatibility/2006">
          <mc:Choice Requires="x14">
            <control shapeId="59705" r:id="rId228" name="Check Box 313">
              <controlPr defaultSize="0" autoFill="0" autoLine="0" autoPict="0">
                <anchor moveWithCells="1">
                  <from>
                    <xdr:col>12</xdr:col>
                    <xdr:colOff>76200</xdr:colOff>
                    <xdr:row>16</xdr:row>
                    <xdr:rowOff>66675</xdr:rowOff>
                  </from>
                  <to>
                    <xdr:col>12</xdr:col>
                    <xdr:colOff>323850</xdr:colOff>
                    <xdr:row>16</xdr:row>
                    <xdr:rowOff>342900</xdr:rowOff>
                  </to>
                </anchor>
              </controlPr>
            </control>
          </mc:Choice>
        </mc:AlternateContent>
        <mc:AlternateContent xmlns:mc="http://schemas.openxmlformats.org/markup-compatibility/2006">
          <mc:Choice Requires="x14">
            <control shapeId="59706" r:id="rId229" name="Check Box 314">
              <controlPr defaultSize="0" autoFill="0" autoLine="0" autoPict="0">
                <anchor moveWithCells="1">
                  <from>
                    <xdr:col>12</xdr:col>
                    <xdr:colOff>76200</xdr:colOff>
                    <xdr:row>44</xdr:row>
                    <xdr:rowOff>47625</xdr:rowOff>
                  </from>
                  <to>
                    <xdr:col>12</xdr:col>
                    <xdr:colOff>323850</xdr:colOff>
                    <xdr:row>44</xdr:row>
                    <xdr:rowOff>314325</xdr:rowOff>
                  </to>
                </anchor>
              </controlPr>
            </control>
          </mc:Choice>
        </mc:AlternateContent>
        <mc:AlternateContent xmlns:mc="http://schemas.openxmlformats.org/markup-compatibility/2006">
          <mc:Choice Requires="x14">
            <control shapeId="59707" r:id="rId230" name="Check Box 315">
              <controlPr defaultSize="0" autoFill="0" autoLine="0" autoPict="0">
                <anchor moveWithCells="1">
                  <from>
                    <xdr:col>12</xdr:col>
                    <xdr:colOff>76200</xdr:colOff>
                    <xdr:row>45</xdr:row>
                    <xdr:rowOff>285750</xdr:rowOff>
                  </from>
                  <to>
                    <xdr:col>12</xdr:col>
                    <xdr:colOff>323850</xdr:colOff>
                    <xdr:row>45</xdr:row>
                    <xdr:rowOff>552450</xdr:rowOff>
                  </to>
                </anchor>
              </controlPr>
            </control>
          </mc:Choice>
        </mc:AlternateContent>
        <mc:AlternateContent xmlns:mc="http://schemas.openxmlformats.org/markup-compatibility/2006">
          <mc:Choice Requires="x14">
            <control shapeId="59708" r:id="rId231" name="Option Button 316">
              <controlPr defaultSize="0" autoFill="0" autoLine="0" autoPict="0">
                <anchor moveWithCells="1">
                  <from>
                    <xdr:col>8</xdr:col>
                    <xdr:colOff>238125</xdr:colOff>
                    <xdr:row>45</xdr:row>
                    <xdr:rowOff>295275</xdr:rowOff>
                  </from>
                  <to>
                    <xdr:col>8</xdr:col>
                    <xdr:colOff>485775</xdr:colOff>
                    <xdr:row>45</xdr:row>
                    <xdr:rowOff>514350</xdr:rowOff>
                  </to>
                </anchor>
              </controlPr>
            </control>
          </mc:Choice>
        </mc:AlternateContent>
        <mc:AlternateContent xmlns:mc="http://schemas.openxmlformats.org/markup-compatibility/2006">
          <mc:Choice Requires="x14">
            <control shapeId="59709" r:id="rId232" name="Option Button 317">
              <controlPr defaultSize="0" autoFill="0" autoLine="0" autoPict="0">
                <anchor moveWithCells="1">
                  <from>
                    <xdr:col>9</xdr:col>
                    <xdr:colOff>238125</xdr:colOff>
                    <xdr:row>45</xdr:row>
                    <xdr:rowOff>295275</xdr:rowOff>
                  </from>
                  <to>
                    <xdr:col>9</xdr:col>
                    <xdr:colOff>485775</xdr:colOff>
                    <xdr:row>45</xdr:row>
                    <xdr:rowOff>514350</xdr:rowOff>
                  </to>
                </anchor>
              </controlPr>
            </control>
          </mc:Choice>
        </mc:AlternateContent>
        <mc:AlternateContent xmlns:mc="http://schemas.openxmlformats.org/markup-compatibility/2006">
          <mc:Choice Requires="x14">
            <control shapeId="59710" r:id="rId233" name="Option Button 318">
              <controlPr defaultSize="0" autoFill="0" autoLine="0" autoPict="0">
                <anchor moveWithCells="1">
                  <from>
                    <xdr:col>10</xdr:col>
                    <xdr:colOff>238125</xdr:colOff>
                    <xdr:row>45</xdr:row>
                    <xdr:rowOff>295275</xdr:rowOff>
                  </from>
                  <to>
                    <xdr:col>10</xdr:col>
                    <xdr:colOff>485775</xdr:colOff>
                    <xdr:row>45</xdr:row>
                    <xdr:rowOff>514350</xdr:rowOff>
                  </to>
                </anchor>
              </controlPr>
            </control>
          </mc:Choice>
        </mc:AlternateContent>
        <mc:AlternateContent xmlns:mc="http://schemas.openxmlformats.org/markup-compatibility/2006">
          <mc:Choice Requires="x14">
            <control shapeId="59711" r:id="rId234" name="Group Box 319">
              <controlPr defaultSize="0" autoFill="0" autoPict="0">
                <anchor moveWithCells="1">
                  <from>
                    <xdr:col>8</xdr:col>
                    <xdr:colOff>66675</xdr:colOff>
                    <xdr:row>45</xdr:row>
                    <xdr:rowOff>276225</xdr:rowOff>
                  </from>
                  <to>
                    <xdr:col>10</xdr:col>
                    <xdr:colOff>647700</xdr:colOff>
                    <xdr:row>45</xdr:row>
                    <xdr:rowOff>533400</xdr:rowOff>
                  </to>
                </anchor>
              </controlPr>
            </control>
          </mc:Choice>
        </mc:AlternateContent>
        <mc:AlternateContent xmlns:mc="http://schemas.openxmlformats.org/markup-compatibility/2006">
          <mc:Choice Requires="x14">
            <control shapeId="59741" r:id="rId235" name="Check Box 349">
              <controlPr defaultSize="0" autoFill="0" autoLine="0" autoPict="0">
                <anchor moveWithCells="1">
                  <from>
                    <xdr:col>12</xdr:col>
                    <xdr:colOff>76200</xdr:colOff>
                    <xdr:row>52</xdr:row>
                    <xdr:rowOff>47625</xdr:rowOff>
                  </from>
                  <to>
                    <xdr:col>12</xdr:col>
                    <xdr:colOff>323850</xdr:colOff>
                    <xdr:row>52</xdr:row>
                    <xdr:rowOff>314325</xdr:rowOff>
                  </to>
                </anchor>
              </controlPr>
            </control>
          </mc:Choice>
        </mc:AlternateContent>
        <mc:AlternateContent xmlns:mc="http://schemas.openxmlformats.org/markup-compatibility/2006">
          <mc:Choice Requires="x14">
            <control shapeId="59742" r:id="rId236" name="Check Box 350">
              <controlPr defaultSize="0" autoFill="0" autoLine="0" autoPict="0">
                <anchor moveWithCells="1">
                  <from>
                    <xdr:col>12</xdr:col>
                    <xdr:colOff>76200</xdr:colOff>
                    <xdr:row>52</xdr:row>
                    <xdr:rowOff>47625</xdr:rowOff>
                  </from>
                  <to>
                    <xdr:col>12</xdr:col>
                    <xdr:colOff>323850</xdr:colOff>
                    <xdr:row>52</xdr:row>
                    <xdr:rowOff>314325</xdr:rowOff>
                  </to>
                </anchor>
              </controlPr>
            </control>
          </mc:Choice>
        </mc:AlternateContent>
        <mc:AlternateContent xmlns:mc="http://schemas.openxmlformats.org/markup-compatibility/2006">
          <mc:Choice Requires="x14">
            <control shapeId="59748" r:id="rId237" name="Check Box 356">
              <controlPr defaultSize="0" autoFill="0" autoLine="0" autoPict="0">
                <anchor moveWithCells="1">
                  <from>
                    <xdr:col>12</xdr:col>
                    <xdr:colOff>76200</xdr:colOff>
                    <xdr:row>50</xdr:row>
                    <xdr:rowOff>171450</xdr:rowOff>
                  </from>
                  <to>
                    <xdr:col>12</xdr:col>
                    <xdr:colOff>323850</xdr:colOff>
                    <xdr:row>50</xdr:row>
                    <xdr:rowOff>438150</xdr:rowOff>
                  </to>
                </anchor>
              </controlPr>
            </control>
          </mc:Choice>
        </mc:AlternateContent>
        <mc:AlternateContent xmlns:mc="http://schemas.openxmlformats.org/markup-compatibility/2006">
          <mc:Choice Requires="x14">
            <control shapeId="59749" r:id="rId238" name="Option Button 357">
              <controlPr defaultSize="0" autoFill="0" autoLine="0" autoPict="0">
                <anchor moveWithCells="1">
                  <from>
                    <xdr:col>8</xdr:col>
                    <xdr:colOff>238125</xdr:colOff>
                    <xdr:row>50</xdr:row>
                    <xdr:rowOff>200025</xdr:rowOff>
                  </from>
                  <to>
                    <xdr:col>8</xdr:col>
                    <xdr:colOff>485775</xdr:colOff>
                    <xdr:row>50</xdr:row>
                    <xdr:rowOff>419100</xdr:rowOff>
                  </to>
                </anchor>
              </controlPr>
            </control>
          </mc:Choice>
        </mc:AlternateContent>
        <mc:AlternateContent xmlns:mc="http://schemas.openxmlformats.org/markup-compatibility/2006">
          <mc:Choice Requires="x14">
            <control shapeId="59750" r:id="rId239" name="Option Button 358">
              <controlPr defaultSize="0" autoFill="0" autoLine="0" autoPict="0">
                <anchor moveWithCells="1">
                  <from>
                    <xdr:col>9</xdr:col>
                    <xdr:colOff>238125</xdr:colOff>
                    <xdr:row>50</xdr:row>
                    <xdr:rowOff>200025</xdr:rowOff>
                  </from>
                  <to>
                    <xdr:col>9</xdr:col>
                    <xdr:colOff>485775</xdr:colOff>
                    <xdr:row>50</xdr:row>
                    <xdr:rowOff>419100</xdr:rowOff>
                  </to>
                </anchor>
              </controlPr>
            </control>
          </mc:Choice>
        </mc:AlternateContent>
        <mc:AlternateContent xmlns:mc="http://schemas.openxmlformats.org/markup-compatibility/2006">
          <mc:Choice Requires="x14">
            <control shapeId="59751" r:id="rId240" name="Option Button 359">
              <controlPr defaultSize="0" autoFill="0" autoLine="0" autoPict="0">
                <anchor moveWithCells="1">
                  <from>
                    <xdr:col>10</xdr:col>
                    <xdr:colOff>238125</xdr:colOff>
                    <xdr:row>50</xdr:row>
                    <xdr:rowOff>200025</xdr:rowOff>
                  </from>
                  <to>
                    <xdr:col>10</xdr:col>
                    <xdr:colOff>485775</xdr:colOff>
                    <xdr:row>50</xdr:row>
                    <xdr:rowOff>419100</xdr:rowOff>
                  </to>
                </anchor>
              </controlPr>
            </control>
          </mc:Choice>
        </mc:AlternateContent>
        <mc:AlternateContent xmlns:mc="http://schemas.openxmlformats.org/markup-compatibility/2006">
          <mc:Choice Requires="x14">
            <control shapeId="59752" r:id="rId241" name="Group Box 360">
              <controlPr defaultSize="0" autoFill="0" autoPict="0">
                <anchor moveWithCells="1">
                  <from>
                    <xdr:col>8</xdr:col>
                    <xdr:colOff>66675</xdr:colOff>
                    <xdr:row>50</xdr:row>
                    <xdr:rowOff>180975</xdr:rowOff>
                  </from>
                  <to>
                    <xdr:col>10</xdr:col>
                    <xdr:colOff>647700</xdr:colOff>
                    <xdr:row>50</xdr:row>
                    <xdr:rowOff>438150</xdr:rowOff>
                  </to>
                </anchor>
              </controlPr>
            </control>
          </mc:Choice>
        </mc:AlternateContent>
        <mc:AlternateContent xmlns:mc="http://schemas.openxmlformats.org/markup-compatibility/2006">
          <mc:Choice Requires="x14">
            <control shapeId="59753" r:id="rId242" name="Check Box 361">
              <controlPr defaultSize="0" autoFill="0" autoLine="0" autoPict="0">
                <anchor moveWithCells="1">
                  <from>
                    <xdr:col>12</xdr:col>
                    <xdr:colOff>76200</xdr:colOff>
                    <xdr:row>52</xdr:row>
                    <xdr:rowOff>47625</xdr:rowOff>
                  </from>
                  <to>
                    <xdr:col>12</xdr:col>
                    <xdr:colOff>323850</xdr:colOff>
                    <xdr:row>52</xdr:row>
                    <xdr:rowOff>314325</xdr:rowOff>
                  </to>
                </anchor>
              </controlPr>
            </control>
          </mc:Choice>
        </mc:AlternateContent>
        <mc:AlternateContent xmlns:mc="http://schemas.openxmlformats.org/markup-compatibility/2006">
          <mc:Choice Requires="x14">
            <control shapeId="59799" r:id="rId243" name="Check Box 407">
              <controlPr defaultSize="0" autoFill="0" autoLine="0" autoPict="0">
                <anchor moveWithCells="1">
                  <from>
                    <xdr:col>12</xdr:col>
                    <xdr:colOff>76200</xdr:colOff>
                    <xdr:row>51</xdr:row>
                    <xdr:rowOff>161925</xdr:rowOff>
                  </from>
                  <to>
                    <xdr:col>12</xdr:col>
                    <xdr:colOff>323850</xdr:colOff>
                    <xdr:row>51</xdr:row>
                    <xdr:rowOff>428625</xdr:rowOff>
                  </to>
                </anchor>
              </controlPr>
            </control>
          </mc:Choice>
        </mc:AlternateContent>
        <mc:AlternateContent xmlns:mc="http://schemas.openxmlformats.org/markup-compatibility/2006">
          <mc:Choice Requires="x14">
            <control shapeId="59800" r:id="rId244" name="Option Button 408">
              <controlPr defaultSize="0" autoFill="0" autoLine="0" autoPict="0">
                <anchor moveWithCells="1">
                  <from>
                    <xdr:col>8</xdr:col>
                    <xdr:colOff>238125</xdr:colOff>
                    <xdr:row>51</xdr:row>
                    <xdr:rowOff>228600</xdr:rowOff>
                  </from>
                  <to>
                    <xdr:col>8</xdr:col>
                    <xdr:colOff>485775</xdr:colOff>
                    <xdr:row>51</xdr:row>
                    <xdr:rowOff>447675</xdr:rowOff>
                  </to>
                </anchor>
              </controlPr>
            </control>
          </mc:Choice>
        </mc:AlternateContent>
        <mc:AlternateContent xmlns:mc="http://schemas.openxmlformats.org/markup-compatibility/2006">
          <mc:Choice Requires="x14">
            <control shapeId="59801" r:id="rId245" name="Option Button 409">
              <controlPr defaultSize="0" autoFill="0" autoLine="0" autoPict="0">
                <anchor moveWithCells="1">
                  <from>
                    <xdr:col>9</xdr:col>
                    <xdr:colOff>238125</xdr:colOff>
                    <xdr:row>51</xdr:row>
                    <xdr:rowOff>228600</xdr:rowOff>
                  </from>
                  <to>
                    <xdr:col>9</xdr:col>
                    <xdr:colOff>485775</xdr:colOff>
                    <xdr:row>51</xdr:row>
                    <xdr:rowOff>447675</xdr:rowOff>
                  </to>
                </anchor>
              </controlPr>
            </control>
          </mc:Choice>
        </mc:AlternateContent>
        <mc:AlternateContent xmlns:mc="http://schemas.openxmlformats.org/markup-compatibility/2006">
          <mc:Choice Requires="x14">
            <control shapeId="59802" r:id="rId246" name="Option Button 410">
              <controlPr defaultSize="0" autoFill="0" autoLine="0" autoPict="0">
                <anchor moveWithCells="1">
                  <from>
                    <xdr:col>10</xdr:col>
                    <xdr:colOff>238125</xdr:colOff>
                    <xdr:row>51</xdr:row>
                    <xdr:rowOff>228600</xdr:rowOff>
                  </from>
                  <to>
                    <xdr:col>10</xdr:col>
                    <xdr:colOff>485775</xdr:colOff>
                    <xdr:row>51</xdr:row>
                    <xdr:rowOff>447675</xdr:rowOff>
                  </to>
                </anchor>
              </controlPr>
            </control>
          </mc:Choice>
        </mc:AlternateContent>
        <mc:AlternateContent xmlns:mc="http://schemas.openxmlformats.org/markup-compatibility/2006">
          <mc:Choice Requires="x14">
            <control shapeId="59803" r:id="rId247" name="Group Box 411">
              <controlPr defaultSize="0" autoFill="0" autoPict="0">
                <anchor moveWithCells="1">
                  <from>
                    <xdr:col>8</xdr:col>
                    <xdr:colOff>66675</xdr:colOff>
                    <xdr:row>51</xdr:row>
                    <xdr:rowOff>209550</xdr:rowOff>
                  </from>
                  <to>
                    <xdr:col>10</xdr:col>
                    <xdr:colOff>647700</xdr:colOff>
                    <xdr:row>51</xdr:row>
                    <xdr:rowOff>457200</xdr:rowOff>
                  </to>
                </anchor>
              </controlPr>
            </control>
          </mc:Choice>
        </mc:AlternateContent>
        <mc:AlternateContent xmlns:mc="http://schemas.openxmlformats.org/markup-compatibility/2006">
          <mc:Choice Requires="x14">
            <control shapeId="59809" r:id="rId248" name="Check Box 417">
              <controlPr defaultSize="0" autoFill="0" autoLine="0" autoPict="0">
                <anchor moveWithCells="1">
                  <from>
                    <xdr:col>12</xdr:col>
                    <xdr:colOff>76200</xdr:colOff>
                    <xdr:row>65</xdr:row>
                    <xdr:rowOff>552450</xdr:rowOff>
                  </from>
                  <to>
                    <xdr:col>12</xdr:col>
                    <xdr:colOff>323850</xdr:colOff>
                    <xdr:row>65</xdr:row>
                    <xdr:rowOff>819150</xdr:rowOff>
                  </to>
                </anchor>
              </controlPr>
            </control>
          </mc:Choice>
        </mc:AlternateContent>
        <mc:AlternateContent xmlns:mc="http://schemas.openxmlformats.org/markup-compatibility/2006">
          <mc:Choice Requires="x14">
            <control shapeId="59810" r:id="rId249" name="Option Button 418">
              <controlPr defaultSize="0" autoFill="0" autoLine="0" autoPict="0">
                <anchor moveWithCells="1">
                  <from>
                    <xdr:col>8</xdr:col>
                    <xdr:colOff>238125</xdr:colOff>
                    <xdr:row>65</xdr:row>
                    <xdr:rowOff>590550</xdr:rowOff>
                  </from>
                  <to>
                    <xdr:col>8</xdr:col>
                    <xdr:colOff>485775</xdr:colOff>
                    <xdr:row>65</xdr:row>
                    <xdr:rowOff>809625</xdr:rowOff>
                  </to>
                </anchor>
              </controlPr>
            </control>
          </mc:Choice>
        </mc:AlternateContent>
        <mc:AlternateContent xmlns:mc="http://schemas.openxmlformats.org/markup-compatibility/2006">
          <mc:Choice Requires="x14">
            <control shapeId="59811" r:id="rId250" name="Option Button 419">
              <controlPr defaultSize="0" autoFill="0" autoLine="0" autoPict="0">
                <anchor moveWithCells="1">
                  <from>
                    <xdr:col>9</xdr:col>
                    <xdr:colOff>238125</xdr:colOff>
                    <xdr:row>65</xdr:row>
                    <xdr:rowOff>590550</xdr:rowOff>
                  </from>
                  <to>
                    <xdr:col>9</xdr:col>
                    <xdr:colOff>485775</xdr:colOff>
                    <xdr:row>65</xdr:row>
                    <xdr:rowOff>809625</xdr:rowOff>
                  </to>
                </anchor>
              </controlPr>
            </control>
          </mc:Choice>
        </mc:AlternateContent>
        <mc:AlternateContent xmlns:mc="http://schemas.openxmlformats.org/markup-compatibility/2006">
          <mc:Choice Requires="x14">
            <control shapeId="59812" r:id="rId251" name="Option Button 420">
              <controlPr defaultSize="0" autoFill="0" autoLine="0" autoPict="0">
                <anchor moveWithCells="1">
                  <from>
                    <xdr:col>10</xdr:col>
                    <xdr:colOff>238125</xdr:colOff>
                    <xdr:row>65</xdr:row>
                    <xdr:rowOff>590550</xdr:rowOff>
                  </from>
                  <to>
                    <xdr:col>10</xdr:col>
                    <xdr:colOff>485775</xdr:colOff>
                    <xdr:row>65</xdr:row>
                    <xdr:rowOff>809625</xdr:rowOff>
                  </to>
                </anchor>
              </controlPr>
            </control>
          </mc:Choice>
        </mc:AlternateContent>
        <mc:AlternateContent xmlns:mc="http://schemas.openxmlformats.org/markup-compatibility/2006">
          <mc:Choice Requires="x14">
            <control shapeId="59813" r:id="rId252" name="Group Box 421">
              <controlPr defaultSize="0" autoFill="0" autoPict="0">
                <anchor moveWithCells="1">
                  <from>
                    <xdr:col>8</xdr:col>
                    <xdr:colOff>66675</xdr:colOff>
                    <xdr:row>65</xdr:row>
                    <xdr:rowOff>581025</xdr:rowOff>
                  </from>
                  <to>
                    <xdr:col>10</xdr:col>
                    <xdr:colOff>647700</xdr:colOff>
                    <xdr:row>65</xdr:row>
                    <xdr:rowOff>828675</xdr:rowOff>
                  </to>
                </anchor>
              </controlPr>
            </control>
          </mc:Choice>
        </mc:AlternateContent>
        <mc:AlternateContent xmlns:mc="http://schemas.openxmlformats.org/markup-compatibility/2006">
          <mc:Choice Requires="x14">
            <control shapeId="59814" r:id="rId253" name="Check Box 422">
              <controlPr defaultSize="0" autoFill="0" autoLine="0" autoPict="0">
                <anchor moveWithCells="1">
                  <from>
                    <xdr:col>12</xdr:col>
                    <xdr:colOff>76200</xdr:colOff>
                    <xdr:row>81</xdr:row>
                    <xdr:rowOff>57150</xdr:rowOff>
                  </from>
                  <to>
                    <xdr:col>12</xdr:col>
                    <xdr:colOff>323850</xdr:colOff>
                    <xdr:row>81</xdr:row>
                    <xdr:rowOff>323850</xdr:rowOff>
                  </to>
                </anchor>
              </controlPr>
            </control>
          </mc:Choice>
        </mc:AlternateContent>
        <mc:AlternateContent xmlns:mc="http://schemas.openxmlformats.org/markup-compatibility/2006">
          <mc:Choice Requires="x14">
            <control shapeId="59815" r:id="rId254" name="Check Box 423">
              <controlPr defaultSize="0" autoFill="0" autoLine="0" autoPict="0">
                <anchor moveWithCells="1">
                  <from>
                    <xdr:col>12</xdr:col>
                    <xdr:colOff>76200</xdr:colOff>
                    <xdr:row>82</xdr:row>
                    <xdr:rowOff>47625</xdr:rowOff>
                  </from>
                  <to>
                    <xdr:col>12</xdr:col>
                    <xdr:colOff>323850</xdr:colOff>
                    <xdr:row>82</xdr:row>
                    <xdr:rowOff>314325</xdr:rowOff>
                  </to>
                </anchor>
              </controlPr>
            </control>
          </mc:Choice>
        </mc:AlternateContent>
        <mc:AlternateContent xmlns:mc="http://schemas.openxmlformats.org/markup-compatibility/2006">
          <mc:Choice Requires="x14">
            <control shapeId="59816" r:id="rId255" name="Check Box 424">
              <controlPr defaultSize="0" autoFill="0" autoLine="0" autoPict="0">
                <anchor moveWithCells="1">
                  <from>
                    <xdr:col>12</xdr:col>
                    <xdr:colOff>76200</xdr:colOff>
                    <xdr:row>83</xdr:row>
                    <xdr:rowOff>38100</xdr:rowOff>
                  </from>
                  <to>
                    <xdr:col>12</xdr:col>
                    <xdr:colOff>323850</xdr:colOff>
                    <xdr:row>83</xdr:row>
                    <xdr:rowOff>304800</xdr:rowOff>
                  </to>
                </anchor>
              </controlPr>
            </control>
          </mc:Choice>
        </mc:AlternateContent>
        <mc:AlternateContent xmlns:mc="http://schemas.openxmlformats.org/markup-compatibility/2006">
          <mc:Choice Requires="x14">
            <control shapeId="59817" r:id="rId256" name="Check Box 425">
              <controlPr defaultSize="0" autoFill="0" autoLine="0" autoPict="0">
                <anchor moveWithCells="1">
                  <from>
                    <xdr:col>12</xdr:col>
                    <xdr:colOff>76200</xdr:colOff>
                    <xdr:row>91</xdr:row>
                    <xdr:rowOff>38100</xdr:rowOff>
                  </from>
                  <to>
                    <xdr:col>12</xdr:col>
                    <xdr:colOff>323850</xdr:colOff>
                    <xdr:row>91</xdr:row>
                    <xdr:rowOff>304800</xdr:rowOff>
                  </to>
                </anchor>
              </controlPr>
            </control>
          </mc:Choice>
        </mc:AlternateContent>
        <mc:AlternateContent xmlns:mc="http://schemas.openxmlformats.org/markup-compatibility/2006">
          <mc:Choice Requires="x14">
            <control shapeId="59829" r:id="rId257" name="Check Box 437">
              <controlPr defaultSize="0" autoFill="0" autoLine="0" autoPict="0">
                <anchor moveWithCells="1">
                  <from>
                    <xdr:col>12</xdr:col>
                    <xdr:colOff>76200</xdr:colOff>
                    <xdr:row>131</xdr:row>
                    <xdr:rowOff>85725</xdr:rowOff>
                  </from>
                  <to>
                    <xdr:col>12</xdr:col>
                    <xdr:colOff>323850</xdr:colOff>
                    <xdr:row>131</xdr:row>
                    <xdr:rowOff>352425</xdr:rowOff>
                  </to>
                </anchor>
              </controlPr>
            </control>
          </mc:Choice>
        </mc:AlternateContent>
        <mc:AlternateContent xmlns:mc="http://schemas.openxmlformats.org/markup-compatibility/2006">
          <mc:Choice Requires="x14">
            <control shapeId="59851" r:id="rId258" name="Check Box 459">
              <controlPr defaultSize="0" autoFill="0" autoLine="0" autoPict="0">
                <anchor moveWithCells="1">
                  <from>
                    <xdr:col>12</xdr:col>
                    <xdr:colOff>76200</xdr:colOff>
                    <xdr:row>145</xdr:row>
                    <xdr:rowOff>38100</xdr:rowOff>
                  </from>
                  <to>
                    <xdr:col>12</xdr:col>
                    <xdr:colOff>323850</xdr:colOff>
                    <xdr:row>145</xdr:row>
                    <xdr:rowOff>304800</xdr:rowOff>
                  </to>
                </anchor>
              </controlPr>
            </control>
          </mc:Choice>
        </mc:AlternateContent>
        <mc:AlternateContent xmlns:mc="http://schemas.openxmlformats.org/markup-compatibility/2006">
          <mc:Choice Requires="x14">
            <control shapeId="59852" r:id="rId259" name="Check Box 460">
              <controlPr defaultSize="0" autoFill="0" autoLine="0" autoPict="0">
                <anchor moveWithCells="1">
                  <from>
                    <xdr:col>12</xdr:col>
                    <xdr:colOff>76200</xdr:colOff>
                    <xdr:row>146</xdr:row>
                    <xdr:rowOff>57150</xdr:rowOff>
                  </from>
                  <to>
                    <xdr:col>12</xdr:col>
                    <xdr:colOff>323850</xdr:colOff>
                    <xdr:row>146</xdr:row>
                    <xdr:rowOff>323850</xdr:rowOff>
                  </to>
                </anchor>
              </controlPr>
            </control>
          </mc:Choice>
        </mc:AlternateContent>
        <mc:AlternateContent xmlns:mc="http://schemas.openxmlformats.org/markup-compatibility/2006">
          <mc:Choice Requires="x14">
            <control shapeId="59882" r:id="rId260" name="Check Box 490">
              <controlPr defaultSize="0" autoFill="0" autoLine="0" autoPict="0">
                <anchor moveWithCells="1">
                  <from>
                    <xdr:col>12</xdr:col>
                    <xdr:colOff>76200</xdr:colOff>
                    <xdr:row>90</xdr:row>
                    <xdr:rowOff>390525</xdr:rowOff>
                  </from>
                  <to>
                    <xdr:col>12</xdr:col>
                    <xdr:colOff>323850</xdr:colOff>
                    <xdr:row>90</xdr:row>
                    <xdr:rowOff>657225</xdr:rowOff>
                  </to>
                </anchor>
              </controlPr>
            </control>
          </mc:Choice>
        </mc:AlternateContent>
        <mc:AlternateContent xmlns:mc="http://schemas.openxmlformats.org/markup-compatibility/2006">
          <mc:Choice Requires="x14">
            <control shapeId="59897" r:id="rId261" name="Check Box 505">
              <controlPr defaultSize="0" autoFill="0" autoLine="0" autoPict="0">
                <anchor moveWithCells="1">
                  <from>
                    <xdr:col>12</xdr:col>
                    <xdr:colOff>76200</xdr:colOff>
                    <xdr:row>171</xdr:row>
                    <xdr:rowOff>800100</xdr:rowOff>
                  </from>
                  <to>
                    <xdr:col>12</xdr:col>
                    <xdr:colOff>323850</xdr:colOff>
                    <xdr:row>171</xdr:row>
                    <xdr:rowOff>1066800</xdr:rowOff>
                  </to>
                </anchor>
              </controlPr>
            </control>
          </mc:Choice>
        </mc:AlternateContent>
        <mc:AlternateContent xmlns:mc="http://schemas.openxmlformats.org/markup-compatibility/2006">
          <mc:Choice Requires="x14">
            <control shapeId="59932" r:id="rId262" name="Check Box 540">
              <controlPr defaultSize="0" autoFill="0" autoLine="0" autoPict="0">
                <anchor moveWithCells="1">
                  <from>
                    <xdr:col>12</xdr:col>
                    <xdr:colOff>76200</xdr:colOff>
                    <xdr:row>107</xdr:row>
                    <xdr:rowOff>428625</xdr:rowOff>
                  </from>
                  <to>
                    <xdr:col>12</xdr:col>
                    <xdr:colOff>323850</xdr:colOff>
                    <xdr:row>107</xdr:row>
                    <xdr:rowOff>695325</xdr:rowOff>
                  </to>
                </anchor>
              </controlPr>
            </control>
          </mc:Choice>
        </mc:AlternateContent>
        <mc:AlternateContent xmlns:mc="http://schemas.openxmlformats.org/markup-compatibility/2006">
          <mc:Choice Requires="x14">
            <control shapeId="59947" r:id="rId263" name="Check Box 555">
              <controlPr defaultSize="0" autoFill="0" autoLine="0" autoPict="0">
                <anchor moveWithCells="1">
                  <from>
                    <xdr:col>12</xdr:col>
                    <xdr:colOff>76200</xdr:colOff>
                    <xdr:row>63</xdr:row>
                    <xdr:rowOff>57150</xdr:rowOff>
                  </from>
                  <to>
                    <xdr:col>12</xdr:col>
                    <xdr:colOff>323850</xdr:colOff>
                    <xdr:row>63</xdr:row>
                    <xdr:rowOff>323850</xdr:rowOff>
                  </to>
                </anchor>
              </controlPr>
            </control>
          </mc:Choice>
        </mc:AlternateContent>
        <mc:AlternateContent xmlns:mc="http://schemas.openxmlformats.org/markup-compatibility/2006">
          <mc:Choice Requires="x14">
            <control shapeId="59952" r:id="rId264" name="Check Box 560">
              <controlPr defaultSize="0" autoFill="0" autoLine="0" autoPict="0">
                <anchor moveWithCells="1">
                  <from>
                    <xdr:col>12</xdr:col>
                    <xdr:colOff>76200</xdr:colOff>
                    <xdr:row>168</xdr:row>
                    <xdr:rowOff>457200</xdr:rowOff>
                  </from>
                  <to>
                    <xdr:col>12</xdr:col>
                    <xdr:colOff>323850</xdr:colOff>
                    <xdr:row>168</xdr:row>
                    <xdr:rowOff>723900</xdr:rowOff>
                  </to>
                </anchor>
              </controlPr>
            </control>
          </mc:Choice>
        </mc:AlternateContent>
        <mc:AlternateContent xmlns:mc="http://schemas.openxmlformats.org/markup-compatibility/2006">
          <mc:Choice Requires="x14">
            <control shapeId="59961" r:id="rId265" name="Check Box 569">
              <controlPr defaultSize="0" autoFill="0" autoLine="0" autoPict="0">
                <anchor moveWithCells="1">
                  <from>
                    <xdr:col>12</xdr:col>
                    <xdr:colOff>76200</xdr:colOff>
                    <xdr:row>190</xdr:row>
                    <xdr:rowOff>85725</xdr:rowOff>
                  </from>
                  <to>
                    <xdr:col>12</xdr:col>
                    <xdr:colOff>323850</xdr:colOff>
                    <xdr:row>190</xdr:row>
                    <xdr:rowOff>352425</xdr:rowOff>
                  </to>
                </anchor>
              </controlPr>
            </control>
          </mc:Choice>
        </mc:AlternateContent>
        <mc:AlternateContent xmlns:mc="http://schemas.openxmlformats.org/markup-compatibility/2006">
          <mc:Choice Requires="x14">
            <control shapeId="59971" r:id="rId266" name="Check Box 579">
              <controlPr defaultSize="0" autoFill="0" autoLine="0" autoPict="0">
                <anchor moveWithCells="1">
                  <from>
                    <xdr:col>12</xdr:col>
                    <xdr:colOff>76200</xdr:colOff>
                    <xdr:row>194</xdr:row>
                    <xdr:rowOff>295275</xdr:rowOff>
                  </from>
                  <to>
                    <xdr:col>12</xdr:col>
                    <xdr:colOff>323850</xdr:colOff>
                    <xdr:row>194</xdr:row>
                    <xdr:rowOff>561975</xdr:rowOff>
                  </to>
                </anchor>
              </controlPr>
            </control>
          </mc:Choice>
        </mc:AlternateContent>
        <mc:AlternateContent xmlns:mc="http://schemas.openxmlformats.org/markup-compatibility/2006">
          <mc:Choice Requires="x14">
            <control shapeId="59976" r:id="rId267" name="Check Box 584">
              <controlPr defaultSize="0" autoFill="0" autoLine="0" autoPict="0">
                <anchor moveWithCells="1">
                  <from>
                    <xdr:col>12</xdr:col>
                    <xdr:colOff>76200</xdr:colOff>
                    <xdr:row>195</xdr:row>
                    <xdr:rowOff>57150</xdr:rowOff>
                  </from>
                  <to>
                    <xdr:col>12</xdr:col>
                    <xdr:colOff>323850</xdr:colOff>
                    <xdr:row>195</xdr:row>
                    <xdr:rowOff>323850</xdr:rowOff>
                  </to>
                </anchor>
              </controlPr>
            </control>
          </mc:Choice>
        </mc:AlternateContent>
        <mc:AlternateContent xmlns:mc="http://schemas.openxmlformats.org/markup-compatibility/2006">
          <mc:Choice Requires="x14">
            <control shapeId="59977" r:id="rId268" name="Option Button 585">
              <controlPr defaultSize="0" autoFill="0" autoLine="0" autoPict="0">
                <anchor moveWithCells="1">
                  <from>
                    <xdr:col>8</xdr:col>
                    <xdr:colOff>238125</xdr:colOff>
                    <xdr:row>195</xdr:row>
                    <xdr:rowOff>95250</xdr:rowOff>
                  </from>
                  <to>
                    <xdr:col>8</xdr:col>
                    <xdr:colOff>485775</xdr:colOff>
                    <xdr:row>195</xdr:row>
                    <xdr:rowOff>304800</xdr:rowOff>
                  </to>
                </anchor>
              </controlPr>
            </control>
          </mc:Choice>
        </mc:AlternateContent>
        <mc:AlternateContent xmlns:mc="http://schemas.openxmlformats.org/markup-compatibility/2006">
          <mc:Choice Requires="x14">
            <control shapeId="59978" r:id="rId269" name="Option Button 586">
              <controlPr defaultSize="0" autoFill="0" autoLine="0" autoPict="0">
                <anchor moveWithCells="1">
                  <from>
                    <xdr:col>9</xdr:col>
                    <xdr:colOff>238125</xdr:colOff>
                    <xdr:row>195</xdr:row>
                    <xdr:rowOff>95250</xdr:rowOff>
                  </from>
                  <to>
                    <xdr:col>9</xdr:col>
                    <xdr:colOff>485775</xdr:colOff>
                    <xdr:row>195</xdr:row>
                    <xdr:rowOff>304800</xdr:rowOff>
                  </to>
                </anchor>
              </controlPr>
            </control>
          </mc:Choice>
        </mc:AlternateContent>
        <mc:AlternateContent xmlns:mc="http://schemas.openxmlformats.org/markup-compatibility/2006">
          <mc:Choice Requires="x14">
            <control shapeId="59979" r:id="rId270" name="Option Button 587">
              <controlPr defaultSize="0" autoFill="0" autoLine="0" autoPict="0">
                <anchor moveWithCells="1">
                  <from>
                    <xdr:col>10</xdr:col>
                    <xdr:colOff>238125</xdr:colOff>
                    <xdr:row>195</xdr:row>
                    <xdr:rowOff>95250</xdr:rowOff>
                  </from>
                  <to>
                    <xdr:col>10</xdr:col>
                    <xdr:colOff>485775</xdr:colOff>
                    <xdr:row>195</xdr:row>
                    <xdr:rowOff>304800</xdr:rowOff>
                  </to>
                </anchor>
              </controlPr>
            </control>
          </mc:Choice>
        </mc:AlternateContent>
        <mc:AlternateContent xmlns:mc="http://schemas.openxmlformats.org/markup-compatibility/2006">
          <mc:Choice Requires="x14">
            <control shapeId="59980" r:id="rId271" name="Group Box 588">
              <controlPr defaultSize="0" autoFill="0" autoPict="0">
                <anchor moveWithCells="1">
                  <from>
                    <xdr:col>8</xdr:col>
                    <xdr:colOff>66675</xdr:colOff>
                    <xdr:row>195</xdr:row>
                    <xdr:rowOff>76200</xdr:rowOff>
                  </from>
                  <to>
                    <xdr:col>10</xdr:col>
                    <xdr:colOff>647700</xdr:colOff>
                    <xdr:row>195</xdr:row>
                    <xdr:rowOff>323850</xdr:rowOff>
                  </to>
                </anchor>
              </controlPr>
            </control>
          </mc:Choice>
        </mc:AlternateContent>
        <mc:AlternateContent xmlns:mc="http://schemas.openxmlformats.org/markup-compatibility/2006">
          <mc:Choice Requires="x14">
            <control shapeId="59981" r:id="rId272" name="Check Box 589">
              <controlPr defaultSize="0" autoFill="0" autoLine="0" autoPict="0">
                <anchor moveWithCells="1">
                  <from>
                    <xdr:col>12</xdr:col>
                    <xdr:colOff>76200</xdr:colOff>
                    <xdr:row>196</xdr:row>
                    <xdr:rowOff>228600</xdr:rowOff>
                  </from>
                  <to>
                    <xdr:col>12</xdr:col>
                    <xdr:colOff>323850</xdr:colOff>
                    <xdr:row>196</xdr:row>
                    <xdr:rowOff>495300</xdr:rowOff>
                  </to>
                </anchor>
              </controlPr>
            </control>
          </mc:Choice>
        </mc:AlternateContent>
        <mc:AlternateContent xmlns:mc="http://schemas.openxmlformats.org/markup-compatibility/2006">
          <mc:Choice Requires="x14">
            <control shapeId="59986" r:id="rId273" name="Option Button 594">
              <controlPr defaultSize="0" autoFill="0" autoLine="0" autoPict="0">
                <anchor moveWithCells="1">
                  <from>
                    <xdr:col>8</xdr:col>
                    <xdr:colOff>238125</xdr:colOff>
                    <xdr:row>196</xdr:row>
                    <xdr:rowOff>228600</xdr:rowOff>
                  </from>
                  <to>
                    <xdr:col>8</xdr:col>
                    <xdr:colOff>485775</xdr:colOff>
                    <xdr:row>196</xdr:row>
                    <xdr:rowOff>438150</xdr:rowOff>
                  </to>
                </anchor>
              </controlPr>
            </control>
          </mc:Choice>
        </mc:AlternateContent>
        <mc:AlternateContent xmlns:mc="http://schemas.openxmlformats.org/markup-compatibility/2006">
          <mc:Choice Requires="x14">
            <control shapeId="59987" r:id="rId274" name="Option Button 595">
              <controlPr defaultSize="0" autoFill="0" autoLine="0" autoPict="0">
                <anchor moveWithCells="1">
                  <from>
                    <xdr:col>9</xdr:col>
                    <xdr:colOff>238125</xdr:colOff>
                    <xdr:row>196</xdr:row>
                    <xdr:rowOff>228600</xdr:rowOff>
                  </from>
                  <to>
                    <xdr:col>9</xdr:col>
                    <xdr:colOff>485775</xdr:colOff>
                    <xdr:row>196</xdr:row>
                    <xdr:rowOff>438150</xdr:rowOff>
                  </to>
                </anchor>
              </controlPr>
            </control>
          </mc:Choice>
        </mc:AlternateContent>
        <mc:AlternateContent xmlns:mc="http://schemas.openxmlformats.org/markup-compatibility/2006">
          <mc:Choice Requires="x14">
            <control shapeId="59988" r:id="rId275" name="Option Button 596">
              <controlPr defaultSize="0" autoFill="0" autoLine="0" autoPict="0">
                <anchor moveWithCells="1">
                  <from>
                    <xdr:col>10</xdr:col>
                    <xdr:colOff>238125</xdr:colOff>
                    <xdr:row>196</xdr:row>
                    <xdr:rowOff>228600</xdr:rowOff>
                  </from>
                  <to>
                    <xdr:col>10</xdr:col>
                    <xdr:colOff>485775</xdr:colOff>
                    <xdr:row>196</xdr:row>
                    <xdr:rowOff>438150</xdr:rowOff>
                  </to>
                </anchor>
              </controlPr>
            </control>
          </mc:Choice>
        </mc:AlternateContent>
        <mc:AlternateContent xmlns:mc="http://schemas.openxmlformats.org/markup-compatibility/2006">
          <mc:Choice Requires="x14">
            <control shapeId="59989" r:id="rId276" name="Group Box 597">
              <controlPr defaultSize="0" autoFill="0" autoPict="0">
                <anchor moveWithCells="1">
                  <from>
                    <xdr:col>8</xdr:col>
                    <xdr:colOff>66675</xdr:colOff>
                    <xdr:row>196</xdr:row>
                    <xdr:rowOff>209550</xdr:rowOff>
                  </from>
                  <to>
                    <xdr:col>10</xdr:col>
                    <xdr:colOff>647700</xdr:colOff>
                    <xdr:row>196</xdr:row>
                    <xdr:rowOff>457200</xdr:rowOff>
                  </to>
                </anchor>
              </controlPr>
            </control>
          </mc:Choice>
        </mc:AlternateContent>
        <mc:AlternateContent xmlns:mc="http://schemas.openxmlformats.org/markup-compatibility/2006">
          <mc:Choice Requires="x14">
            <control shapeId="59990" r:id="rId277" name="Option Button 598">
              <controlPr defaultSize="0" autoFill="0" autoLine="0" autoPict="0">
                <anchor moveWithCells="1">
                  <from>
                    <xdr:col>8</xdr:col>
                    <xdr:colOff>238125</xdr:colOff>
                    <xdr:row>194</xdr:row>
                    <xdr:rowOff>304800</xdr:rowOff>
                  </from>
                  <to>
                    <xdr:col>8</xdr:col>
                    <xdr:colOff>485775</xdr:colOff>
                    <xdr:row>194</xdr:row>
                    <xdr:rowOff>514350</xdr:rowOff>
                  </to>
                </anchor>
              </controlPr>
            </control>
          </mc:Choice>
        </mc:AlternateContent>
        <mc:AlternateContent xmlns:mc="http://schemas.openxmlformats.org/markup-compatibility/2006">
          <mc:Choice Requires="x14">
            <control shapeId="59991" r:id="rId278" name="Option Button 599">
              <controlPr defaultSize="0" autoFill="0" autoLine="0" autoPict="0">
                <anchor moveWithCells="1">
                  <from>
                    <xdr:col>9</xdr:col>
                    <xdr:colOff>238125</xdr:colOff>
                    <xdr:row>194</xdr:row>
                    <xdr:rowOff>304800</xdr:rowOff>
                  </from>
                  <to>
                    <xdr:col>9</xdr:col>
                    <xdr:colOff>485775</xdr:colOff>
                    <xdr:row>194</xdr:row>
                    <xdr:rowOff>514350</xdr:rowOff>
                  </to>
                </anchor>
              </controlPr>
            </control>
          </mc:Choice>
        </mc:AlternateContent>
        <mc:AlternateContent xmlns:mc="http://schemas.openxmlformats.org/markup-compatibility/2006">
          <mc:Choice Requires="x14">
            <control shapeId="59992" r:id="rId279" name="Option Button 600">
              <controlPr defaultSize="0" autoFill="0" autoLine="0" autoPict="0">
                <anchor moveWithCells="1">
                  <from>
                    <xdr:col>10</xdr:col>
                    <xdr:colOff>238125</xdr:colOff>
                    <xdr:row>194</xdr:row>
                    <xdr:rowOff>304800</xdr:rowOff>
                  </from>
                  <to>
                    <xdr:col>10</xdr:col>
                    <xdr:colOff>485775</xdr:colOff>
                    <xdr:row>194</xdr:row>
                    <xdr:rowOff>514350</xdr:rowOff>
                  </to>
                </anchor>
              </controlPr>
            </control>
          </mc:Choice>
        </mc:AlternateContent>
        <mc:AlternateContent xmlns:mc="http://schemas.openxmlformats.org/markup-compatibility/2006">
          <mc:Choice Requires="x14">
            <control shapeId="59993" r:id="rId280" name="Group Box 601">
              <controlPr defaultSize="0" autoFill="0" autoPict="0">
                <anchor moveWithCells="1">
                  <from>
                    <xdr:col>8</xdr:col>
                    <xdr:colOff>66675</xdr:colOff>
                    <xdr:row>194</xdr:row>
                    <xdr:rowOff>285750</xdr:rowOff>
                  </from>
                  <to>
                    <xdr:col>10</xdr:col>
                    <xdr:colOff>647700</xdr:colOff>
                    <xdr:row>194</xdr:row>
                    <xdr:rowOff>533400</xdr:rowOff>
                  </to>
                </anchor>
              </controlPr>
            </control>
          </mc:Choice>
        </mc:AlternateContent>
        <mc:AlternateContent xmlns:mc="http://schemas.openxmlformats.org/markup-compatibility/2006">
          <mc:Choice Requires="x14">
            <control shapeId="59997" r:id="rId281" name="Group Box 605">
              <controlPr defaultSize="0" autoFill="0" autoPict="0">
                <anchor moveWithCells="1">
                  <from>
                    <xdr:col>8</xdr:col>
                    <xdr:colOff>66675</xdr:colOff>
                    <xdr:row>193</xdr:row>
                    <xdr:rowOff>571500</xdr:rowOff>
                  </from>
                  <to>
                    <xdr:col>10</xdr:col>
                    <xdr:colOff>647700</xdr:colOff>
                    <xdr:row>194</xdr:row>
                    <xdr:rowOff>247650</xdr:rowOff>
                  </to>
                </anchor>
              </controlPr>
            </control>
          </mc:Choice>
        </mc:AlternateContent>
        <mc:AlternateContent xmlns:mc="http://schemas.openxmlformats.org/markup-compatibility/2006">
          <mc:Choice Requires="x14">
            <control shapeId="60001" r:id="rId282" name="Group Box 609">
              <controlPr defaultSize="0" autoFill="0" autoPict="0">
                <anchor moveWithCells="1">
                  <from>
                    <xdr:col>8</xdr:col>
                    <xdr:colOff>66675</xdr:colOff>
                    <xdr:row>190</xdr:row>
                    <xdr:rowOff>409575</xdr:rowOff>
                  </from>
                  <to>
                    <xdr:col>10</xdr:col>
                    <xdr:colOff>647700</xdr:colOff>
                    <xdr:row>191</xdr:row>
                    <xdr:rowOff>247650</xdr:rowOff>
                  </to>
                </anchor>
              </controlPr>
            </control>
          </mc:Choice>
        </mc:AlternateContent>
        <mc:AlternateContent xmlns:mc="http://schemas.openxmlformats.org/markup-compatibility/2006">
          <mc:Choice Requires="x14">
            <control shapeId="60002" r:id="rId283" name="Option Button 610">
              <controlPr defaultSize="0" autoFill="0" autoLine="0" autoPict="0">
                <anchor moveWithCells="1">
                  <from>
                    <xdr:col>8</xdr:col>
                    <xdr:colOff>238125</xdr:colOff>
                    <xdr:row>171</xdr:row>
                    <xdr:rowOff>800100</xdr:rowOff>
                  </from>
                  <to>
                    <xdr:col>8</xdr:col>
                    <xdr:colOff>485775</xdr:colOff>
                    <xdr:row>171</xdr:row>
                    <xdr:rowOff>1009650</xdr:rowOff>
                  </to>
                </anchor>
              </controlPr>
            </control>
          </mc:Choice>
        </mc:AlternateContent>
        <mc:AlternateContent xmlns:mc="http://schemas.openxmlformats.org/markup-compatibility/2006">
          <mc:Choice Requires="x14">
            <control shapeId="60003" r:id="rId284" name="Option Button 611">
              <controlPr defaultSize="0" autoFill="0" autoLine="0" autoPict="0">
                <anchor moveWithCells="1">
                  <from>
                    <xdr:col>9</xdr:col>
                    <xdr:colOff>238125</xdr:colOff>
                    <xdr:row>171</xdr:row>
                    <xdr:rowOff>800100</xdr:rowOff>
                  </from>
                  <to>
                    <xdr:col>9</xdr:col>
                    <xdr:colOff>485775</xdr:colOff>
                    <xdr:row>171</xdr:row>
                    <xdr:rowOff>1009650</xdr:rowOff>
                  </to>
                </anchor>
              </controlPr>
            </control>
          </mc:Choice>
        </mc:AlternateContent>
        <mc:AlternateContent xmlns:mc="http://schemas.openxmlformats.org/markup-compatibility/2006">
          <mc:Choice Requires="x14">
            <control shapeId="60004" r:id="rId285" name="Option Button 612">
              <controlPr defaultSize="0" autoFill="0" autoLine="0" autoPict="0">
                <anchor moveWithCells="1">
                  <from>
                    <xdr:col>10</xdr:col>
                    <xdr:colOff>238125</xdr:colOff>
                    <xdr:row>171</xdr:row>
                    <xdr:rowOff>800100</xdr:rowOff>
                  </from>
                  <to>
                    <xdr:col>10</xdr:col>
                    <xdr:colOff>485775</xdr:colOff>
                    <xdr:row>171</xdr:row>
                    <xdr:rowOff>1009650</xdr:rowOff>
                  </to>
                </anchor>
              </controlPr>
            </control>
          </mc:Choice>
        </mc:AlternateContent>
        <mc:AlternateContent xmlns:mc="http://schemas.openxmlformats.org/markup-compatibility/2006">
          <mc:Choice Requires="x14">
            <control shapeId="60005" r:id="rId286" name="Group Box 613">
              <controlPr defaultSize="0" autoFill="0" autoPict="0">
                <anchor moveWithCells="1">
                  <from>
                    <xdr:col>8</xdr:col>
                    <xdr:colOff>66675</xdr:colOff>
                    <xdr:row>171</xdr:row>
                    <xdr:rowOff>781050</xdr:rowOff>
                  </from>
                  <to>
                    <xdr:col>10</xdr:col>
                    <xdr:colOff>647700</xdr:colOff>
                    <xdr:row>171</xdr:row>
                    <xdr:rowOff>1028700</xdr:rowOff>
                  </to>
                </anchor>
              </controlPr>
            </control>
          </mc:Choice>
        </mc:AlternateContent>
        <mc:AlternateContent xmlns:mc="http://schemas.openxmlformats.org/markup-compatibility/2006">
          <mc:Choice Requires="x14">
            <control shapeId="60006" r:id="rId287" name="Option Button 614">
              <controlPr defaultSize="0" autoFill="0" autoLine="0" autoPict="0">
                <anchor moveWithCells="1">
                  <from>
                    <xdr:col>8</xdr:col>
                    <xdr:colOff>238125</xdr:colOff>
                    <xdr:row>168</xdr:row>
                    <xdr:rowOff>514350</xdr:rowOff>
                  </from>
                  <to>
                    <xdr:col>8</xdr:col>
                    <xdr:colOff>485775</xdr:colOff>
                    <xdr:row>168</xdr:row>
                    <xdr:rowOff>723900</xdr:rowOff>
                  </to>
                </anchor>
              </controlPr>
            </control>
          </mc:Choice>
        </mc:AlternateContent>
        <mc:AlternateContent xmlns:mc="http://schemas.openxmlformats.org/markup-compatibility/2006">
          <mc:Choice Requires="x14">
            <control shapeId="60007" r:id="rId288" name="Option Button 615">
              <controlPr defaultSize="0" autoFill="0" autoLine="0" autoPict="0">
                <anchor moveWithCells="1">
                  <from>
                    <xdr:col>9</xdr:col>
                    <xdr:colOff>238125</xdr:colOff>
                    <xdr:row>168</xdr:row>
                    <xdr:rowOff>514350</xdr:rowOff>
                  </from>
                  <to>
                    <xdr:col>9</xdr:col>
                    <xdr:colOff>485775</xdr:colOff>
                    <xdr:row>168</xdr:row>
                    <xdr:rowOff>723900</xdr:rowOff>
                  </to>
                </anchor>
              </controlPr>
            </control>
          </mc:Choice>
        </mc:AlternateContent>
        <mc:AlternateContent xmlns:mc="http://schemas.openxmlformats.org/markup-compatibility/2006">
          <mc:Choice Requires="x14">
            <control shapeId="60008" r:id="rId289" name="Option Button 616">
              <controlPr defaultSize="0" autoFill="0" autoLine="0" autoPict="0">
                <anchor moveWithCells="1">
                  <from>
                    <xdr:col>10</xdr:col>
                    <xdr:colOff>238125</xdr:colOff>
                    <xdr:row>168</xdr:row>
                    <xdr:rowOff>514350</xdr:rowOff>
                  </from>
                  <to>
                    <xdr:col>10</xdr:col>
                    <xdr:colOff>485775</xdr:colOff>
                    <xdr:row>168</xdr:row>
                    <xdr:rowOff>723900</xdr:rowOff>
                  </to>
                </anchor>
              </controlPr>
            </control>
          </mc:Choice>
        </mc:AlternateContent>
        <mc:AlternateContent xmlns:mc="http://schemas.openxmlformats.org/markup-compatibility/2006">
          <mc:Choice Requires="x14">
            <control shapeId="60009" r:id="rId290" name="Group Box 617">
              <controlPr defaultSize="0" autoFill="0" autoPict="0">
                <anchor moveWithCells="1">
                  <from>
                    <xdr:col>8</xdr:col>
                    <xdr:colOff>66675</xdr:colOff>
                    <xdr:row>168</xdr:row>
                    <xdr:rowOff>276225</xdr:rowOff>
                  </from>
                  <to>
                    <xdr:col>10</xdr:col>
                    <xdr:colOff>647700</xdr:colOff>
                    <xdr:row>168</xdr:row>
                    <xdr:rowOff>523875</xdr:rowOff>
                  </to>
                </anchor>
              </controlPr>
            </control>
          </mc:Choice>
        </mc:AlternateContent>
        <mc:AlternateContent xmlns:mc="http://schemas.openxmlformats.org/markup-compatibility/2006">
          <mc:Choice Requires="x14">
            <control shapeId="60010" r:id="rId291" name="Option Button 618">
              <controlPr defaultSize="0" autoFill="0" autoLine="0" autoPict="0">
                <anchor moveWithCells="1">
                  <from>
                    <xdr:col>8</xdr:col>
                    <xdr:colOff>238125</xdr:colOff>
                    <xdr:row>107</xdr:row>
                    <xdr:rowOff>466725</xdr:rowOff>
                  </from>
                  <to>
                    <xdr:col>8</xdr:col>
                    <xdr:colOff>485775</xdr:colOff>
                    <xdr:row>107</xdr:row>
                    <xdr:rowOff>676275</xdr:rowOff>
                  </to>
                </anchor>
              </controlPr>
            </control>
          </mc:Choice>
        </mc:AlternateContent>
        <mc:AlternateContent xmlns:mc="http://schemas.openxmlformats.org/markup-compatibility/2006">
          <mc:Choice Requires="x14">
            <control shapeId="60011" r:id="rId292" name="Option Button 619">
              <controlPr defaultSize="0" autoFill="0" autoLine="0" autoPict="0">
                <anchor moveWithCells="1">
                  <from>
                    <xdr:col>9</xdr:col>
                    <xdr:colOff>238125</xdr:colOff>
                    <xdr:row>107</xdr:row>
                    <xdr:rowOff>466725</xdr:rowOff>
                  </from>
                  <to>
                    <xdr:col>9</xdr:col>
                    <xdr:colOff>485775</xdr:colOff>
                    <xdr:row>107</xdr:row>
                    <xdr:rowOff>676275</xdr:rowOff>
                  </to>
                </anchor>
              </controlPr>
            </control>
          </mc:Choice>
        </mc:AlternateContent>
        <mc:AlternateContent xmlns:mc="http://schemas.openxmlformats.org/markup-compatibility/2006">
          <mc:Choice Requires="x14">
            <control shapeId="60012" r:id="rId293" name="Option Button 620">
              <controlPr defaultSize="0" autoFill="0" autoLine="0" autoPict="0">
                <anchor moveWithCells="1">
                  <from>
                    <xdr:col>10</xdr:col>
                    <xdr:colOff>238125</xdr:colOff>
                    <xdr:row>107</xdr:row>
                    <xdr:rowOff>466725</xdr:rowOff>
                  </from>
                  <to>
                    <xdr:col>10</xdr:col>
                    <xdr:colOff>485775</xdr:colOff>
                    <xdr:row>107</xdr:row>
                    <xdr:rowOff>676275</xdr:rowOff>
                  </to>
                </anchor>
              </controlPr>
            </control>
          </mc:Choice>
        </mc:AlternateContent>
        <mc:AlternateContent xmlns:mc="http://schemas.openxmlformats.org/markup-compatibility/2006">
          <mc:Choice Requires="x14">
            <control shapeId="60013" r:id="rId294" name="Group Box 621">
              <controlPr defaultSize="0" autoFill="0" autoPict="0">
                <anchor moveWithCells="1">
                  <from>
                    <xdr:col>8</xdr:col>
                    <xdr:colOff>66675</xdr:colOff>
                    <xdr:row>107</xdr:row>
                    <xdr:rowOff>447675</xdr:rowOff>
                  </from>
                  <to>
                    <xdr:col>10</xdr:col>
                    <xdr:colOff>647700</xdr:colOff>
                    <xdr:row>107</xdr:row>
                    <xdr:rowOff>695325</xdr:rowOff>
                  </to>
                </anchor>
              </controlPr>
            </control>
          </mc:Choice>
        </mc:AlternateContent>
        <mc:AlternateContent xmlns:mc="http://schemas.openxmlformats.org/markup-compatibility/2006">
          <mc:Choice Requires="x14">
            <control shapeId="60014" r:id="rId295" name="Group Box 622">
              <controlPr defaultSize="0" autoFill="0" autoPict="0">
                <anchor moveWithCells="1">
                  <from>
                    <xdr:col>8</xdr:col>
                    <xdr:colOff>219075</xdr:colOff>
                    <xdr:row>50</xdr:row>
                    <xdr:rowOff>333375</xdr:rowOff>
                  </from>
                  <to>
                    <xdr:col>11</xdr:col>
                    <xdr:colOff>104775</xdr:colOff>
                    <xdr:row>50</xdr:row>
                    <xdr:rowOff>590550</xdr:rowOff>
                  </to>
                </anchor>
              </controlPr>
            </control>
          </mc:Choice>
        </mc:AlternateContent>
        <mc:AlternateContent xmlns:mc="http://schemas.openxmlformats.org/markup-compatibility/2006">
          <mc:Choice Requires="x14">
            <control shapeId="60015" r:id="rId296" name="Check Box 623">
              <controlPr defaultSize="0" autoFill="0" autoLine="0" autoPict="0">
                <anchor moveWithCells="1">
                  <from>
                    <xdr:col>12</xdr:col>
                    <xdr:colOff>85725</xdr:colOff>
                    <xdr:row>187</xdr:row>
                    <xdr:rowOff>66675</xdr:rowOff>
                  </from>
                  <to>
                    <xdr:col>12</xdr:col>
                    <xdr:colOff>333375</xdr:colOff>
                    <xdr:row>187</xdr:row>
                    <xdr:rowOff>333375</xdr:rowOff>
                  </to>
                </anchor>
              </controlPr>
            </control>
          </mc:Choice>
        </mc:AlternateContent>
        <mc:AlternateContent xmlns:mc="http://schemas.openxmlformats.org/markup-compatibility/2006">
          <mc:Choice Requires="x14">
            <control shapeId="60017" r:id="rId297" name="Check Box 625">
              <controlPr defaultSize="0" autoFill="0" autoLine="0" autoPict="0">
                <anchor moveWithCells="1">
                  <from>
                    <xdr:col>12</xdr:col>
                    <xdr:colOff>76200</xdr:colOff>
                    <xdr:row>136</xdr:row>
                    <xdr:rowOff>66675</xdr:rowOff>
                  </from>
                  <to>
                    <xdr:col>12</xdr:col>
                    <xdr:colOff>323850</xdr:colOff>
                    <xdr:row>136</xdr:row>
                    <xdr:rowOff>323850</xdr:rowOff>
                  </to>
                </anchor>
              </controlPr>
            </control>
          </mc:Choice>
        </mc:AlternateContent>
        <mc:AlternateContent xmlns:mc="http://schemas.openxmlformats.org/markup-compatibility/2006">
          <mc:Choice Requires="x14">
            <control shapeId="60021" r:id="rId298" name="Check Box 629">
              <controlPr defaultSize="0" autoFill="0" autoLine="0" autoPict="0">
                <anchor moveWithCells="1">
                  <from>
                    <xdr:col>12</xdr:col>
                    <xdr:colOff>76200</xdr:colOff>
                    <xdr:row>191</xdr:row>
                    <xdr:rowOff>57150</xdr:rowOff>
                  </from>
                  <to>
                    <xdr:col>12</xdr:col>
                    <xdr:colOff>323850</xdr:colOff>
                    <xdr:row>191</xdr:row>
                    <xdr:rowOff>323850</xdr:rowOff>
                  </to>
                </anchor>
              </controlPr>
            </control>
          </mc:Choice>
        </mc:AlternateContent>
        <mc:AlternateContent xmlns:mc="http://schemas.openxmlformats.org/markup-compatibility/2006">
          <mc:Choice Requires="x14">
            <control shapeId="60029" r:id="rId299" name="Option Button 637">
              <controlPr defaultSize="0" autoFill="0" autoLine="0" autoPict="0">
                <anchor moveWithCells="1">
                  <from>
                    <xdr:col>8</xdr:col>
                    <xdr:colOff>238125</xdr:colOff>
                    <xdr:row>98</xdr:row>
                    <xdr:rowOff>333375</xdr:rowOff>
                  </from>
                  <to>
                    <xdr:col>8</xdr:col>
                    <xdr:colOff>485775</xdr:colOff>
                    <xdr:row>98</xdr:row>
                    <xdr:rowOff>542925</xdr:rowOff>
                  </to>
                </anchor>
              </controlPr>
            </control>
          </mc:Choice>
        </mc:AlternateContent>
        <mc:AlternateContent xmlns:mc="http://schemas.openxmlformats.org/markup-compatibility/2006">
          <mc:Choice Requires="x14">
            <control shapeId="60030" r:id="rId300" name="Option Button 638">
              <controlPr defaultSize="0" autoFill="0" autoLine="0" autoPict="0">
                <anchor moveWithCells="1">
                  <from>
                    <xdr:col>9</xdr:col>
                    <xdr:colOff>238125</xdr:colOff>
                    <xdr:row>98</xdr:row>
                    <xdr:rowOff>333375</xdr:rowOff>
                  </from>
                  <to>
                    <xdr:col>9</xdr:col>
                    <xdr:colOff>485775</xdr:colOff>
                    <xdr:row>98</xdr:row>
                    <xdr:rowOff>542925</xdr:rowOff>
                  </to>
                </anchor>
              </controlPr>
            </control>
          </mc:Choice>
        </mc:AlternateContent>
        <mc:AlternateContent xmlns:mc="http://schemas.openxmlformats.org/markup-compatibility/2006">
          <mc:Choice Requires="x14">
            <control shapeId="60031" r:id="rId301" name="Option Button 639">
              <controlPr defaultSize="0" autoFill="0" autoLine="0" autoPict="0">
                <anchor moveWithCells="1">
                  <from>
                    <xdr:col>10</xdr:col>
                    <xdr:colOff>238125</xdr:colOff>
                    <xdr:row>98</xdr:row>
                    <xdr:rowOff>333375</xdr:rowOff>
                  </from>
                  <to>
                    <xdr:col>10</xdr:col>
                    <xdr:colOff>485775</xdr:colOff>
                    <xdr:row>98</xdr:row>
                    <xdr:rowOff>542925</xdr:rowOff>
                  </to>
                </anchor>
              </controlPr>
            </control>
          </mc:Choice>
        </mc:AlternateContent>
        <mc:AlternateContent xmlns:mc="http://schemas.openxmlformats.org/markup-compatibility/2006">
          <mc:Choice Requires="x14">
            <control shapeId="60032" r:id="rId302" name="Group Box 640">
              <controlPr defaultSize="0" autoFill="0" autoPict="0">
                <anchor moveWithCells="1">
                  <from>
                    <xdr:col>8</xdr:col>
                    <xdr:colOff>66675</xdr:colOff>
                    <xdr:row>98</xdr:row>
                    <xdr:rowOff>314325</xdr:rowOff>
                  </from>
                  <to>
                    <xdr:col>10</xdr:col>
                    <xdr:colOff>647700</xdr:colOff>
                    <xdr:row>98</xdr:row>
                    <xdr:rowOff>561975</xdr:rowOff>
                  </to>
                </anchor>
              </controlPr>
            </control>
          </mc:Choice>
        </mc:AlternateContent>
        <mc:AlternateContent xmlns:mc="http://schemas.openxmlformats.org/markup-compatibility/2006">
          <mc:Choice Requires="x14">
            <control shapeId="60033" r:id="rId303" name="Option Button 641">
              <controlPr defaultSize="0" autoFill="0" autoLine="0" autoPict="0">
                <anchor moveWithCells="1">
                  <from>
                    <xdr:col>8</xdr:col>
                    <xdr:colOff>238125</xdr:colOff>
                    <xdr:row>90</xdr:row>
                    <xdr:rowOff>390525</xdr:rowOff>
                  </from>
                  <to>
                    <xdr:col>8</xdr:col>
                    <xdr:colOff>485775</xdr:colOff>
                    <xdr:row>90</xdr:row>
                    <xdr:rowOff>600075</xdr:rowOff>
                  </to>
                </anchor>
              </controlPr>
            </control>
          </mc:Choice>
        </mc:AlternateContent>
        <mc:AlternateContent xmlns:mc="http://schemas.openxmlformats.org/markup-compatibility/2006">
          <mc:Choice Requires="x14">
            <control shapeId="60034" r:id="rId304" name="Option Button 642">
              <controlPr defaultSize="0" autoFill="0" autoLine="0" autoPict="0">
                <anchor moveWithCells="1">
                  <from>
                    <xdr:col>9</xdr:col>
                    <xdr:colOff>238125</xdr:colOff>
                    <xdr:row>90</xdr:row>
                    <xdr:rowOff>390525</xdr:rowOff>
                  </from>
                  <to>
                    <xdr:col>9</xdr:col>
                    <xdr:colOff>485775</xdr:colOff>
                    <xdr:row>90</xdr:row>
                    <xdr:rowOff>600075</xdr:rowOff>
                  </to>
                </anchor>
              </controlPr>
            </control>
          </mc:Choice>
        </mc:AlternateContent>
        <mc:AlternateContent xmlns:mc="http://schemas.openxmlformats.org/markup-compatibility/2006">
          <mc:Choice Requires="x14">
            <control shapeId="60035" r:id="rId305" name="Option Button 643">
              <controlPr defaultSize="0" autoFill="0" autoLine="0" autoPict="0">
                <anchor moveWithCells="1">
                  <from>
                    <xdr:col>10</xdr:col>
                    <xdr:colOff>238125</xdr:colOff>
                    <xdr:row>90</xdr:row>
                    <xdr:rowOff>390525</xdr:rowOff>
                  </from>
                  <to>
                    <xdr:col>10</xdr:col>
                    <xdr:colOff>485775</xdr:colOff>
                    <xdr:row>90</xdr:row>
                    <xdr:rowOff>600075</xdr:rowOff>
                  </to>
                </anchor>
              </controlPr>
            </control>
          </mc:Choice>
        </mc:AlternateContent>
        <mc:AlternateContent xmlns:mc="http://schemas.openxmlformats.org/markup-compatibility/2006">
          <mc:Choice Requires="x14">
            <control shapeId="60036" r:id="rId306" name="Group Box 644">
              <controlPr defaultSize="0" autoFill="0" autoPict="0">
                <anchor moveWithCells="1">
                  <from>
                    <xdr:col>8</xdr:col>
                    <xdr:colOff>66675</xdr:colOff>
                    <xdr:row>90</xdr:row>
                    <xdr:rowOff>371475</xdr:rowOff>
                  </from>
                  <to>
                    <xdr:col>10</xdr:col>
                    <xdr:colOff>647700</xdr:colOff>
                    <xdr:row>90</xdr:row>
                    <xdr:rowOff>619125</xdr:rowOff>
                  </to>
                </anchor>
              </controlPr>
            </control>
          </mc:Choice>
        </mc:AlternateContent>
        <mc:AlternateContent xmlns:mc="http://schemas.openxmlformats.org/markup-compatibility/2006">
          <mc:Choice Requires="x14">
            <control shapeId="60037" r:id="rId307" name="Option Button 645">
              <controlPr defaultSize="0" autoFill="0" autoLine="0" autoPict="0">
                <anchor moveWithCells="1">
                  <from>
                    <xdr:col>8</xdr:col>
                    <xdr:colOff>238125</xdr:colOff>
                    <xdr:row>63</xdr:row>
                    <xdr:rowOff>95250</xdr:rowOff>
                  </from>
                  <to>
                    <xdr:col>8</xdr:col>
                    <xdr:colOff>485775</xdr:colOff>
                    <xdr:row>63</xdr:row>
                    <xdr:rowOff>304800</xdr:rowOff>
                  </to>
                </anchor>
              </controlPr>
            </control>
          </mc:Choice>
        </mc:AlternateContent>
        <mc:AlternateContent xmlns:mc="http://schemas.openxmlformats.org/markup-compatibility/2006">
          <mc:Choice Requires="x14">
            <control shapeId="60038" r:id="rId308" name="Option Button 646">
              <controlPr defaultSize="0" autoFill="0" autoLine="0" autoPict="0">
                <anchor moveWithCells="1">
                  <from>
                    <xdr:col>9</xdr:col>
                    <xdr:colOff>238125</xdr:colOff>
                    <xdr:row>63</xdr:row>
                    <xdr:rowOff>95250</xdr:rowOff>
                  </from>
                  <to>
                    <xdr:col>9</xdr:col>
                    <xdr:colOff>485775</xdr:colOff>
                    <xdr:row>63</xdr:row>
                    <xdr:rowOff>304800</xdr:rowOff>
                  </to>
                </anchor>
              </controlPr>
            </control>
          </mc:Choice>
        </mc:AlternateContent>
        <mc:AlternateContent xmlns:mc="http://schemas.openxmlformats.org/markup-compatibility/2006">
          <mc:Choice Requires="x14">
            <control shapeId="60039" r:id="rId309" name="Option Button 647">
              <controlPr defaultSize="0" autoFill="0" autoLine="0" autoPict="0">
                <anchor moveWithCells="1">
                  <from>
                    <xdr:col>10</xdr:col>
                    <xdr:colOff>238125</xdr:colOff>
                    <xdr:row>63</xdr:row>
                    <xdr:rowOff>95250</xdr:rowOff>
                  </from>
                  <to>
                    <xdr:col>10</xdr:col>
                    <xdr:colOff>485775</xdr:colOff>
                    <xdr:row>63</xdr:row>
                    <xdr:rowOff>304800</xdr:rowOff>
                  </to>
                </anchor>
              </controlPr>
            </control>
          </mc:Choice>
        </mc:AlternateContent>
        <mc:AlternateContent xmlns:mc="http://schemas.openxmlformats.org/markup-compatibility/2006">
          <mc:Choice Requires="x14">
            <control shapeId="60040" r:id="rId310" name="Group Box 648">
              <controlPr defaultSize="0" autoFill="0" autoPict="0">
                <anchor moveWithCells="1">
                  <from>
                    <xdr:col>8</xdr:col>
                    <xdr:colOff>66675</xdr:colOff>
                    <xdr:row>63</xdr:row>
                    <xdr:rowOff>76200</xdr:rowOff>
                  </from>
                  <to>
                    <xdr:col>10</xdr:col>
                    <xdr:colOff>647700</xdr:colOff>
                    <xdr:row>63</xdr:row>
                    <xdr:rowOff>323850</xdr:rowOff>
                  </to>
                </anchor>
              </controlPr>
            </control>
          </mc:Choice>
        </mc:AlternateContent>
        <mc:AlternateContent xmlns:mc="http://schemas.openxmlformats.org/markup-compatibility/2006">
          <mc:Choice Requires="x14">
            <control shapeId="60042" r:id="rId311" name="Check Box 650">
              <controlPr defaultSize="0" autoFill="0" autoLine="0" autoPict="0">
                <anchor moveWithCells="1">
                  <from>
                    <xdr:col>12</xdr:col>
                    <xdr:colOff>76200</xdr:colOff>
                    <xdr:row>193</xdr:row>
                    <xdr:rowOff>57150</xdr:rowOff>
                  </from>
                  <to>
                    <xdr:col>12</xdr:col>
                    <xdr:colOff>323850</xdr:colOff>
                    <xdr:row>193</xdr:row>
                    <xdr:rowOff>323850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AB183"/>
  <sheetViews>
    <sheetView showGridLines="0" topLeftCell="A105" workbookViewId="0">
      <selection activeCell="I121" sqref="I121"/>
    </sheetView>
  </sheetViews>
  <sheetFormatPr defaultColWidth="0" defaultRowHeight="13.5" zeroHeight="1"/>
  <cols>
    <col min="1" max="1" width="1.125" customWidth="1"/>
    <col min="2" max="2" width="2.375" customWidth="1"/>
    <col min="3" max="3" width="2" customWidth="1"/>
    <col min="4" max="4" width="17" customWidth="1"/>
    <col min="5" max="5" width="20.125" customWidth="1"/>
    <col min="6" max="6" width="7.5" bestFit="1" customWidth="1"/>
    <col min="7" max="7" width="2" customWidth="1"/>
    <col min="8" max="8" width="10" customWidth="1"/>
    <col min="9" max="9" width="9.625" customWidth="1"/>
    <col min="10" max="10" width="8.875" customWidth="1"/>
    <col min="11" max="11" width="9.125" customWidth="1"/>
    <col min="12" max="12" width="11.75" bestFit="1" customWidth="1"/>
    <col min="13" max="13" width="6" bestFit="1" customWidth="1"/>
    <col min="14" max="14" width="8" bestFit="1" customWidth="1"/>
    <col min="15" max="15" width="11.75" bestFit="1" customWidth="1"/>
    <col min="16" max="16" width="2.625" customWidth="1"/>
    <col min="17" max="17" width="6.25" hidden="1" customWidth="1"/>
    <col min="18" max="18" width="9.125" hidden="1" customWidth="1"/>
    <col min="19" max="19" width="13" hidden="1" customWidth="1"/>
    <col min="20" max="20" width="6.875" hidden="1" customWidth="1"/>
    <col min="21" max="21" width="12" hidden="1" customWidth="1"/>
    <col min="22" max="22" width="5" hidden="1" customWidth="1"/>
    <col min="23" max="23" width="6.125" hidden="1" customWidth="1"/>
    <col min="24" max="24" width="8" hidden="1" customWidth="1"/>
    <col min="25" max="25" width="6.375" hidden="1" customWidth="1"/>
    <col min="26" max="26" width="5" hidden="1" customWidth="1"/>
    <col min="27" max="28" width="5.25" hidden="1" customWidth="1"/>
    <col min="29" max="16384" width="9" hidden="1"/>
  </cols>
  <sheetData>
    <row r="1" spans="1:27" ht="7.5" customHeight="1" thickBot="1">
      <c r="A1" s="45"/>
    </row>
    <row r="2" spans="1:27" ht="14.25">
      <c r="B2" s="440" t="str">
        <f>メイン!C6</f>
        <v>CASBEE-川崎2025年版</v>
      </c>
      <c r="C2" s="441"/>
      <c r="D2" s="442"/>
      <c r="E2" s="443"/>
      <c r="F2" s="444"/>
      <c r="G2" s="444"/>
      <c r="H2" s="444"/>
      <c r="I2" s="444"/>
      <c r="J2" s="444"/>
      <c r="K2" s="444"/>
      <c r="L2" s="3817" t="s">
        <v>1774</v>
      </c>
      <c r="M2" s="3817"/>
      <c r="N2" s="3818" t="str">
        <f>メイン!C6</f>
        <v>CASBEE-川崎2025年版</v>
      </c>
      <c r="O2" s="3819"/>
    </row>
    <row r="3" spans="1:27" ht="14.25" thickBot="1">
      <c r="B3" s="445" t="str">
        <f>メイン!C11</f>
        <v>○○ビル</v>
      </c>
      <c r="C3" s="446"/>
      <c r="D3" s="447"/>
      <c r="E3" s="448"/>
      <c r="F3" s="444"/>
      <c r="G3" s="444"/>
      <c r="H3" s="444"/>
      <c r="I3" s="444"/>
      <c r="J3" s="444"/>
      <c r="K3" s="444"/>
      <c r="L3" s="3817" t="s">
        <v>2139</v>
      </c>
      <c r="M3" s="3820"/>
      <c r="N3" s="1364" t="str">
        <f>メイン!C5</f>
        <v>CASBEE-川崎2025(v.1.1)</v>
      </c>
      <c r="O3" s="449"/>
    </row>
    <row r="4" spans="1:27" ht="6.75" customHeight="1" thickBot="1">
      <c r="B4" s="444"/>
      <c r="C4" s="444"/>
      <c r="D4" s="444"/>
      <c r="E4" s="444"/>
      <c r="F4" s="444"/>
      <c r="G4" s="444"/>
      <c r="H4" s="444"/>
      <c r="I4" s="444"/>
      <c r="J4" s="444"/>
      <c r="K4" s="444"/>
      <c r="L4" s="444"/>
      <c r="M4" s="444"/>
      <c r="N4" s="444"/>
      <c r="O4" s="444"/>
    </row>
    <row r="5" spans="1:27" ht="18.75">
      <c r="B5" s="450" t="s">
        <v>1974</v>
      </c>
      <c r="C5" s="451"/>
      <c r="D5" s="452"/>
      <c r="E5" s="451"/>
      <c r="F5" s="453"/>
      <c r="G5" s="453"/>
      <c r="H5" s="453"/>
      <c r="I5" s="453"/>
      <c r="J5" s="453"/>
      <c r="K5" s="451"/>
      <c r="L5" s="454"/>
      <c r="M5" s="455"/>
      <c r="N5" s="456"/>
      <c r="O5" s="457"/>
    </row>
    <row r="6" spans="1:27" ht="14.25">
      <c r="B6" s="458"/>
      <c r="C6" s="459"/>
      <c r="D6" s="460"/>
      <c r="E6" s="459"/>
      <c r="F6" s="461"/>
      <c r="G6" s="461"/>
      <c r="H6" s="461"/>
      <c r="I6" s="461"/>
      <c r="J6" s="461"/>
      <c r="K6" s="459"/>
      <c r="L6" s="1279" t="s">
        <v>1975</v>
      </c>
      <c r="M6" s="463"/>
      <c r="N6" s="464"/>
      <c r="O6" s="1390" t="s">
        <v>1976</v>
      </c>
      <c r="R6" t="s">
        <v>635</v>
      </c>
      <c r="S6" t="s">
        <v>634</v>
      </c>
      <c r="T6" t="s">
        <v>636</v>
      </c>
      <c r="U6" t="s">
        <v>637</v>
      </c>
    </row>
    <row r="7" spans="1:27" ht="16.5">
      <c r="B7" s="465" t="s">
        <v>1598</v>
      </c>
      <c r="C7" s="459"/>
      <c r="D7" s="460"/>
      <c r="E7" s="459"/>
      <c r="F7" s="461"/>
      <c r="G7" s="461"/>
      <c r="H7" s="461"/>
      <c r="I7" s="461"/>
      <c r="J7" s="461"/>
      <c r="K7" s="459"/>
      <c r="L7" s="466"/>
      <c r="M7" s="463"/>
      <c r="N7" s="464"/>
      <c r="O7" s="468"/>
      <c r="R7" t="s">
        <v>2539</v>
      </c>
      <c r="T7" t="s">
        <v>2540</v>
      </c>
      <c r="U7" s="1453">
        <f>SUM(S8:S20)+U21+S22+S23+S25</f>
        <v>1500</v>
      </c>
    </row>
    <row r="8" spans="1:27" ht="14.25">
      <c r="B8" s="1253"/>
      <c r="C8" s="469" t="s">
        <v>1600</v>
      </c>
      <c r="D8" s="470"/>
      <c r="E8" s="459"/>
      <c r="F8" s="461"/>
      <c r="G8" s="461"/>
      <c r="H8" s="466"/>
      <c r="I8" s="467"/>
      <c r="J8" s="466" t="s">
        <v>1599</v>
      </c>
      <c r="K8" s="467"/>
      <c r="L8" s="466" t="s">
        <v>1599</v>
      </c>
      <c r="M8" s="467"/>
      <c r="N8" s="467"/>
      <c r="O8" s="468" t="s">
        <v>1599</v>
      </c>
      <c r="R8" s="1" t="str">
        <f>メイン!B47</f>
        <v xml:space="preserve"> 事務所</v>
      </c>
      <c r="S8" s="1452">
        <f>メイン!C47</f>
        <v>500</v>
      </c>
    </row>
    <row r="9" spans="1:27">
      <c r="B9" s="1253"/>
      <c r="C9" s="476"/>
      <c r="D9" s="476" t="s">
        <v>275</v>
      </c>
      <c r="E9" s="474"/>
      <c r="F9" s="1391" t="s">
        <v>1336</v>
      </c>
      <c r="G9" s="474"/>
      <c r="H9" s="471" t="s">
        <v>1337</v>
      </c>
      <c r="I9" s="471" t="s">
        <v>1338</v>
      </c>
      <c r="J9" s="471" t="s">
        <v>1339</v>
      </c>
      <c r="K9" s="472" t="s">
        <v>273</v>
      </c>
      <c r="L9" s="473" t="s">
        <v>274</v>
      </c>
      <c r="M9" s="474"/>
      <c r="N9" s="472" t="s">
        <v>273</v>
      </c>
      <c r="O9" s="475" t="s">
        <v>274</v>
      </c>
      <c r="R9" s="1">
        <f>メイン!B48</f>
        <v>0</v>
      </c>
      <c r="S9" s="1452">
        <f>メイン!C48</f>
        <v>0</v>
      </c>
    </row>
    <row r="10" spans="1:27">
      <c r="B10" s="1255"/>
      <c r="C10" s="476"/>
      <c r="D10" s="476"/>
      <c r="E10" s="476" t="s">
        <v>377</v>
      </c>
      <c r="F10" s="1392">
        <f>IF($U$7=0,0,S8/$U$7)</f>
        <v>0.33333333333333331</v>
      </c>
      <c r="G10" s="474"/>
      <c r="H10" s="1392">
        <f>IF(OR($F$20=$R$6,$F$20=$U$6),CO2データ!I12,IF($F$20=$S$6,CO2データ!L12,CO2データ!O12))</f>
        <v>13.998000000000001</v>
      </c>
      <c r="I10" s="1392">
        <f>IF(OR($F$20=$R$6,$F$20=$U$6),CO2データ!J12,IF($F$20=$S$6,CO2データ!M12,CO2データ!P12))</f>
        <v>13.998000000000001</v>
      </c>
      <c r="J10" s="1393">
        <f>IF(OR($F$20=$R$6,$F$20=$U$6),CO2データ!K12,IF($F$20=$S$6,CO2データ!N12,CO2データ!Q12))</f>
        <v>13.998000000000001</v>
      </c>
      <c r="K10" s="1261">
        <f>スコア!Q83</f>
        <v>3</v>
      </c>
      <c r="L10" s="1394">
        <f t="shared" ref="L10:L18" si="0">IF(K10&gt;=5,$J10,IF(K10&gt;=4,$I10,$H10))</f>
        <v>13.998000000000001</v>
      </c>
      <c r="M10" s="474"/>
      <c r="N10" s="1261">
        <v>3</v>
      </c>
      <c r="O10" s="1395">
        <f>IF(OR($F$20=$R$6,$F$20=$U$6),CO2データ!I7,IF($F$20=$S$6,CO2データ!L7,CO2データ!O7))</f>
        <v>13.998000000000001</v>
      </c>
      <c r="R10" s="1" t="str">
        <f>メイン!B50</f>
        <v xml:space="preserve"> 学校</v>
      </c>
      <c r="S10" s="1452">
        <f>メイン!C50</f>
        <v>0</v>
      </c>
    </row>
    <row r="11" spans="1:27">
      <c r="B11" s="1255"/>
      <c r="C11" s="476"/>
      <c r="D11" s="1396"/>
      <c r="E11" s="476" t="s">
        <v>1465</v>
      </c>
      <c r="F11" s="1392">
        <f>IF($U$7=0,0,S10/$U$7)</f>
        <v>0</v>
      </c>
      <c r="G11" s="474"/>
      <c r="H11" s="1392">
        <f>IF(OR($F$20=$R$6,$F$20=$U$6),CO2データ!I18,IF($F$20=$S$6,CO2データ!L18,CO2データ!O18))</f>
        <v>14.002000000000002</v>
      </c>
      <c r="I11" s="1392">
        <f>IF(OR($F$20=$R$6,$F$20=$U$6),CO2データ!J18,IF($F$20=$S$6,CO2データ!M18,CO2データ!P18))</f>
        <v>14.002000000000002</v>
      </c>
      <c r="J11" s="1393">
        <f>IF(OR($F$20=$R$6,$F$20=$U$6),CO2データ!K18,IF($F$20=$S$6,CO2データ!N18,CO2データ!Q18))</f>
        <v>14.002000000000002</v>
      </c>
      <c r="K11" s="1261">
        <f t="shared" ref="K11:K18" si="1">K$10</f>
        <v>3</v>
      </c>
      <c r="L11" s="1394">
        <f t="shared" si="0"/>
        <v>14.002000000000002</v>
      </c>
      <c r="M11" s="474"/>
      <c r="N11" s="1261">
        <f t="shared" ref="N11:N18" si="2">N$10</f>
        <v>3</v>
      </c>
      <c r="O11" s="1395">
        <f>IF(OR($F$20=$R$6,$F$20=$U$6),CO2データ!I13,IF($F$20=$S$6,CO2データ!L13,CO2データ!O13))</f>
        <v>14.002000000000002</v>
      </c>
      <c r="R11" s="1">
        <f>メイン!B51</f>
        <v>0</v>
      </c>
      <c r="S11" s="1452">
        <f>メイン!C51</f>
        <v>0</v>
      </c>
      <c r="AA11" t="str">
        <f>重み!AB6</f>
        <v>学校</v>
      </c>
    </row>
    <row r="12" spans="1:27">
      <c r="B12" s="1255"/>
      <c r="C12" s="476"/>
      <c r="D12" s="476"/>
      <c r="E12" s="476" t="s">
        <v>379</v>
      </c>
      <c r="F12" s="1392">
        <f>IF($U$7=0,0,S15/$U$7)</f>
        <v>0</v>
      </c>
      <c r="G12" s="474"/>
      <c r="H12" s="1392">
        <f>IF(OR($F$20=$R$6,$F$20=$U$6),CO2データ!I24,IF($F$20=$S$6,CO2データ!L24,CO2データ!O24))</f>
        <v>16.960999999999999</v>
      </c>
      <c r="I12" s="1392">
        <f>IF(OR($F$20=$R$6,$F$20=$U$6),CO2データ!J24,IF($F$20=$S$6,CO2データ!M24,CO2データ!P24))</f>
        <v>16.960999999999999</v>
      </c>
      <c r="J12" s="1393">
        <f>IF(OR($F$20=$R$6,$F$20=$U$6),CO2データ!K24,IF($F$20=$S$6,CO2データ!N24,CO2データ!Q24))</f>
        <v>16.960999999999999</v>
      </c>
      <c r="K12" s="1261">
        <f t="shared" si="1"/>
        <v>3</v>
      </c>
      <c r="L12" s="1394">
        <f t="shared" si="0"/>
        <v>16.960999999999999</v>
      </c>
      <c r="M12" s="474"/>
      <c r="N12" s="1261">
        <f t="shared" si="2"/>
        <v>3</v>
      </c>
      <c r="O12" s="1395">
        <f>IF(OR($F$20=$R$6,$F$20=$U$6),CO2データ!I19,IF($F$20=$S$6,CO2データ!L19,CO2データ!O19))</f>
        <v>16.960999999999999</v>
      </c>
      <c r="R12" s="1">
        <f>メイン!B52</f>
        <v>0</v>
      </c>
      <c r="S12" s="1452">
        <f>メイン!C52</f>
        <v>0</v>
      </c>
      <c r="AA12">
        <f>重み!AB7</f>
        <v>0</v>
      </c>
    </row>
    <row r="13" spans="1:27">
      <c r="B13" s="1255"/>
      <c r="C13" s="476"/>
      <c r="D13" s="476"/>
      <c r="E13" s="476" t="s">
        <v>380</v>
      </c>
      <c r="F13" s="1392">
        <f>IF($U$7=0,0,S17/$U$7)</f>
        <v>0</v>
      </c>
      <c r="G13" s="474"/>
      <c r="H13" s="1392">
        <f>IF(OR($F$20=$R$6,$F$20=$U$6),CO2データ!I30,IF($F$20=$S$6,CO2データ!L30,CO2データ!O30))</f>
        <v>16.960999999999999</v>
      </c>
      <c r="I13" s="1392">
        <f>IF(OR($F$20=$R$6,$F$20=$U$6),CO2データ!J30,IF($F$20=$S$6,CO2データ!M30,CO2データ!P30))</f>
        <v>16.960999999999999</v>
      </c>
      <c r="J13" s="1393">
        <f>IF(OR($F$20=$R$6,$F$20=$U$6),CO2データ!K30,IF($F$20=$S$6,CO2データ!N30,CO2データ!Q30))</f>
        <v>16.960999999999999</v>
      </c>
      <c r="K13" s="1261">
        <f t="shared" si="1"/>
        <v>3</v>
      </c>
      <c r="L13" s="1394">
        <f t="shared" si="0"/>
        <v>16.960999999999999</v>
      </c>
      <c r="M13" s="474"/>
      <c r="N13" s="1261">
        <f t="shared" si="2"/>
        <v>3</v>
      </c>
      <c r="O13" s="1395">
        <f>IF(OR($F$20=$R$6,$F$20=$U$6),CO2データ!I25,IF($F$20=$S$6,CO2データ!L25,CO2データ!O25))</f>
        <v>16.960999999999999</v>
      </c>
      <c r="R13" s="1">
        <f>メイン!B53</f>
        <v>0</v>
      </c>
      <c r="S13" s="1452">
        <f>メイン!C53</f>
        <v>0</v>
      </c>
    </row>
    <row r="14" spans="1:27">
      <c r="B14" s="1255"/>
      <c r="C14" s="476"/>
      <c r="D14" s="476"/>
      <c r="E14" s="1257" t="s">
        <v>1619</v>
      </c>
      <c r="F14" s="1392">
        <f>IF($U$7=0,0,S18/$U$7)</f>
        <v>0</v>
      </c>
      <c r="G14" s="474"/>
      <c r="H14" s="1392">
        <f>IF(OR($F$20=$R$6,$F$20=$U$6),CO2データ!I36,IF($F$20=$S$6,CO2データ!L36,CO2データ!O36))</f>
        <v>13.079000000000001</v>
      </c>
      <c r="I14" s="1392">
        <f>IF(OR($F$20=$R$6,$F$20=$U$6),CO2データ!J36,IF($F$20=$S$6,CO2データ!M36,CO2データ!P36))</f>
        <v>13.079000000000001</v>
      </c>
      <c r="J14" s="1393">
        <f>IF(OR($F$20=$R$6,$F$20=$U$6),CO2データ!K36,IF($F$20=$S$6,CO2データ!N36,CO2データ!Q36))</f>
        <v>13.079000000000001</v>
      </c>
      <c r="K14" s="1261">
        <f t="shared" si="1"/>
        <v>3</v>
      </c>
      <c r="L14" s="1394">
        <f t="shared" si="0"/>
        <v>13.079000000000001</v>
      </c>
      <c r="M14" s="474"/>
      <c r="N14" s="1261">
        <f t="shared" si="2"/>
        <v>3</v>
      </c>
      <c r="O14" s="1395">
        <f>IF(OR($F$20=$R$6,$F$20=$U$6),CO2データ!I31,IF($F$20=$S$6,CO2データ!L31,CO2データ!O31))</f>
        <v>13.079000000000001</v>
      </c>
      <c r="R14" s="1">
        <f>メイン!B54</f>
        <v>0</v>
      </c>
      <c r="S14" s="1452">
        <f>メイン!C54</f>
        <v>0</v>
      </c>
    </row>
    <row r="15" spans="1:27">
      <c r="B15" s="1255"/>
      <c r="C15" s="476"/>
      <c r="D15" s="476"/>
      <c r="E15" s="1257" t="s">
        <v>385</v>
      </c>
      <c r="F15" s="1392">
        <f>IF($U$7=0,0,U21/$U$7)</f>
        <v>0</v>
      </c>
      <c r="G15" s="474"/>
      <c r="H15" s="1392">
        <f>IF(OR($F$20=$R$6,$F$20=$U$6),CO2データ!I42,IF($F$20=$S$6,CO2データ!L42,CO2データ!O42))</f>
        <v>23.650000000000002</v>
      </c>
      <c r="I15" s="1392">
        <f>IF(OR($F$20=$R$6,$F$20=$U$6),CO2データ!J42,IF($F$20=$S$6,CO2データ!M42,CO2データ!P42))</f>
        <v>23.650000000000002</v>
      </c>
      <c r="J15" s="1393">
        <f>IF(OR($F$20=$R$6,$F$20=$U$6),CO2データ!K42,IF($F$20=$S$6,CO2データ!N42,CO2データ!Q42))</f>
        <v>23.650000000000002</v>
      </c>
      <c r="K15" s="1261">
        <f t="shared" si="1"/>
        <v>3</v>
      </c>
      <c r="L15" s="1394">
        <f t="shared" si="0"/>
        <v>23.650000000000002</v>
      </c>
      <c r="M15" s="474"/>
      <c r="N15" s="1261">
        <f t="shared" si="2"/>
        <v>3</v>
      </c>
      <c r="O15" s="1395">
        <f>IF(OR($F$20=$R$6,$F$20=$U$6),CO2データ!I37,IF($F$20=$S$6,CO2データ!L37,CO2データ!O37))</f>
        <v>23.650000000000002</v>
      </c>
      <c r="R15" s="1" t="str">
        <f>メイン!B55</f>
        <v xml:space="preserve"> 物販店</v>
      </c>
      <c r="S15" s="1452">
        <f>メイン!C55</f>
        <v>0</v>
      </c>
    </row>
    <row r="16" spans="1:27">
      <c r="B16" s="1255"/>
      <c r="C16" s="476"/>
      <c r="D16" s="476"/>
      <c r="E16" s="1257" t="s">
        <v>382</v>
      </c>
      <c r="F16" s="1392">
        <f>IF($U$7=0,0,S22/$U$7)</f>
        <v>0</v>
      </c>
      <c r="G16" s="474"/>
      <c r="H16" s="1392">
        <f>IF(OR($F$20=$R$6,$F$20=$U$6),CO2データ!I48,IF($F$20=$S$6,CO2データ!L48,CO2データ!O48))</f>
        <v>13.704000000000001</v>
      </c>
      <c r="I16" s="1392">
        <f>IF(OR($F$20=$R$6,$F$20=$U$6),CO2データ!J48,IF($F$20=$S$6,CO2データ!M48,CO2データ!P48))</f>
        <v>13.704000000000001</v>
      </c>
      <c r="J16" s="1393">
        <f>IF(OR($F$20=$R$6,$F$20=$U$6),CO2データ!K48,IF($F$20=$S$6,CO2データ!N48,CO2データ!Q48))</f>
        <v>13.704000000000001</v>
      </c>
      <c r="K16" s="1261">
        <f t="shared" si="1"/>
        <v>3</v>
      </c>
      <c r="L16" s="1394">
        <f t="shared" si="0"/>
        <v>13.704000000000001</v>
      </c>
      <c r="M16" s="474"/>
      <c r="N16" s="1261">
        <f t="shared" si="2"/>
        <v>3</v>
      </c>
      <c r="O16" s="1395">
        <f>IF(OR($F$20=$R$6,$F$20=$U$6),CO2データ!I43,IF($F$20=$S$6,CO2データ!L43,CO2データ!O43))</f>
        <v>13.704000000000001</v>
      </c>
      <c r="R16" s="1">
        <f>メイン!B58</f>
        <v>0</v>
      </c>
      <c r="S16" s="1452">
        <f>メイン!C58</f>
        <v>0</v>
      </c>
    </row>
    <row r="17" spans="2:21">
      <c r="B17" s="1255"/>
      <c r="C17" s="476"/>
      <c r="D17" s="476"/>
      <c r="E17" s="1257" t="s">
        <v>276</v>
      </c>
      <c r="F17" s="1392">
        <f>IF($U$7=0,0,S23/$U$7)</f>
        <v>0</v>
      </c>
      <c r="G17" s="474"/>
      <c r="H17" s="1392">
        <f>IF(OR($F$20=$R$6,$F$20=$U$6),CO2データ!I54,IF($F$20=$S$6,CO2データ!L54,CO2データ!O54))</f>
        <v>13.53</v>
      </c>
      <c r="I17" s="1392">
        <f>IF(OR($F$20=$R$6,$F$20=$U$6),CO2データ!J54,IF($F$20=$S$6,CO2データ!M54,CO2データ!P54))</f>
        <v>13.53</v>
      </c>
      <c r="J17" s="1393">
        <f>IF(OR($F$20=$R$6,$F$20=$U$6),CO2データ!K54,IF($F$20=$S$6,CO2データ!N54,CO2データ!Q54))</f>
        <v>13.53</v>
      </c>
      <c r="K17" s="1261">
        <f t="shared" si="1"/>
        <v>3</v>
      </c>
      <c r="L17" s="1394">
        <f t="shared" si="0"/>
        <v>13.53</v>
      </c>
      <c r="M17" s="474"/>
      <c r="N17" s="1261">
        <f t="shared" si="2"/>
        <v>3</v>
      </c>
      <c r="O17" s="1395">
        <f>IF(OR($F$20=$R$6,$F$20=$U$6),CO2データ!I49,IF($F$20=$S$6,CO2データ!L49,CO2データ!O49))</f>
        <v>13.53</v>
      </c>
      <c r="R17" s="1" t="str">
        <f>メイン!B59</f>
        <v xml:space="preserve"> 飲食店</v>
      </c>
      <c r="S17" s="1452">
        <f>メイン!C59</f>
        <v>0</v>
      </c>
    </row>
    <row r="18" spans="2:21">
      <c r="B18" s="1255"/>
      <c r="C18" s="476"/>
      <c r="D18" s="476"/>
      <c r="E18" s="1257" t="s">
        <v>1601</v>
      </c>
      <c r="F18" s="1392">
        <f>IF($U$7=0,0,S25/$U$7)</f>
        <v>0.66666666666666663</v>
      </c>
      <c r="G18" s="474"/>
      <c r="H18" s="1392">
        <f>IF(OR($F$20=$R$6,$F$20=$U$6),CO2データ!I60,IF($F$20=$S$6,CO2データ!L60,CO2データ!O60))</f>
        <v>22.378</v>
      </c>
      <c r="I18" s="1392">
        <f>IF(OR($F$20=$R$6,$F$20=$U$6),CO2データ!J60,IF($F$20=$S$6,CO2データ!M60,CO2データ!P60))</f>
        <v>11.187999999999999</v>
      </c>
      <c r="J18" s="1393">
        <f>IF(OR($F$20=$R$6,$F$20=$U$6),CO2データ!K60,IF($F$20=$S$6,CO2データ!N60,CO2データ!Q60))</f>
        <v>7.4590000000000005</v>
      </c>
      <c r="K18" s="1261">
        <f t="shared" si="1"/>
        <v>3</v>
      </c>
      <c r="L18" s="1394">
        <f t="shared" si="0"/>
        <v>22.378</v>
      </c>
      <c r="M18" s="474"/>
      <c r="N18" s="1261">
        <f t="shared" si="2"/>
        <v>3</v>
      </c>
      <c r="O18" s="1395">
        <f>IF(OR($F$20=$R$6,$F$20=$U$6),CO2データ!I55,IF($F$20=$S$6,CO2データ!L55,CO2データ!O55))</f>
        <v>22.378</v>
      </c>
      <c r="R18" s="1" t="str">
        <f>メイン!B60</f>
        <v xml:space="preserve"> 集会所</v>
      </c>
      <c r="S18" s="1452">
        <f>メイン!C60</f>
        <v>0</v>
      </c>
    </row>
    <row r="19" spans="2:21">
      <c r="B19" s="1255"/>
      <c r="C19" s="476"/>
      <c r="D19" s="476"/>
      <c r="E19" s="476"/>
      <c r="F19" s="476"/>
      <c r="G19" s="476"/>
      <c r="H19" s="476"/>
      <c r="I19" s="1397"/>
      <c r="J19" s="1397"/>
      <c r="K19" s="1398"/>
      <c r="L19" s="1399"/>
      <c r="M19" s="474"/>
      <c r="N19" s="1398"/>
      <c r="O19" s="1400"/>
      <c r="R19" s="1">
        <f>メイン!B61</f>
        <v>0</v>
      </c>
      <c r="S19" s="1452">
        <f>メイン!C61</f>
        <v>0</v>
      </c>
    </row>
    <row r="20" spans="2:21">
      <c r="B20" s="1255"/>
      <c r="C20" s="474"/>
      <c r="D20" s="474" t="s">
        <v>277</v>
      </c>
      <c r="E20" s="474"/>
      <c r="F20" s="1401">
        <f>メイン!C23</f>
        <v>0</v>
      </c>
      <c r="G20" s="474"/>
      <c r="H20" s="1402"/>
      <c r="I20" s="1402"/>
      <c r="J20" s="1402"/>
      <c r="K20" s="1403"/>
      <c r="L20" s="474"/>
      <c r="M20" s="474"/>
      <c r="N20" s="1403"/>
      <c r="O20" s="1404"/>
      <c r="R20" s="1">
        <f>メイン!B62</f>
        <v>0</v>
      </c>
      <c r="S20" s="1452">
        <f>メイン!C62</f>
        <v>0</v>
      </c>
    </row>
    <row r="21" spans="2:21">
      <c r="B21" s="1405"/>
      <c r="C21" s="7"/>
      <c r="D21" s="7" t="s">
        <v>278</v>
      </c>
      <c r="E21" s="7"/>
      <c r="F21" s="1406">
        <f>'条件(標準)'!E31</f>
        <v>0</v>
      </c>
      <c r="G21" s="7"/>
      <c r="H21" s="7"/>
      <c r="I21" s="7"/>
      <c r="J21" s="7"/>
      <c r="K21" s="7"/>
      <c r="L21" s="7"/>
      <c r="M21" s="7"/>
      <c r="N21" s="1407">
        <v>0</v>
      </c>
      <c r="O21" s="1337"/>
      <c r="R21" s="1" t="str">
        <f>メイン!B63</f>
        <v xml:space="preserve"> 工場</v>
      </c>
      <c r="S21" s="1452">
        <f>メイン!C63</f>
        <v>0</v>
      </c>
      <c r="T21" s="1452" t="str">
        <f>メイン!D63</f>
        <v>㎡ 　うち省エネ計画対象面積</v>
      </c>
      <c r="U21" s="1452">
        <f>メイン!E63</f>
        <v>0</v>
      </c>
    </row>
    <row r="22" spans="2:21">
      <c r="B22" s="1405"/>
      <c r="C22" s="7"/>
      <c r="D22" s="7" t="s">
        <v>1977</v>
      </c>
      <c r="E22" s="7"/>
      <c r="F22" s="1406">
        <f>'条件(標準)'!E30</f>
        <v>0</v>
      </c>
      <c r="G22" s="7"/>
      <c r="H22" s="7"/>
      <c r="I22" s="7"/>
      <c r="J22" s="7"/>
      <c r="K22" s="7"/>
      <c r="L22" s="7"/>
      <c r="M22" s="7"/>
      <c r="N22" s="1407">
        <v>0</v>
      </c>
      <c r="O22" s="1337"/>
      <c r="R22" s="1" t="str">
        <f>メイン!B64</f>
        <v xml:space="preserve"> 病院</v>
      </c>
      <c r="S22" s="1452">
        <f>メイン!C64</f>
        <v>0</v>
      </c>
    </row>
    <row r="23" spans="2:21" ht="5.25" customHeight="1" thickBot="1">
      <c r="B23" s="1405"/>
      <c r="C23" s="7"/>
      <c r="D23" s="7"/>
      <c r="E23" s="7"/>
      <c r="F23" s="7"/>
      <c r="G23" s="7"/>
      <c r="H23" s="7"/>
      <c r="I23" s="7"/>
      <c r="J23" s="7"/>
      <c r="K23" s="7"/>
      <c r="L23" s="7"/>
      <c r="M23" s="7"/>
      <c r="N23" s="7"/>
      <c r="O23" s="1337"/>
      <c r="R23" s="1" t="str">
        <f>メイン!B65</f>
        <v xml:space="preserve"> ホテル</v>
      </c>
      <c r="S23" s="1452">
        <f>メイン!C65</f>
        <v>0</v>
      </c>
    </row>
    <row r="24" spans="2:21" ht="14.25" thickBot="1">
      <c r="B24" s="1405"/>
      <c r="C24" s="469" t="s">
        <v>1978</v>
      </c>
      <c r="D24" s="476"/>
      <c r="E24" s="474"/>
      <c r="F24" s="7"/>
      <c r="G24" s="7"/>
      <c r="H24" s="7"/>
      <c r="I24" s="7"/>
      <c r="J24" s="7"/>
      <c r="K24" s="7"/>
      <c r="L24" s="1408">
        <f>SUMPRODUCT(F10:F18,L10:L18)</f>
        <v>19.584666666666667</v>
      </c>
      <c r="M24" s="7"/>
      <c r="N24" s="7"/>
      <c r="O24" s="1408">
        <f>SUMPRODUCT(F10:F18,O10:O18)</f>
        <v>19.584666666666667</v>
      </c>
      <c r="R24" s="1" t="str">
        <f>メイン!B66</f>
        <v xml:space="preserve"> 非住宅　小計</v>
      </c>
      <c r="S24" s="1452">
        <f>メイン!C66</f>
        <v>500</v>
      </c>
    </row>
    <row r="25" spans="2:21">
      <c r="B25" s="1405"/>
      <c r="C25" s="474"/>
      <c r="D25" s="476"/>
      <c r="E25" s="1257"/>
      <c r="F25" s="7"/>
      <c r="G25" s="7"/>
      <c r="H25" s="7"/>
      <c r="I25" s="7"/>
      <c r="J25" s="7"/>
      <c r="K25" s="7"/>
      <c r="L25" s="1409"/>
      <c r="M25" s="7"/>
      <c r="N25" s="7"/>
      <c r="O25" s="1410"/>
      <c r="R25" s="1" t="str">
        <f>メイン!B67</f>
        <v xml:space="preserve"> 集合住宅</v>
      </c>
      <c r="S25" s="1452">
        <f>メイン!C67</f>
        <v>1000</v>
      </c>
    </row>
    <row r="26" spans="2:21" hidden="1">
      <c r="B26" s="1405"/>
      <c r="C26" s="474" t="s">
        <v>1979</v>
      </c>
      <c r="D26" s="7"/>
      <c r="E26" s="476" t="s">
        <v>377</v>
      </c>
      <c r="F26" s="1401">
        <f>メイン!N47</f>
        <v>2</v>
      </c>
      <c r="G26" s="7"/>
      <c r="H26" s="1392">
        <f>IF(OR($F$20=$R$6,$F$20=$U$6),CO2データ!I245,IF($F$20=$S$6,CO2データ!L245,CO2データ!O245))</f>
        <v>60</v>
      </c>
      <c r="I26" s="1392">
        <f>IF(OR($F$20=$R$6,$F$20=$U$6),CO2データ!J245,IF($F$20=$S$6,CO2データ!M245,CO2データ!P245))</f>
        <v>60</v>
      </c>
      <c r="J26" s="1392">
        <f>IF(OR($F$20=$R$6,$F$20=$U$6),CO2データ!K245,IF($F$20=$S$6,CO2データ!N245,CO2データ!Q245))</f>
        <v>60</v>
      </c>
      <c r="K26" s="1411">
        <f t="shared" ref="K26:K34" si="3">K10</f>
        <v>3</v>
      </c>
      <c r="L26" s="1412">
        <f t="shared" ref="L26:L34" si="4">IF($F26=1,IF($K26&lt;4,$H26,IF($K26&lt;5,$I26,$J26)),0)</f>
        <v>0</v>
      </c>
      <c r="M26" s="7"/>
      <c r="N26" s="1261">
        <v>3</v>
      </c>
      <c r="O26" s="1413">
        <f t="shared" ref="O26:O34" si="5">IF($F26=1,IF($N26&lt;4,$H26,IF($N26&lt;5,$I26,$J26)),0)</f>
        <v>0</v>
      </c>
      <c r="R26" t="str">
        <f t="shared" ref="R26:R34" si="6">IF($F26&lt;&gt;1,"",$E26&amp;"部分"&amp;L26&amp;"年,")</f>
        <v/>
      </c>
      <c r="U26" t="str">
        <f t="shared" ref="U26:U34" si="7">IF($F26&lt;&gt;1,"",$E26&amp;"部分"&amp;O26&amp;"年,")</f>
        <v/>
      </c>
    </row>
    <row r="27" spans="2:21" hidden="1">
      <c r="B27" s="1405"/>
      <c r="C27" s="474"/>
      <c r="D27" s="7"/>
      <c r="E27" s="476" t="s">
        <v>378</v>
      </c>
      <c r="F27" s="1401">
        <f>メイン!N50</f>
        <v>0</v>
      </c>
      <c r="G27" s="7"/>
      <c r="H27" s="1392">
        <f>IF(OR($F$20=$R$6,$F$20=$U$6),CO2データ!I246,IF($F$20=$S$6,CO2データ!L246,CO2データ!O246))</f>
        <v>60</v>
      </c>
      <c r="I27" s="1392">
        <f>IF(OR($F$20=$R$6,$F$20=$U$6),CO2データ!J246,IF($F$20=$S$6,CO2データ!M246,CO2データ!P246))</f>
        <v>60</v>
      </c>
      <c r="J27" s="1392">
        <f>IF(OR($F$20=$R$6,$F$20=$U$6),CO2データ!K246,IF($F$20=$S$6,CO2データ!N246,CO2データ!Q246))</f>
        <v>60</v>
      </c>
      <c r="K27" s="1411">
        <f t="shared" si="3"/>
        <v>3</v>
      </c>
      <c r="L27" s="1412">
        <f t="shared" si="4"/>
        <v>0</v>
      </c>
      <c r="M27" s="7"/>
      <c r="N27" s="1261">
        <v>3</v>
      </c>
      <c r="O27" s="1413">
        <f t="shared" si="5"/>
        <v>0</v>
      </c>
      <c r="R27" t="str">
        <f t="shared" si="6"/>
        <v/>
      </c>
      <c r="U27" t="str">
        <f t="shared" si="7"/>
        <v/>
      </c>
    </row>
    <row r="28" spans="2:21" hidden="1">
      <c r="B28" s="1405"/>
      <c r="C28" s="474"/>
      <c r="D28" s="7"/>
      <c r="E28" s="476" t="s">
        <v>379</v>
      </c>
      <c r="F28" s="1401">
        <f>メイン!N55</f>
        <v>0</v>
      </c>
      <c r="G28" s="7"/>
      <c r="H28" s="1392">
        <f>IF(OR($F$20=$R$6,$F$20=$U$6),CO2データ!I247,IF($F$20=$S$6,CO2データ!L247,CO2データ!O247))</f>
        <v>30</v>
      </c>
      <c r="I28" s="1392">
        <f>IF(OR($F$20=$R$6,$F$20=$U$6),CO2データ!J247,IF($F$20=$S$6,CO2データ!M247,CO2データ!P247))</f>
        <v>30</v>
      </c>
      <c r="J28" s="1392">
        <f>IF(OR($F$20=$R$6,$F$20=$U$6),CO2データ!K247,IF($F$20=$S$6,CO2データ!N247,CO2データ!Q247))</f>
        <v>30</v>
      </c>
      <c r="K28" s="1411">
        <f t="shared" si="3"/>
        <v>3</v>
      </c>
      <c r="L28" s="1412">
        <f t="shared" si="4"/>
        <v>0</v>
      </c>
      <c r="M28" s="7"/>
      <c r="N28" s="1261">
        <v>3</v>
      </c>
      <c r="O28" s="1413">
        <f t="shared" si="5"/>
        <v>0</v>
      </c>
      <c r="R28" t="str">
        <f t="shared" si="6"/>
        <v/>
      </c>
      <c r="U28" t="str">
        <f t="shared" si="7"/>
        <v/>
      </c>
    </row>
    <row r="29" spans="2:21" hidden="1">
      <c r="B29" s="1405"/>
      <c r="C29" s="474"/>
      <c r="D29" s="7"/>
      <c r="E29" s="476" t="s">
        <v>380</v>
      </c>
      <c r="F29" s="1401">
        <f>メイン!N59</f>
        <v>0</v>
      </c>
      <c r="G29" s="7"/>
      <c r="H29" s="1392">
        <f>IF(OR($F$20=$R$6,$F$20=$U$6),CO2データ!I248,IF($F$20=$S$6,CO2データ!L248,CO2データ!O248))</f>
        <v>30</v>
      </c>
      <c r="I29" s="1392">
        <f>IF(OR($F$20=$R$6,$F$20=$U$6),CO2データ!J248,IF($F$20=$S$6,CO2データ!M248,CO2データ!P248))</f>
        <v>30</v>
      </c>
      <c r="J29" s="1392">
        <f>IF(OR($F$20=$R$6,$F$20=$U$6),CO2データ!K248,IF($F$20=$S$6,CO2データ!N248,CO2データ!Q248))</f>
        <v>30</v>
      </c>
      <c r="K29" s="1411">
        <f t="shared" si="3"/>
        <v>3</v>
      </c>
      <c r="L29" s="1412">
        <f t="shared" si="4"/>
        <v>0</v>
      </c>
      <c r="M29" s="7"/>
      <c r="N29" s="1261">
        <v>3</v>
      </c>
      <c r="O29" s="1413">
        <f t="shared" si="5"/>
        <v>0</v>
      </c>
      <c r="R29" t="str">
        <f t="shared" si="6"/>
        <v/>
      </c>
      <c r="U29" t="str">
        <f t="shared" si="7"/>
        <v/>
      </c>
    </row>
    <row r="30" spans="2:21" hidden="1">
      <c r="B30" s="1405"/>
      <c r="C30" s="474"/>
      <c r="D30" s="7"/>
      <c r="E30" s="1257" t="s">
        <v>1619</v>
      </c>
      <c r="F30" s="1401">
        <f>メイン!N60</f>
        <v>0</v>
      </c>
      <c r="G30" s="7"/>
      <c r="H30" s="1392">
        <f>IF(OR($F$20=$R$6,$F$20=$U$6),CO2データ!I249,IF($F$20=$S$6,CO2データ!L249,CO2データ!O249))</f>
        <v>60</v>
      </c>
      <c r="I30" s="1392">
        <f>IF(OR($F$20=$R$6,$F$20=$U$6),CO2データ!J249,IF($F$20=$S$6,CO2データ!M249,CO2データ!P249))</f>
        <v>60</v>
      </c>
      <c r="J30" s="1392">
        <f>IF(OR($F$20=$R$6,$F$20=$U$6),CO2データ!K249,IF($F$20=$S$6,CO2データ!N249,CO2データ!Q249))</f>
        <v>60</v>
      </c>
      <c r="K30" s="1411">
        <f t="shared" si="3"/>
        <v>3</v>
      </c>
      <c r="L30" s="1412">
        <f t="shared" si="4"/>
        <v>0</v>
      </c>
      <c r="M30" s="7"/>
      <c r="N30" s="1261">
        <v>3</v>
      </c>
      <c r="O30" s="1413">
        <f t="shared" si="5"/>
        <v>0</v>
      </c>
      <c r="R30" t="str">
        <f t="shared" si="6"/>
        <v/>
      </c>
      <c r="U30" t="str">
        <f t="shared" si="7"/>
        <v/>
      </c>
    </row>
    <row r="31" spans="2:21" hidden="1">
      <c r="B31" s="1405"/>
      <c r="C31" s="474"/>
      <c r="D31" s="7"/>
      <c r="E31" s="1257" t="s">
        <v>385</v>
      </c>
      <c r="F31" s="1401">
        <f>メイン!N63</f>
        <v>0</v>
      </c>
      <c r="G31" s="7"/>
      <c r="H31" s="1392">
        <f>IF(OR($F$20=$R$6,$F$20=$U$6),CO2データ!I250,IF($F$20=$S$6,CO2データ!L250,CO2データ!O250))</f>
        <v>30</v>
      </c>
      <c r="I31" s="1392">
        <f>IF(OR($F$20=$R$6,$F$20=$U$6),CO2データ!J250,IF($F$20=$S$6,CO2データ!M250,CO2データ!P250))</f>
        <v>30</v>
      </c>
      <c r="J31" s="1392">
        <f>IF(OR($F$20=$R$6,$F$20=$U$6),CO2データ!K250,IF($F$20=$S$6,CO2データ!N250,CO2データ!Q250))</f>
        <v>30</v>
      </c>
      <c r="K31" s="1411">
        <f t="shared" si="3"/>
        <v>3</v>
      </c>
      <c r="L31" s="1412">
        <f t="shared" si="4"/>
        <v>0</v>
      </c>
      <c r="M31" s="7"/>
      <c r="N31" s="1261">
        <v>3</v>
      </c>
      <c r="O31" s="1413">
        <f t="shared" si="5"/>
        <v>0</v>
      </c>
      <c r="R31" t="str">
        <f t="shared" si="6"/>
        <v/>
      </c>
      <c r="U31" t="str">
        <f t="shared" si="7"/>
        <v/>
      </c>
    </row>
    <row r="32" spans="2:21" hidden="1">
      <c r="B32" s="1405"/>
      <c r="C32" s="474"/>
      <c r="D32" s="7"/>
      <c r="E32" s="1257" t="s">
        <v>382</v>
      </c>
      <c r="F32" s="1401">
        <f>メイン!N64</f>
        <v>0</v>
      </c>
      <c r="G32" s="7"/>
      <c r="H32" s="1392">
        <f>IF(OR($F$20=$R$6,$F$20=$U$6),CO2データ!I251,IF($F$20=$S$6,CO2データ!L251,CO2データ!O251))</f>
        <v>60</v>
      </c>
      <c r="I32" s="1392">
        <f>IF(OR($F$20=$R$6,$F$20=$U$6),CO2データ!J251,IF($F$20=$S$6,CO2データ!M251,CO2データ!P251))</f>
        <v>60</v>
      </c>
      <c r="J32" s="1392">
        <f>IF(OR($F$20=$R$6,$F$20=$U$6),CO2データ!K251,IF($F$20=$S$6,CO2データ!N251,CO2データ!Q251))</f>
        <v>60</v>
      </c>
      <c r="K32" s="1411">
        <f t="shared" si="3"/>
        <v>3</v>
      </c>
      <c r="L32" s="1412">
        <f t="shared" si="4"/>
        <v>0</v>
      </c>
      <c r="M32" s="7"/>
      <c r="N32" s="1261">
        <v>3</v>
      </c>
      <c r="O32" s="1413">
        <f t="shared" si="5"/>
        <v>0</v>
      </c>
      <c r="R32" t="str">
        <f t="shared" si="6"/>
        <v/>
      </c>
      <c r="U32" t="str">
        <f t="shared" si="7"/>
        <v/>
      </c>
    </row>
    <row r="33" spans="2:21" hidden="1">
      <c r="B33" s="1405"/>
      <c r="C33" s="474"/>
      <c r="D33" s="7"/>
      <c r="E33" s="1257" t="s">
        <v>276</v>
      </c>
      <c r="F33" s="1401">
        <f>メイン!N65</f>
        <v>0</v>
      </c>
      <c r="G33" s="7"/>
      <c r="H33" s="1392">
        <f>IF(OR($F$20=$R$6,$F$20=$U$6),CO2データ!I252,IF($F$20=$S$6,CO2データ!L252,CO2データ!O252))</f>
        <v>60</v>
      </c>
      <c r="I33" s="1392">
        <f>IF(OR($F$20=$R$6,$F$20=$U$6),CO2データ!J252,IF($F$20=$S$6,CO2データ!M252,CO2データ!P252))</f>
        <v>60</v>
      </c>
      <c r="J33" s="1392">
        <f>IF(OR($F$20=$R$6,$F$20=$U$6),CO2データ!K252,IF($F$20=$S$6,CO2データ!N252,CO2データ!Q252))</f>
        <v>60</v>
      </c>
      <c r="K33" s="1411">
        <f t="shared" si="3"/>
        <v>3</v>
      </c>
      <c r="L33" s="1412">
        <f t="shared" si="4"/>
        <v>0</v>
      </c>
      <c r="M33" s="7"/>
      <c r="N33" s="1261">
        <v>3</v>
      </c>
      <c r="O33" s="1413">
        <f t="shared" si="5"/>
        <v>0</v>
      </c>
      <c r="R33" t="str">
        <f t="shared" si="6"/>
        <v/>
      </c>
      <c r="U33" t="str">
        <f t="shared" si="7"/>
        <v/>
      </c>
    </row>
    <row r="34" spans="2:21" hidden="1">
      <c r="B34" s="1405"/>
      <c r="C34" s="474"/>
      <c r="D34" s="7"/>
      <c r="E34" s="1257" t="s">
        <v>384</v>
      </c>
      <c r="F34" s="1401">
        <f>メイン!N67</f>
        <v>1</v>
      </c>
      <c r="G34" s="7"/>
      <c r="H34" s="1392">
        <f>IF(OR($F$20=$R$6,$F$20=$U$6),CO2データ!I253,IF($F$20=$S$6,CO2データ!L253,CO2データ!O253))</f>
        <v>30</v>
      </c>
      <c r="I34" s="1392">
        <f>IF(OR($F$20=$R$6,$F$20=$U$6),CO2データ!J253,IF($F$20=$S$6,CO2データ!M253,CO2データ!P253))</f>
        <v>60</v>
      </c>
      <c r="J34" s="1392">
        <f>IF(OR($F$20=$R$6,$F$20=$U$6),CO2データ!K253,IF($F$20=$S$6,CO2データ!N253,CO2データ!Q253))</f>
        <v>90</v>
      </c>
      <c r="K34" s="1411">
        <f t="shared" si="3"/>
        <v>3</v>
      </c>
      <c r="L34" s="1412">
        <f t="shared" si="4"/>
        <v>30</v>
      </c>
      <c r="M34" s="7"/>
      <c r="N34" s="1261">
        <v>3</v>
      </c>
      <c r="O34" s="1413">
        <f t="shared" si="5"/>
        <v>30</v>
      </c>
      <c r="R34" t="str">
        <f t="shared" si="6"/>
        <v>集合住宅部分30年,</v>
      </c>
      <c r="U34" t="str">
        <f t="shared" si="7"/>
        <v>集合住宅部分30年,</v>
      </c>
    </row>
    <row r="35" spans="2:21" ht="14.25" hidden="1" thickBot="1">
      <c r="B35" s="1405"/>
      <c r="C35" s="474"/>
      <c r="D35" s="7"/>
      <c r="E35" s="1257"/>
      <c r="F35" s="1257"/>
      <c r="G35" s="1257"/>
      <c r="H35" s="1257"/>
      <c r="I35" s="1257"/>
      <c r="J35" s="1257"/>
      <c r="K35" s="1257"/>
      <c r="L35" s="1414" t="str">
        <f>R26&amp;R27&amp;R28&amp;R29&amp;R30&amp;R31&amp;R32&amp;R33&amp;R34&amp;R35</f>
        <v>集合住宅部分30年,他</v>
      </c>
      <c r="M35" s="1257"/>
      <c r="N35" s="1257"/>
      <c r="O35" s="1414" t="str">
        <f>U26&amp;U27&amp;U28&amp;U29&amp;U30&amp;U31&amp;U32&amp;U33&amp;U34&amp;U35</f>
        <v>集合住宅部分30年,他</v>
      </c>
      <c r="R35" t="str">
        <f>IF(SUM(F26:F34)&gt;1,"他","")</f>
        <v>他</v>
      </c>
      <c r="U35" t="str">
        <f>IF(SUM(F26:F34)&gt;1,"他","")</f>
        <v>他</v>
      </c>
    </row>
    <row r="36" spans="2:21" hidden="1">
      <c r="B36" s="1405"/>
      <c r="C36" s="474"/>
      <c r="D36" s="7"/>
      <c r="E36" s="1257"/>
      <c r="F36" s="1257"/>
      <c r="G36" s="1257"/>
      <c r="H36" s="1257"/>
      <c r="I36" s="1257"/>
      <c r="J36" s="1257"/>
      <c r="K36" s="1257"/>
      <c r="L36" s="1257"/>
      <c r="M36" s="1257"/>
      <c r="N36" s="1257"/>
      <c r="O36" s="1415"/>
    </row>
    <row r="37" spans="2:21" hidden="1">
      <c r="B37" s="1416"/>
      <c r="C37" s="1417" t="s">
        <v>1980</v>
      </c>
      <c r="D37" s="1417"/>
      <c r="E37" s="1254"/>
      <c r="F37" s="1254"/>
      <c r="G37" s="1254"/>
      <c r="H37" s="1418"/>
      <c r="I37" s="477" t="s">
        <v>1981</v>
      </c>
      <c r="J37" s="477" t="s">
        <v>1982</v>
      </c>
      <c r="K37" s="1419"/>
      <c r="L37" s="1419"/>
      <c r="M37" s="1419"/>
      <c r="N37" s="1419"/>
      <c r="O37" s="1420"/>
    </row>
    <row r="38" spans="2:21" hidden="1">
      <c r="B38" s="1416"/>
      <c r="C38" s="1254"/>
      <c r="D38" s="1254" t="s">
        <v>1464</v>
      </c>
      <c r="E38" s="1254"/>
      <c r="F38" s="1392">
        <f>F10</f>
        <v>0.33333333333333331</v>
      </c>
      <c r="G38" s="1254"/>
      <c r="H38" s="1392">
        <f>IF(OR($F$20=$R$6,$F$20=$U$6),CO2データ!I256,IF($F$20=$S$6,CO2データ!L256,CO2データ!O256))</f>
        <v>0.69599999999999995</v>
      </c>
      <c r="I38" s="1392">
        <f>IF(OR($F$20=$R$6,$F$20=$U$6),CO2データ!J256,IF($F$20=$S$6,CO2データ!M256,CO2データ!P256))</f>
        <v>0</v>
      </c>
      <c r="J38" s="1392">
        <f>IF(OR($F$20=$R$6,$F$20=$U$6),CO2データ!K256,IF($F$20=$S$6,CO2データ!N256,CO2データ!Q256))</f>
        <v>0</v>
      </c>
      <c r="K38" s="1419"/>
      <c r="L38" s="1418">
        <f t="shared" ref="L38:L69" si="8">H38-(H38-I38)*$F$21-(H38-J38)*$F$22</f>
        <v>0.69599999999999995</v>
      </c>
      <c r="M38" s="1419"/>
      <c r="N38" s="1418"/>
      <c r="O38" s="1421">
        <f t="shared" ref="O38:O69" si="9">H38</f>
        <v>0.69599999999999995</v>
      </c>
      <c r="P38" t="s">
        <v>1984</v>
      </c>
    </row>
    <row r="39" spans="2:21" hidden="1">
      <c r="B39" s="1416"/>
      <c r="C39" s="1254"/>
      <c r="D39" s="1254"/>
      <c r="E39" s="1254"/>
      <c r="F39" s="1392">
        <f>$F$38</f>
        <v>0.33333333333333331</v>
      </c>
      <c r="G39" s="1254"/>
      <c r="H39" s="1392">
        <f>IF(OR($F$20=$R$6,$F$20=$U$6),CO2データ!I257,IF($F$20=$S$6,CO2データ!L257,CO2データ!O257))</f>
        <v>0</v>
      </c>
      <c r="I39" s="1392">
        <f>IF(OR($F$20=$R$6,$F$20=$U$6),CO2データ!J257,IF($F$20=$S$6,CO2データ!M257,CO2データ!P257))</f>
        <v>0</v>
      </c>
      <c r="J39" s="1392">
        <f>IF(OR($F$20=$R$6,$F$20=$U$6),CO2データ!K257,IF($F$20=$S$6,CO2データ!N257,CO2データ!Q257))</f>
        <v>0.69599999999999995</v>
      </c>
      <c r="K39" s="1419"/>
      <c r="L39" s="1418">
        <f t="shared" si="8"/>
        <v>0</v>
      </c>
      <c r="M39" s="1419"/>
      <c r="N39" s="1418"/>
      <c r="O39" s="1421">
        <f t="shared" si="9"/>
        <v>0</v>
      </c>
      <c r="P39" t="s">
        <v>1984</v>
      </c>
    </row>
    <row r="40" spans="2:21" hidden="1">
      <c r="B40" s="1416"/>
      <c r="C40" s="1254"/>
      <c r="D40" s="1254"/>
      <c r="E40" s="1254"/>
      <c r="F40" s="1392">
        <f>$F$38</f>
        <v>0.33333333333333331</v>
      </c>
      <c r="G40" s="1254"/>
      <c r="H40" s="1392">
        <f>IF(OR($F$20=$R$6,$F$20=$U$6),CO2データ!I258,IF($F$20=$S$6,CO2データ!L258,CO2データ!O258))</f>
        <v>0.1</v>
      </c>
      <c r="I40" s="1392">
        <f>IF(OR($F$20=$R$6,$F$20=$U$6),CO2データ!J258,IF($F$20=$S$6,CO2データ!M258,CO2データ!P258))</f>
        <v>0</v>
      </c>
      <c r="J40" s="1392">
        <f>IF(OR($F$20=$R$6,$F$20=$U$6),CO2データ!K258,IF($F$20=$S$6,CO2データ!N258,CO2データ!Q258))</f>
        <v>0.1</v>
      </c>
      <c r="K40" s="1419"/>
      <c r="L40" s="1418">
        <f t="shared" si="8"/>
        <v>0.1</v>
      </c>
      <c r="M40" s="1419"/>
      <c r="N40" s="1418"/>
      <c r="O40" s="1421">
        <f t="shared" si="9"/>
        <v>0.1</v>
      </c>
      <c r="P40" t="s">
        <v>1987</v>
      </c>
    </row>
    <row r="41" spans="2:21" hidden="1">
      <c r="B41" s="1416"/>
      <c r="C41" s="1254"/>
      <c r="D41" s="1254"/>
      <c r="E41" s="1254"/>
      <c r="F41" s="1392">
        <f>$F$38</f>
        <v>0.33333333333333331</v>
      </c>
      <c r="G41" s="1254"/>
      <c r="H41" s="1392">
        <f>IF(OR($F$20=$R$6,$F$20=$U$6),CO2データ!I259,IF($F$20=$S$6,CO2データ!L259,CO2データ!O259))</f>
        <v>0</v>
      </c>
      <c r="I41" s="1392">
        <f>IF(OR($F$20=$R$6,$F$20=$U$6),CO2データ!J259,IF($F$20=$S$6,CO2データ!M259,CO2データ!P259))</f>
        <v>0</v>
      </c>
      <c r="J41" s="1392">
        <f>IF(OR($F$20=$R$6,$F$20=$U$6),CO2データ!K259,IF($F$20=$S$6,CO2データ!N259,CO2データ!Q259))</f>
        <v>0</v>
      </c>
      <c r="K41" s="1419"/>
      <c r="L41" s="1418">
        <f t="shared" si="8"/>
        <v>0</v>
      </c>
      <c r="M41" s="1419"/>
      <c r="N41" s="1418"/>
      <c r="O41" s="1421">
        <f t="shared" si="9"/>
        <v>0</v>
      </c>
      <c r="P41" t="s">
        <v>1987</v>
      </c>
    </row>
    <row r="42" spans="2:21" hidden="1">
      <c r="B42" s="1416"/>
      <c r="C42" s="1254"/>
      <c r="D42" s="1254"/>
      <c r="E42" s="1254"/>
      <c r="F42" s="1392">
        <f>$F$38</f>
        <v>0.33333333333333331</v>
      </c>
      <c r="G42" s="1254"/>
      <c r="H42" s="1392">
        <f>IF(OR($F$20=$R$6,$F$20=$U$6),CO2データ!I260,IF($F$20=$S$6,CO2データ!L260,CO2データ!O260))</f>
        <v>7.8E-2</v>
      </c>
      <c r="I42" s="1392">
        <f>IF(OR($F$20=$R$6,$F$20=$U$6),CO2データ!J260,IF($F$20=$S$6,CO2データ!M260,CO2データ!P260))</f>
        <v>0</v>
      </c>
      <c r="J42" s="1392">
        <f>IF(OR($F$20=$R$6,$F$20=$U$6),CO2データ!K260,IF($F$20=$S$6,CO2データ!N260,CO2データ!Q260))</f>
        <v>7.8E-2</v>
      </c>
      <c r="K42" s="1419"/>
      <c r="L42" s="1418">
        <f t="shared" si="8"/>
        <v>7.8E-2</v>
      </c>
      <c r="M42" s="1419"/>
      <c r="N42" s="1418"/>
      <c r="O42" s="1421">
        <f t="shared" si="9"/>
        <v>7.8E-2</v>
      </c>
      <c r="P42" t="s">
        <v>1987</v>
      </c>
    </row>
    <row r="43" spans="2:21" hidden="1">
      <c r="B43" s="1416"/>
      <c r="C43" s="1254"/>
      <c r="D43" s="1254"/>
      <c r="E43" s="1254"/>
      <c r="F43" s="1392">
        <f>$F$38</f>
        <v>0.33333333333333331</v>
      </c>
      <c r="G43" s="1254"/>
      <c r="H43" s="1392">
        <f>IF(OR($F$20=$R$6,$F$20=$U$6),CO2データ!I261,IF($F$20=$S$6,CO2データ!L261,CO2データ!O261))</f>
        <v>8.0000000000000002E-3</v>
      </c>
      <c r="I43" s="1392">
        <f>IF(OR($F$20=$R$6,$F$20=$U$6),CO2データ!J261,IF($F$20=$S$6,CO2データ!M261,CO2データ!P261))</f>
        <v>0</v>
      </c>
      <c r="J43" s="1392">
        <f>IF(OR($F$20=$R$6,$F$20=$U$6),CO2データ!K261,IF($F$20=$S$6,CO2データ!N261,CO2データ!Q261))</f>
        <v>8.0000000000000002E-3</v>
      </c>
      <c r="K43" s="1419"/>
      <c r="L43" s="1418">
        <f t="shared" si="8"/>
        <v>8.0000000000000002E-3</v>
      </c>
      <c r="M43" s="1419"/>
      <c r="N43" s="1418"/>
      <c r="O43" s="1421">
        <f t="shared" si="9"/>
        <v>8.0000000000000002E-3</v>
      </c>
      <c r="P43" t="s">
        <v>1987</v>
      </c>
    </row>
    <row r="44" spans="2:21" hidden="1">
      <c r="B44" s="1416"/>
      <c r="C44" s="1254"/>
      <c r="D44" s="1254" t="s">
        <v>1465</v>
      </c>
      <c r="E44" s="1254"/>
      <c r="F44" s="1392">
        <f>F11</f>
        <v>0</v>
      </c>
      <c r="G44" s="1254"/>
      <c r="H44" s="1392">
        <f>IF(OR($F$20=$R$6,$F$20=$U$6),CO2データ!I262,IF($F$20=$S$6,CO2データ!L262,CO2データ!O262))</f>
        <v>0.95799999999999996</v>
      </c>
      <c r="I44" s="1392">
        <f>IF(OR($F$20=$R$6,$F$20=$U$6),CO2データ!J262,IF($F$20=$S$6,CO2データ!M262,CO2データ!P262))</f>
        <v>0</v>
      </c>
      <c r="J44" s="1392">
        <f>IF(OR($F$20=$R$6,$F$20=$U$6),CO2データ!K262,IF($F$20=$S$6,CO2データ!N262,CO2データ!Q262))</f>
        <v>0</v>
      </c>
      <c r="K44" s="1419"/>
      <c r="L44" s="1418">
        <f t="shared" si="8"/>
        <v>0.95799999999999996</v>
      </c>
      <c r="M44" s="1419"/>
      <c r="N44" s="1418"/>
      <c r="O44" s="1421">
        <f t="shared" si="9"/>
        <v>0.95799999999999996</v>
      </c>
      <c r="P44" t="s">
        <v>1984</v>
      </c>
    </row>
    <row r="45" spans="2:21" hidden="1">
      <c r="B45" s="1416"/>
      <c r="C45" s="1254"/>
      <c r="D45" s="1254"/>
      <c r="E45" s="1254"/>
      <c r="F45" s="1392">
        <f>$F$44</f>
        <v>0</v>
      </c>
      <c r="G45" s="1254"/>
      <c r="H45" s="1392">
        <f>IF(OR($F$20=$R$6,$F$20=$U$6),CO2データ!I263,IF($F$20=$S$6,CO2データ!L263,CO2データ!O263))</f>
        <v>0</v>
      </c>
      <c r="I45" s="1392">
        <f>IF(OR($F$20=$R$6,$F$20=$U$6),CO2データ!J263,IF($F$20=$S$6,CO2データ!M263,CO2データ!P263))</f>
        <v>0</v>
      </c>
      <c r="J45" s="1392">
        <f>IF(OR($F$20=$R$6,$F$20=$U$6),CO2データ!K263,IF($F$20=$S$6,CO2データ!N263,CO2データ!Q263))</f>
        <v>0.95799999999999996</v>
      </c>
      <c r="K45" s="1419"/>
      <c r="L45" s="1418">
        <f t="shared" si="8"/>
        <v>0</v>
      </c>
      <c r="M45" s="1419"/>
      <c r="N45" s="1418"/>
      <c r="O45" s="1421">
        <f t="shared" si="9"/>
        <v>0</v>
      </c>
      <c r="P45" t="s">
        <v>1984</v>
      </c>
    </row>
    <row r="46" spans="2:21" hidden="1">
      <c r="B46" s="1416"/>
      <c r="C46" s="1254"/>
      <c r="D46" s="1254"/>
      <c r="E46" s="1254"/>
      <c r="F46" s="1392">
        <f>$F$44</f>
        <v>0</v>
      </c>
      <c r="G46" s="1254"/>
      <c r="H46" s="1392">
        <f>IF(OR($F$20=$R$6,$F$20=$U$6),CO2データ!I264,IF($F$20=$S$6,CO2データ!L264,CO2データ!O264))</f>
        <v>7.8E-2</v>
      </c>
      <c r="I46" s="1392">
        <f>IF(OR($F$20=$R$6,$F$20=$U$6),CO2データ!J264,IF($F$20=$S$6,CO2データ!M264,CO2データ!P264))</f>
        <v>0</v>
      </c>
      <c r="J46" s="1392">
        <f>IF(OR($F$20=$R$6,$F$20=$U$6),CO2データ!K264,IF($F$20=$S$6,CO2データ!N264,CO2データ!Q264))</f>
        <v>7.8E-2</v>
      </c>
      <c r="K46" s="1419"/>
      <c r="L46" s="1418">
        <f t="shared" si="8"/>
        <v>7.8E-2</v>
      </c>
      <c r="M46" s="1419"/>
      <c r="N46" s="1418"/>
      <c r="O46" s="1421">
        <f t="shared" si="9"/>
        <v>7.8E-2</v>
      </c>
      <c r="P46" t="s">
        <v>1987</v>
      </c>
    </row>
    <row r="47" spans="2:21" hidden="1">
      <c r="B47" s="1416"/>
      <c r="C47" s="1254"/>
      <c r="D47" s="1254"/>
      <c r="E47" s="1254"/>
      <c r="F47" s="1392">
        <f>$F$44</f>
        <v>0</v>
      </c>
      <c r="G47" s="1254"/>
      <c r="H47" s="1392">
        <f>IF(OR($F$20=$R$6,$F$20=$U$6),CO2データ!I265,IF($F$20=$S$6,CO2データ!L265,CO2データ!O265))</f>
        <v>0</v>
      </c>
      <c r="I47" s="1392">
        <f>IF(OR($F$20=$R$6,$F$20=$U$6),CO2データ!J265,IF($F$20=$S$6,CO2データ!M265,CO2データ!P265))</f>
        <v>0</v>
      </c>
      <c r="J47" s="1392">
        <f>IF(OR($F$20=$R$6,$F$20=$U$6),CO2データ!K265,IF($F$20=$S$6,CO2データ!N265,CO2データ!Q265))</f>
        <v>0</v>
      </c>
      <c r="K47" s="1419"/>
      <c r="L47" s="1418">
        <f t="shared" si="8"/>
        <v>0</v>
      </c>
      <c r="M47" s="1419"/>
      <c r="N47" s="1418"/>
      <c r="O47" s="1421">
        <f t="shared" si="9"/>
        <v>0</v>
      </c>
      <c r="P47" t="s">
        <v>1987</v>
      </c>
    </row>
    <row r="48" spans="2:21" hidden="1">
      <c r="B48" s="1416"/>
      <c r="C48" s="1254"/>
      <c r="D48" s="1254"/>
      <c r="E48" s="1254"/>
      <c r="F48" s="1392">
        <f>$F$44</f>
        <v>0</v>
      </c>
      <c r="G48" s="1254"/>
      <c r="H48" s="1392">
        <f>IF(OR($F$20=$R$6,$F$20=$U$6),CO2データ!I266,IF($F$20=$S$6,CO2データ!L266,CO2データ!O266))</f>
        <v>0.11</v>
      </c>
      <c r="I48" s="1392">
        <f>IF(OR($F$20=$R$6,$F$20=$U$6),CO2データ!J266,IF($F$20=$S$6,CO2データ!M266,CO2データ!P266))</f>
        <v>0</v>
      </c>
      <c r="J48" s="1392">
        <f>IF(OR($F$20=$R$6,$F$20=$U$6),CO2データ!K266,IF($F$20=$S$6,CO2データ!N266,CO2データ!Q266))</f>
        <v>0.11</v>
      </c>
      <c r="K48" s="1419"/>
      <c r="L48" s="1418">
        <f t="shared" si="8"/>
        <v>0.11</v>
      </c>
      <c r="M48" s="1419"/>
      <c r="N48" s="1418"/>
      <c r="O48" s="1421">
        <f t="shared" si="9"/>
        <v>0.11</v>
      </c>
      <c r="P48" t="s">
        <v>1987</v>
      </c>
    </row>
    <row r="49" spans="2:16" hidden="1">
      <c r="B49" s="1416"/>
      <c r="C49" s="1254"/>
      <c r="D49" s="1254"/>
      <c r="E49" s="1254"/>
      <c r="F49" s="1392">
        <f>$F$44</f>
        <v>0</v>
      </c>
      <c r="G49" s="1254"/>
      <c r="H49" s="1392">
        <f>IF(OR($F$20=$R$6,$F$20=$U$6),CO2データ!I267,IF($F$20=$S$6,CO2データ!L267,CO2データ!O267))</f>
        <v>1.2E-2</v>
      </c>
      <c r="I49" s="1392">
        <f>IF(OR($F$20=$R$6,$F$20=$U$6),CO2データ!J267,IF($F$20=$S$6,CO2データ!M267,CO2データ!P267))</f>
        <v>0</v>
      </c>
      <c r="J49" s="1392">
        <f>IF(OR($F$20=$R$6,$F$20=$U$6),CO2データ!K267,IF($F$20=$S$6,CO2データ!N267,CO2データ!Q267))</f>
        <v>1.167E-2</v>
      </c>
      <c r="K49" s="1419"/>
      <c r="L49" s="1418">
        <f t="shared" si="8"/>
        <v>1.2E-2</v>
      </c>
      <c r="M49" s="1419"/>
      <c r="N49" s="1418"/>
      <c r="O49" s="1421">
        <f t="shared" si="9"/>
        <v>1.2E-2</v>
      </c>
      <c r="P49" t="s">
        <v>1987</v>
      </c>
    </row>
    <row r="50" spans="2:16" hidden="1">
      <c r="B50" s="1416"/>
      <c r="C50" s="1254"/>
      <c r="D50" s="1254" t="s">
        <v>1616</v>
      </c>
      <c r="E50" s="1254"/>
      <c r="F50" s="1392">
        <f>F12</f>
        <v>0</v>
      </c>
      <c r="G50" s="1254"/>
      <c r="H50" s="1392">
        <f>IF(OR($F$20=$R$6,$F$20=$U$6),CO2データ!I268,IF($F$20=$S$6,CO2データ!L268,CO2データ!O268))</f>
        <v>0.307</v>
      </c>
      <c r="I50" s="1392">
        <f>IF(OR($F$20=$R$6,$F$20=$U$6),CO2データ!J268,IF($F$20=$S$6,CO2データ!M268,CO2データ!P268))</f>
        <v>0</v>
      </c>
      <c r="J50" s="1392">
        <f>IF(OR($F$20=$R$6,$F$20=$U$6),CO2データ!K268,IF($F$20=$S$6,CO2データ!N268,CO2データ!Q268))</f>
        <v>0</v>
      </c>
      <c r="K50" s="1419"/>
      <c r="L50" s="1418">
        <f t="shared" si="8"/>
        <v>0.307</v>
      </c>
      <c r="M50" s="1419"/>
      <c r="N50" s="1418"/>
      <c r="O50" s="1421">
        <f t="shared" si="9"/>
        <v>0.307</v>
      </c>
      <c r="P50" t="s">
        <v>1602</v>
      </c>
    </row>
    <row r="51" spans="2:16" hidden="1">
      <c r="B51" s="1416"/>
      <c r="C51" s="1254"/>
      <c r="D51" s="1254"/>
      <c r="E51" s="1254"/>
      <c r="F51" s="1392">
        <f>$F$50</f>
        <v>0</v>
      </c>
      <c r="G51" s="1254"/>
      <c r="H51" s="1392">
        <f>IF(OR($F$20=$R$6,$F$20=$U$6),CO2データ!I269,IF($F$20=$S$6,CO2データ!L269,CO2データ!O269))</f>
        <v>0</v>
      </c>
      <c r="I51" s="1392">
        <f>IF(OR($F$20=$R$6,$F$20=$U$6),CO2データ!J269,IF($F$20=$S$6,CO2データ!M269,CO2データ!P269))</f>
        <v>0</v>
      </c>
      <c r="J51" s="1392">
        <f>IF(OR($F$20=$R$6,$F$20=$U$6),CO2データ!K269,IF($F$20=$S$6,CO2データ!N269,CO2データ!Q269))</f>
        <v>0.307</v>
      </c>
      <c r="K51" s="1419"/>
      <c r="L51" s="1418">
        <f t="shared" si="8"/>
        <v>0</v>
      </c>
      <c r="M51" s="1419"/>
      <c r="N51" s="1418"/>
      <c r="O51" s="1421">
        <f t="shared" si="9"/>
        <v>0</v>
      </c>
      <c r="P51" t="s">
        <v>1984</v>
      </c>
    </row>
    <row r="52" spans="2:16" hidden="1">
      <c r="B52" s="1416"/>
      <c r="C52" s="1254"/>
      <c r="D52" s="1254"/>
      <c r="E52" s="1254"/>
      <c r="F52" s="1392">
        <f>$F$50</f>
        <v>0</v>
      </c>
      <c r="G52" s="1254"/>
      <c r="H52" s="1392">
        <f>IF(OR($F$20=$R$6,$F$20=$U$6),CO2データ!I270,IF($F$20=$S$6,CO2データ!L270,CO2データ!O270))</f>
        <v>7.0999999999999994E-2</v>
      </c>
      <c r="I52" s="1392">
        <f>IF(OR($F$20=$R$6,$F$20=$U$6),CO2データ!J270,IF($F$20=$S$6,CO2データ!M270,CO2データ!P270))</f>
        <v>0</v>
      </c>
      <c r="J52" s="1392">
        <f>IF(OR($F$20=$R$6,$F$20=$U$6),CO2データ!K270,IF($F$20=$S$6,CO2データ!N270,CO2データ!Q270))</f>
        <v>7.0999999999999994E-2</v>
      </c>
      <c r="K52" s="1419"/>
      <c r="L52" s="1418">
        <f t="shared" si="8"/>
        <v>7.0999999999999994E-2</v>
      </c>
      <c r="M52" s="1419"/>
      <c r="N52" s="1418"/>
      <c r="O52" s="1421">
        <f t="shared" si="9"/>
        <v>7.0999999999999994E-2</v>
      </c>
      <c r="P52" t="s">
        <v>1987</v>
      </c>
    </row>
    <row r="53" spans="2:16" hidden="1">
      <c r="B53" s="1416"/>
      <c r="C53" s="1254"/>
      <c r="D53" s="1254"/>
      <c r="E53" s="1254"/>
      <c r="F53" s="1392">
        <f>$F$50</f>
        <v>0</v>
      </c>
      <c r="G53" s="1254"/>
      <c r="H53" s="1392">
        <f>IF(OR($F$20=$R$6,$F$20=$U$6),CO2データ!I271,IF($F$20=$S$6,CO2データ!L271,CO2データ!O271))</f>
        <v>0</v>
      </c>
      <c r="I53" s="1392">
        <f>IF(OR($F$20=$R$6,$F$20=$U$6),CO2データ!J271,IF($F$20=$S$6,CO2データ!M271,CO2データ!P271))</f>
        <v>0</v>
      </c>
      <c r="J53" s="1392">
        <f>IF(OR($F$20=$R$6,$F$20=$U$6),CO2データ!K271,IF($F$20=$S$6,CO2データ!N271,CO2データ!Q271))</f>
        <v>0</v>
      </c>
      <c r="K53" s="1419"/>
      <c r="L53" s="1418">
        <f t="shared" si="8"/>
        <v>0</v>
      </c>
      <c r="M53" s="1419"/>
      <c r="N53" s="1418"/>
      <c r="O53" s="1421">
        <f t="shared" si="9"/>
        <v>0</v>
      </c>
      <c r="P53" t="s">
        <v>1987</v>
      </c>
    </row>
    <row r="54" spans="2:16" hidden="1">
      <c r="B54" s="1416"/>
      <c r="C54" s="1254"/>
      <c r="D54" s="1254"/>
      <c r="E54" s="1254"/>
      <c r="F54" s="1392">
        <f>$F$50</f>
        <v>0</v>
      </c>
      <c r="G54" s="1254"/>
      <c r="H54" s="1392">
        <f>IF(OR($F$20=$R$6,$F$20=$U$6),CO2データ!I272,IF($F$20=$S$6,CO2データ!L272,CO2データ!O272))</f>
        <v>5.2999999999999999E-2</v>
      </c>
      <c r="I54" s="1392">
        <f>IF(OR($F$20=$R$6,$F$20=$U$6),CO2データ!J272,IF($F$20=$S$6,CO2データ!M272,CO2データ!P272))</f>
        <v>0</v>
      </c>
      <c r="J54" s="1392">
        <f>IF(OR($F$20=$R$6,$F$20=$U$6),CO2データ!K272,IF($F$20=$S$6,CO2データ!N272,CO2データ!Q272))</f>
        <v>5.2999999999999999E-2</v>
      </c>
      <c r="K54" s="1419"/>
      <c r="L54" s="1418">
        <f t="shared" si="8"/>
        <v>5.2999999999999999E-2</v>
      </c>
      <c r="M54" s="1419"/>
      <c r="N54" s="1418"/>
      <c r="O54" s="1421">
        <f t="shared" si="9"/>
        <v>5.2999999999999999E-2</v>
      </c>
      <c r="P54" t="s">
        <v>1987</v>
      </c>
    </row>
    <row r="55" spans="2:16" hidden="1">
      <c r="B55" s="1416"/>
      <c r="C55" s="1254"/>
      <c r="D55" s="1254"/>
      <c r="E55" s="1254"/>
      <c r="F55" s="1392">
        <f>$F$50</f>
        <v>0</v>
      </c>
      <c r="G55" s="1254"/>
      <c r="H55" s="1392">
        <f>IF(OR($F$20=$R$6,$F$20=$U$6),CO2データ!I273,IF($F$20=$S$6,CO2データ!L273,CO2データ!O273))</f>
        <v>5.0000000000000001E-3</v>
      </c>
      <c r="I55" s="1392">
        <f>IF(OR($F$20=$R$6,$F$20=$U$6),CO2データ!J273,IF($F$20=$S$6,CO2データ!M273,CO2データ!P273))</f>
        <v>0</v>
      </c>
      <c r="J55" s="1392">
        <f>IF(OR($F$20=$R$6,$F$20=$U$6),CO2データ!K273,IF($F$20=$S$6,CO2データ!N273,CO2データ!Q273))</f>
        <v>4.8300000000000001E-3</v>
      </c>
      <c r="K55" s="1419"/>
      <c r="L55" s="1418">
        <f t="shared" si="8"/>
        <v>5.0000000000000001E-3</v>
      </c>
      <c r="M55" s="1419"/>
      <c r="N55" s="1418"/>
      <c r="O55" s="1421">
        <f t="shared" si="9"/>
        <v>5.0000000000000001E-3</v>
      </c>
      <c r="P55" t="s">
        <v>1987</v>
      </c>
    </row>
    <row r="56" spans="2:16" hidden="1">
      <c r="B56" s="1416"/>
      <c r="C56" s="1254"/>
      <c r="D56" s="1254" t="s">
        <v>1721</v>
      </c>
      <c r="E56" s="1254"/>
      <c r="F56" s="1392">
        <f>F13</f>
        <v>0</v>
      </c>
      <c r="G56" s="1254"/>
      <c r="H56" s="1392">
        <f>IF(OR($F$20=$R$6,$F$20=$U$6),CO2データ!I274,IF($F$20=$S$6,CO2データ!L274,CO2データ!O274))</f>
        <v>0.307</v>
      </c>
      <c r="I56" s="1392">
        <f>IF(OR($F$20=$R$6,$F$20=$U$6),CO2データ!J274,IF($F$20=$S$6,CO2データ!M274,CO2データ!P274))</f>
        <v>0</v>
      </c>
      <c r="J56" s="1392">
        <f>IF(OR($F$20=$R$6,$F$20=$U$6),CO2データ!K274,IF($F$20=$S$6,CO2データ!N274,CO2データ!Q274))</f>
        <v>0</v>
      </c>
      <c r="K56" s="1419"/>
      <c r="L56" s="1418">
        <f t="shared" si="8"/>
        <v>0.307</v>
      </c>
      <c r="M56" s="1419"/>
      <c r="N56" s="1418"/>
      <c r="O56" s="1421">
        <f t="shared" si="9"/>
        <v>0.307</v>
      </c>
      <c r="P56" t="s">
        <v>1984</v>
      </c>
    </row>
    <row r="57" spans="2:16" hidden="1">
      <c r="B57" s="1416"/>
      <c r="C57" s="1254"/>
      <c r="D57" s="1254"/>
      <c r="E57" s="1254"/>
      <c r="F57" s="1392">
        <f>$F$56</f>
        <v>0</v>
      </c>
      <c r="G57" s="1254"/>
      <c r="H57" s="1392">
        <f>IF(OR($F$20=$R$6,$F$20=$U$6),CO2データ!I275,IF($F$20=$S$6,CO2データ!L275,CO2データ!O275))</f>
        <v>0</v>
      </c>
      <c r="I57" s="1392">
        <f>IF(OR($F$20=$R$6,$F$20=$U$6),CO2データ!J275,IF($F$20=$S$6,CO2データ!M275,CO2データ!P275))</f>
        <v>0</v>
      </c>
      <c r="J57" s="1392">
        <f>IF(OR($F$20=$R$6,$F$20=$U$6),CO2データ!K275,IF($F$20=$S$6,CO2データ!N275,CO2データ!Q275))</f>
        <v>0.307</v>
      </c>
      <c r="K57" s="1419"/>
      <c r="L57" s="1418">
        <f t="shared" si="8"/>
        <v>0</v>
      </c>
      <c r="M57" s="1419"/>
      <c r="N57" s="1418"/>
      <c r="O57" s="1421">
        <f t="shared" si="9"/>
        <v>0</v>
      </c>
      <c r="P57" t="s">
        <v>1984</v>
      </c>
    </row>
    <row r="58" spans="2:16" hidden="1">
      <c r="B58" s="1416"/>
      <c r="C58" s="1254"/>
      <c r="D58" s="1254"/>
      <c r="E58" s="1254"/>
      <c r="F58" s="1392">
        <f>$F$56</f>
        <v>0</v>
      </c>
      <c r="G58" s="1254"/>
      <c r="H58" s="1392">
        <f>IF(OR($F$20=$R$6,$F$20=$U$6),CO2データ!I276,IF($F$20=$S$6,CO2データ!L276,CO2データ!O276))</f>
        <v>7.0999999999999994E-2</v>
      </c>
      <c r="I58" s="1392">
        <f>IF(OR($F$20=$R$6,$F$20=$U$6),CO2データ!J276,IF($F$20=$S$6,CO2データ!M276,CO2データ!P276))</f>
        <v>0</v>
      </c>
      <c r="J58" s="1392">
        <f>IF(OR($F$20=$R$6,$F$20=$U$6),CO2データ!K276,IF($F$20=$S$6,CO2データ!N276,CO2データ!Q276))</f>
        <v>7.0999999999999994E-2</v>
      </c>
      <c r="K58" s="1419"/>
      <c r="L58" s="1418">
        <f t="shared" si="8"/>
        <v>7.0999999999999994E-2</v>
      </c>
      <c r="M58" s="1419"/>
      <c r="N58" s="1418"/>
      <c r="O58" s="1421">
        <f t="shared" si="9"/>
        <v>7.0999999999999994E-2</v>
      </c>
      <c r="P58" t="s">
        <v>1987</v>
      </c>
    </row>
    <row r="59" spans="2:16" hidden="1">
      <c r="B59" s="1416"/>
      <c r="C59" s="1254"/>
      <c r="D59" s="1254"/>
      <c r="E59" s="1254"/>
      <c r="F59" s="1392">
        <f>$F$56</f>
        <v>0</v>
      </c>
      <c r="G59" s="1254"/>
      <c r="H59" s="1392">
        <f>IF(OR($F$20=$R$6,$F$20=$U$6),CO2データ!I277,IF($F$20=$S$6,CO2データ!L277,CO2データ!O277))</f>
        <v>0</v>
      </c>
      <c r="I59" s="1392">
        <f>IF(OR($F$20=$R$6,$F$20=$U$6),CO2データ!J277,IF($F$20=$S$6,CO2データ!M277,CO2データ!P277))</f>
        <v>0</v>
      </c>
      <c r="J59" s="1392">
        <f>IF(OR($F$20=$R$6,$F$20=$U$6),CO2データ!K277,IF($F$20=$S$6,CO2データ!N277,CO2データ!Q277))</f>
        <v>0</v>
      </c>
      <c r="K59" s="1419"/>
      <c r="L59" s="1418">
        <f t="shared" si="8"/>
        <v>0</v>
      </c>
      <c r="M59" s="1419"/>
      <c r="N59" s="1418"/>
      <c r="O59" s="1421">
        <f t="shared" si="9"/>
        <v>0</v>
      </c>
      <c r="P59" t="s">
        <v>1987</v>
      </c>
    </row>
    <row r="60" spans="2:16" hidden="1">
      <c r="B60" s="1416"/>
      <c r="C60" s="1254"/>
      <c r="D60" s="1254"/>
      <c r="E60" s="1254"/>
      <c r="F60" s="1392">
        <f>$F$56</f>
        <v>0</v>
      </c>
      <c r="G60" s="1254"/>
      <c r="H60" s="1392">
        <f>IF(OR($F$20=$R$6,$F$20=$U$6),CO2データ!I278,IF($F$20=$S$6,CO2データ!L278,CO2データ!O278))</f>
        <v>5.2999999999999999E-2</v>
      </c>
      <c r="I60" s="1392">
        <f>IF(OR($F$20=$R$6,$F$20=$U$6),CO2データ!J278,IF($F$20=$S$6,CO2データ!M278,CO2データ!P278))</f>
        <v>0</v>
      </c>
      <c r="J60" s="1392">
        <f>IF(OR($F$20=$R$6,$F$20=$U$6),CO2データ!K278,IF($F$20=$S$6,CO2データ!N278,CO2データ!Q278))</f>
        <v>5.2999999999999999E-2</v>
      </c>
      <c r="K60" s="1419"/>
      <c r="L60" s="1418">
        <f t="shared" si="8"/>
        <v>5.2999999999999999E-2</v>
      </c>
      <c r="M60" s="1419"/>
      <c r="N60" s="1418"/>
      <c r="O60" s="1421">
        <f t="shared" si="9"/>
        <v>5.2999999999999999E-2</v>
      </c>
      <c r="P60" t="s">
        <v>1987</v>
      </c>
    </row>
    <row r="61" spans="2:16" hidden="1">
      <c r="B61" s="1416"/>
      <c r="C61" s="1254"/>
      <c r="D61" s="1254"/>
      <c r="E61" s="1254"/>
      <c r="F61" s="1392">
        <f>$F$56</f>
        <v>0</v>
      </c>
      <c r="G61" s="1254"/>
      <c r="H61" s="1392">
        <f>IF(OR($F$20=$R$6,$F$20=$U$6),CO2データ!I279,IF($F$20=$S$6,CO2データ!L279,CO2データ!O279))</f>
        <v>5.0000000000000001E-3</v>
      </c>
      <c r="I61" s="1392">
        <f>IF(OR($F$20=$R$6,$F$20=$U$6),CO2データ!J279,IF($F$20=$S$6,CO2データ!M279,CO2データ!P279))</f>
        <v>0</v>
      </c>
      <c r="J61" s="1392">
        <f>IF(OR($F$20=$R$6,$F$20=$U$6),CO2データ!K279,IF($F$20=$S$6,CO2データ!N279,CO2データ!Q279))</f>
        <v>4.8300000000000001E-3</v>
      </c>
      <c r="K61" s="1419"/>
      <c r="L61" s="1418">
        <f t="shared" si="8"/>
        <v>5.0000000000000001E-3</v>
      </c>
      <c r="M61" s="1419"/>
      <c r="N61" s="1418"/>
      <c r="O61" s="1421">
        <f t="shared" si="9"/>
        <v>5.0000000000000001E-3</v>
      </c>
      <c r="P61" t="s">
        <v>1987</v>
      </c>
    </row>
    <row r="62" spans="2:16" hidden="1">
      <c r="B62" s="1416"/>
      <c r="C62" s="1254"/>
      <c r="D62" s="1254" t="s">
        <v>1618</v>
      </c>
      <c r="E62" s="1254"/>
      <c r="F62" s="1392">
        <f>F14</f>
        <v>0</v>
      </c>
      <c r="G62" s="1254"/>
      <c r="H62" s="1392">
        <f>IF(OR($F$20=$R$6,$F$20=$U$6),CO2データ!I280,IF($F$20=$S$6,CO2データ!L280,CO2データ!O280))</f>
        <v>0.86199999999999999</v>
      </c>
      <c r="I62" s="1392">
        <f>IF(OR($F$20=$R$6,$F$20=$U$6),CO2データ!J280,IF($F$20=$S$6,CO2データ!M280,CO2データ!P280))</f>
        <v>0</v>
      </c>
      <c r="J62" s="1392">
        <f>IF(OR($F$20=$R$6,$F$20=$U$6),CO2データ!K280,IF($F$20=$S$6,CO2データ!N280,CO2データ!Q280))</f>
        <v>0</v>
      </c>
      <c r="K62" s="1419"/>
      <c r="L62" s="1418">
        <f t="shared" si="8"/>
        <v>0.86199999999999999</v>
      </c>
      <c r="M62" s="1419"/>
      <c r="N62" s="1418"/>
      <c r="O62" s="1421">
        <f t="shared" si="9"/>
        <v>0.86199999999999999</v>
      </c>
      <c r="P62" t="s">
        <v>1984</v>
      </c>
    </row>
    <row r="63" spans="2:16" hidden="1">
      <c r="B63" s="1416"/>
      <c r="C63" s="1254"/>
      <c r="D63" s="1254"/>
      <c r="E63" s="1254"/>
      <c r="F63" s="1392">
        <f>$F$62</f>
        <v>0</v>
      </c>
      <c r="G63" s="1254"/>
      <c r="H63" s="1392">
        <f>IF(OR($F$20=$R$6,$F$20=$U$6),CO2データ!I281,IF($F$20=$S$6,CO2データ!L281,CO2データ!O281))</f>
        <v>0</v>
      </c>
      <c r="I63" s="1392">
        <f>IF(OR($F$20=$R$6,$F$20=$U$6),CO2データ!J281,IF($F$20=$S$6,CO2データ!M281,CO2データ!P281))</f>
        <v>0</v>
      </c>
      <c r="J63" s="1392">
        <f>IF(OR($F$20=$R$6,$F$20=$U$6),CO2データ!K281,IF($F$20=$S$6,CO2データ!N281,CO2データ!Q281))</f>
        <v>0.86199999999999999</v>
      </c>
      <c r="K63" s="1419"/>
      <c r="L63" s="1418">
        <f t="shared" si="8"/>
        <v>0</v>
      </c>
      <c r="M63" s="1419"/>
      <c r="N63" s="1418"/>
      <c r="O63" s="1421">
        <f t="shared" si="9"/>
        <v>0</v>
      </c>
      <c r="P63" t="s">
        <v>1984</v>
      </c>
    </row>
    <row r="64" spans="2:16" hidden="1">
      <c r="B64" s="1416"/>
      <c r="C64" s="1254"/>
      <c r="D64" s="1254"/>
      <c r="E64" s="1254"/>
      <c r="F64" s="1392">
        <f>$F$62</f>
        <v>0</v>
      </c>
      <c r="G64" s="1254"/>
      <c r="H64" s="1392">
        <f>IF(OR($F$20=$R$6,$F$20=$U$6),CO2データ!I282,IF($F$20=$S$6,CO2データ!L282,CO2データ!O282))</f>
        <v>5.8999999999999997E-2</v>
      </c>
      <c r="I64" s="1392">
        <f>IF(OR($F$20=$R$6,$F$20=$U$6),CO2データ!J282,IF($F$20=$S$6,CO2データ!M282,CO2データ!P282))</f>
        <v>0</v>
      </c>
      <c r="J64" s="1392">
        <f>IF(OR($F$20=$R$6,$F$20=$U$6),CO2データ!K282,IF($F$20=$S$6,CO2データ!N282,CO2データ!Q282))</f>
        <v>5.8999999999999997E-2</v>
      </c>
      <c r="K64" s="1419"/>
      <c r="L64" s="1418">
        <f t="shared" si="8"/>
        <v>5.8999999999999997E-2</v>
      </c>
      <c r="M64" s="1419"/>
      <c r="N64" s="1418"/>
      <c r="O64" s="1421">
        <f t="shared" si="9"/>
        <v>5.8999999999999997E-2</v>
      </c>
      <c r="P64" t="s">
        <v>1987</v>
      </c>
    </row>
    <row r="65" spans="2:16" hidden="1">
      <c r="B65" s="1416"/>
      <c r="C65" s="1254"/>
      <c r="D65" s="1254"/>
      <c r="E65" s="1254"/>
      <c r="F65" s="1392">
        <f>$F$62</f>
        <v>0</v>
      </c>
      <c r="G65" s="1254"/>
      <c r="H65" s="1392">
        <f>IF(OR($F$20=$R$6,$F$20=$U$6),CO2データ!I283,IF($F$20=$S$6,CO2データ!L283,CO2データ!O283))</f>
        <v>0</v>
      </c>
      <c r="I65" s="1392">
        <f>IF(OR($F$20=$R$6,$F$20=$U$6),CO2データ!J283,IF($F$20=$S$6,CO2データ!M283,CO2データ!P283))</f>
        <v>0</v>
      </c>
      <c r="J65" s="1392">
        <f>IF(OR($F$20=$R$6,$F$20=$U$6),CO2データ!K283,IF($F$20=$S$6,CO2データ!N283,CO2データ!Q283))</f>
        <v>0</v>
      </c>
      <c r="K65" s="1419"/>
      <c r="L65" s="1418">
        <f t="shared" si="8"/>
        <v>0</v>
      </c>
      <c r="M65" s="1419"/>
      <c r="N65" s="1418"/>
      <c r="O65" s="1421">
        <f t="shared" si="9"/>
        <v>0</v>
      </c>
      <c r="P65" t="s">
        <v>1987</v>
      </c>
    </row>
    <row r="66" spans="2:16" hidden="1">
      <c r="B66" s="1416"/>
      <c r="C66" s="1254"/>
      <c r="D66" s="1254"/>
      <c r="E66" s="1254"/>
      <c r="F66" s="1392">
        <f>$F$62</f>
        <v>0</v>
      </c>
      <c r="G66" s="1254"/>
      <c r="H66" s="1392">
        <f>IF(OR($F$20=$R$6,$F$20=$U$6),CO2データ!I284,IF($F$20=$S$6,CO2データ!L284,CO2データ!O284))</f>
        <v>0.1</v>
      </c>
      <c r="I66" s="1392">
        <f>IF(OR($F$20=$R$6,$F$20=$U$6),CO2データ!J284,IF($F$20=$S$6,CO2データ!M284,CO2データ!P284))</f>
        <v>0</v>
      </c>
      <c r="J66" s="1392">
        <f>IF(OR($F$20=$R$6,$F$20=$U$6),CO2データ!K284,IF($F$20=$S$6,CO2データ!N284,CO2データ!Q284))</f>
        <v>0.1</v>
      </c>
      <c r="K66" s="1419"/>
      <c r="L66" s="1418">
        <f t="shared" si="8"/>
        <v>0.1</v>
      </c>
      <c r="M66" s="1419"/>
      <c r="N66" s="1418"/>
      <c r="O66" s="1421">
        <f t="shared" si="9"/>
        <v>0.1</v>
      </c>
      <c r="P66" t="s">
        <v>1987</v>
      </c>
    </row>
    <row r="67" spans="2:16" hidden="1">
      <c r="B67" s="1416"/>
      <c r="C67" s="1254"/>
      <c r="D67" s="1254"/>
      <c r="E67" s="1254"/>
      <c r="F67" s="1392">
        <f>$F$62</f>
        <v>0</v>
      </c>
      <c r="G67" s="1254"/>
      <c r="H67" s="1392">
        <f>IF(OR($F$20=$R$6,$F$20=$U$6),CO2データ!I285,IF($F$20=$S$6,CO2データ!L285,CO2データ!O285))</f>
        <v>1.2E-2</v>
      </c>
      <c r="I67" s="1392">
        <f>IF(OR($F$20=$R$6,$F$20=$U$6),CO2データ!J285,IF($F$20=$S$6,CO2データ!M285,CO2データ!P285))</f>
        <v>0</v>
      </c>
      <c r="J67" s="1392">
        <f>IF(OR($F$20=$R$6,$F$20=$U$6),CO2データ!K285,IF($F$20=$S$6,CO2データ!N285,CO2データ!Q285))</f>
        <v>1.227E-2</v>
      </c>
      <c r="K67" s="1419"/>
      <c r="L67" s="1418">
        <f t="shared" si="8"/>
        <v>1.2E-2</v>
      </c>
      <c r="M67" s="1419"/>
      <c r="N67" s="1418"/>
      <c r="O67" s="1421">
        <f t="shared" si="9"/>
        <v>1.2E-2</v>
      </c>
      <c r="P67" t="s">
        <v>1987</v>
      </c>
    </row>
    <row r="68" spans="2:16" hidden="1">
      <c r="B68" s="1416"/>
      <c r="C68" s="1254"/>
      <c r="D68" s="1254" t="s">
        <v>385</v>
      </c>
      <c r="E68" s="1254"/>
      <c r="F68" s="1392">
        <f>F15</f>
        <v>0</v>
      </c>
      <c r="G68" s="1254"/>
      <c r="H68" s="1392">
        <f>IF(OR($F$20=$R$6,$F$20=$U$6),CO2データ!I286,IF($F$20=$S$6,CO2データ!L286,CO2データ!O286))</f>
        <v>0.66900000000000004</v>
      </c>
      <c r="I68" s="1392">
        <f>IF(OR($F$20=$R$6,$F$20=$U$6),CO2データ!J286,IF($F$20=$S$6,CO2データ!M286,CO2データ!P286))</f>
        <v>0</v>
      </c>
      <c r="J68" s="1392">
        <f>IF(OR($F$20=$R$6,$F$20=$U$6),CO2データ!K286,IF($F$20=$S$6,CO2データ!N286,CO2データ!Q286))</f>
        <v>0</v>
      </c>
      <c r="K68" s="1419"/>
      <c r="L68" s="1418">
        <f t="shared" si="8"/>
        <v>0.66900000000000004</v>
      </c>
      <c r="M68" s="1419"/>
      <c r="N68" s="1418"/>
      <c r="O68" s="1421">
        <f t="shared" si="9"/>
        <v>0.66900000000000004</v>
      </c>
      <c r="P68" t="s">
        <v>1984</v>
      </c>
    </row>
    <row r="69" spans="2:16" hidden="1">
      <c r="B69" s="1416"/>
      <c r="C69" s="1254"/>
      <c r="D69" s="1254"/>
      <c r="E69" s="1254"/>
      <c r="F69" s="1392">
        <f>$F$68</f>
        <v>0</v>
      </c>
      <c r="G69" s="1254"/>
      <c r="H69" s="1392">
        <f>IF(OR($F$20=$R$6,$F$20=$U$6),CO2データ!I287,IF($F$20=$S$6,CO2データ!L287,CO2データ!O287))</f>
        <v>0</v>
      </c>
      <c r="I69" s="1392">
        <f>IF(OR($F$20=$R$6,$F$20=$U$6),CO2データ!J287,IF($F$20=$S$6,CO2データ!M287,CO2データ!P287))</f>
        <v>0</v>
      </c>
      <c r="J69" s="1392">
        <f>IF(OR($F$20=$R$6,$F$20=$U$6),CO2データ!K287,IF($F$20=$S$6,CO2データ!N287,CO2データ!Q287))</f>
        <v>0.66900000000000004</v>
      </c>
      <c r="K69" s="1419"/>
      <c r="L69" s="1418">
        <f t="shared" si="8"/>
        <v>0</v>
      </c>
      <c r="M69" s="1419"/>
      <c r="N69" s="1418"/>
      <c r="O69" s="1421">
        <f t="shared" si="9"/>
        <v>0</v>
      </c>
      <c r="P69" t="s">
        <v>1984</v>
      </c>
    </row>
    <row r="70" spans="2:16" hidden="1">
      <c r="B70" s="1416"/>
      <c r="C70" s="1254"/>
      <c r="D70" s="1254"/>
      <c r="E70" s="1254"/>
      <c r="F70" s="1392">
        <f>$F$68</f>
        <v>0</v>
      </c>
      <c r="G70" s="1254"/>
      <c r="H70" s="1392">
        <f>IF(OR($F$20=$R$6,$F$20=$U$6),CO2データ!I288,IF($F$20=$S$6,CO2データ!L288,CO2データ!O288))</f>
        <v>7.6999999999999999E-2</v>
      </c>
      <c r="I70" s="1392">
        <f>IF(OR($F$20=$R$6,$F$20=$U$6),CO2データ!J288,IF($F$20=$S$6,CO2データ!M288,CO2データ!P288))</f>
        <v>0</v>
      </c>
      <c r="J70" s="1392">
        <f>IF(OR($F$20=$R$6,$F$20=$U$6),CO2データ!K288,IF($F$20=$S$6,CO2データ!N288,CO2データ!Q288))</f>
        <v>7.6999999999999999E-2</v>
      </c>
      <c r="K70" s="1419"/>
      <c r="L70" s="1418">
        <f t="shared" ref="L70:L91" si="10">H70-(H70-I70)*$F$21-(H70-J70)*$F$22</f>
        <v>7.6999999999999999E-2</v>
      </c>
      <c r="M70" s="1419"/>
      <c r="N70" s="1418"/>
      <c r="O70" s="1421">
        <f t="shared" ref="O70:O91" si="11">H70</f>
        <v>7.6999999999999999E-2</v>
      </c>
      <c r="P70" t="s">
        <v>1987</v>
      </c>
    </row>
    <row r="71" spans="2:16" hidden="1">
      <c r="B71" s="1416"/>
      <c r="C71" s="1254"/>
      <c r="D71" s="1254"/>
      <c r="E71" s="1254"/>
      <c r="F71" s="1392">
        <f>$F$68</f>
        <v>0</v>
      </c>
      <c r="G71" s="1254"/>
      <c r="H71" s="1392">
        <f>IF(OR($F$20=$R$6,$F$20=$U$6),CO2データ!I289,IF($F$20=$S$6,CO2データ!L289,CO2データ!O289))</f>
        <v>0</v>
      </c>
      <c r="I71" s="1392">
        <f>IF(OR($F$20=$R$6,$F$20=$U$6),CO2データ!J289,IF($F$20=$S$6,CO2データ!M289,CO2データ!P289))</f>
        <v>0</v>
      </c>
      <c r="J71" s="1392">
        <f>IF(OR($F$20=$R$6,$F$20=$U$6),CO2データ!K289,IF($F$20=$S$6,CO2データ!N289,CO2データ!Q289))</f>
        <v>0</v>
      </c>
      <c r="K71" s="1419"/>
      <c r="L71" s="1418">
        <f t="shared" si="10"/>
        <v>0</v>
      </c>
      <c r="M71" s="1419"/>
      <c r="N71" s="1418"/>
      <c r="O71" s="1421">
        <f t="shared" si="11"/>
        <v>0</v>
      </c>
      <c r="P71" t="s">
        <v>1987</v>
      </c>
    </row>
    <row r="72" spans="2:16" hidden="1">
      <c r="B72" s="1416"/>
      <c r="C72" s="1254"/>
      <c r="D72" s="1254"/>
      <c r="E72" s="1254"/>
      <c r="F72" s="1392">
        <f>$F$68</f>
        <v>0</v>
      </c>
      <c r="G72" s="1254"/>
      <c r="H72" s="1392">
        <f>IF(OR($F$20=$R$6,$F$20=$U$6),CO2データ!I290,IF($F$20=$S$6,CO2データ!L290,CO2データ!O290))</f>
        <v>0.08</v>
      </c>
      <c r="I72" s="1392">
        <f>IF(OR($F$20=$R$6,$F$20=$U$6),CO2データ!J290,IF($F$20=$S$6,CO2データ!M290,CO2データ!P290))</f>
        <v>0</v>
      </c>
      <c r="J72" s="1392">
        <f>IF(OR($F$20=$R$6,$F$20=$U$6),CO2データ!K290,IF($F$20=$S$6,CO2データ!N290,CO2データ!Q290))</f>
        <v>0.08</v>
      </c>
      <c r="K72" s="1419"/>
      <c r="L72" s="1418">
        <f t="shared" si="10"/>
        <v>0.08</v>
      </c>
      <c r="M72" s="1419"/>
      <c r="N72" s="1418"/>
      <c r="O72" s="1421">
        <f t="shared" si="11"/>
        <v>0.08</v>
      </c>
      <c r="P72" t="s">
        <v>1987</v>
      </c>
    </row>
    <row r="73" spans="2:16" hidden="1">
      <c r="B73" s="1416"/>
      <c r="C73" s="1254"/>
      <c r="D73" s="1254"/>
      <c r="E73" s="1254"/>
      <c r="F73" s="1392">
        <f>$F$68</f>
        <v>0</v>
      </c>
      <c r="G73" s="1254"/>
      <c r="H73" s="1392">
        <f>IF(OR($F$20=$R$6,$F$20=$U$6),CO2データ!I291,IF($F$20=$S$6,CO2データ!L291,CO2データ!O291))</f>
        <v>7.0000000000000001E-3</v>
      </c>
      <c r="I73" s="1392">
        <f>IF(OR($F$20=$R$6,$F$20=$U$6),CO2データ!J291,IF($F$20=$S$6,CO2データ!M291,CO2データ!P291))</f>
        <v>0</v>
      </c>
      <c r="J73" s="1392">
        <f>IF(OR($F$20=$R$6,$F$20=$U$6),CO2データ!K291,IF($F$20=$S$6,CO2データ!N291,CO2データ!Q291))</f>
        <v>6.6899999999999998E-3</v>
      </c>
      <c r="K73" s="1419"/>
      <c r="L73" s="1418">
        <f t="shared" si="10"/>
        <v>7.0000000000000001E-3</v>
      </c>
      <c r="M73" s="1419"/>
      <c r="N73" s="1418"/>
      <c r="O73" s="1421">
        <f t="shared" si="11"/>
        <v>7.0000000000000001E-3</v>
      </c>
      <c r="P73" t="s">
        <v>1987</v>
      </c>
    </row>
    <row r="74" spans="2:16" hidden="1">
      <c r="B74" s="1416"/>
      <c r="C74" s="1254"/>
      <c r="D74" s="1254" t="s">
        <v>1620</v>
      </c>
      <c r="E74" s="1254"/>
      <c r="F74" s="1392">
        <f>F16</f>
        <v>0</v>
      </c>
      <c r="G74" s="1254"/>
      <c r="H74" s="1392">
        <f>IF(OR($F$20=$R$6,$F$20=$U$6),CO2データ!I292,IF($F$20=$S$6,CO2データ!L292,CO2データ!O292))</f>
        <v>0.81200000000000006</v>
      </c>
      <c r="I74" s="1392">
        <f>IF(OR($F$20=$R$6,$F$20=$U$6),CO2データ!J292,IF($F$20=$S$6,CO2データ!M292,CO2データ!P292))</f>
        <v>0</v>
      </c>
      <c r="J74" s="1392">
        <f>IF(OR($F$20=$R$6,$F$20=$U$6),CO2データ!K292,IF($F$20=$S$6,CO2データ!N292,CO2データ!Q292))</f>
        <v>0</v>
      </c>
      <c r="K74" s="1419"/>
      <c r="L74" s="1418">
        <f t="shared" si="10"/>
        <v>0.81200000000000006</v>
      </c>
      <c r="M74" s="1419"/>
      <c r="N74" s="1418"/>
      <c r="O74" s="1421">
        <f t="shared" si="11"/>
        <v>0.81200000000000006</v>
      </c>
      <c r="P74" t="s">
        <v>1984</v>
      </c>
    </row>
    <row r="75" spans="2:16" hidden="1">
      <c r="B75" s="1416"/>
      <c r="C75" s="1254"/>
      <c r="D75" s="1254"/>
      <c r="E75" s="1254"/>
      <c r="F75" s="1392">
        <f>$F$74</f>
        <v>0</v>
      </c>
      <c r="G75" s="1254"/>
      <c r="H75" s="1392">
        <f>IF(OR($F$20=$R$6,$F$20=$U$6),CO2データ!I293,IF($F$20=$S$6,CO2データ!L293,CO2データ!O293))</f>
        <v>0</v>
      </c>
      <c r="I75" s="1392">
        <f>IF(OR($F$20=$R$6,$F$20=$U$6),CO2データ!J293,IF($F$20=$S$6,CO2データ!M293,CO2データ!P293))</f>
        <v>0</v>
      </c>
      <c r="J75" s="1392">
        <f>IF(OR($F$20=$R$6,$F$20=$U$6),CO2データ!K293,IF($F$20=$S$6,CO2データ!N293,CO2データ!Q293))</f>
        <v>0.81200000000000006</v>
      </c>
      <c r="K75" s="1419"/>
      <c r="L75" s="1418">
        <f t="shared" si="10"/>
        <v>0</v>
      </c>
      <c r="M75" s="1419"/>
      <c r="N75" s="1418"/>
      <c r="O75" s="1421">
        <f t="shared" si="11"/>
        <v>0</v>
      </c>
      <c r="P75" t="s">
        <v>1984</v>
      </c>
    </row>
    <row r="76" spans="2:16" hidden="1">
      <c r="B76" s="1416"/>
      <c r="C76" s="1254"/>
      <c r="D76" s="1254"/>
      <c r="E76" s="1254"/>
      <c r="F76" s="1392">
        <f>$F$74</f>
        <v>0</v>
      </c>
      <c r="G76" s="1254"/>
      <c r="H76" s="1392">
        <f>IF(OR($F$20=$R$6,$F$20=$U$6),CO2データ!I294,IF($F$20=$S$6,CO2データ!L294,CO2データ!O294))</f>
        <v>0.66</v>
      </c>
      <c r="I76" s="1392">
        <f>IF(OR($F$20=$R$6,$F$20=$U$6),CO2データ!J294,IF($F$20=$S$6,CO2データ!M294,CO2データ!P294))</f>
        <v>0</v>
      </c>
      <c r="J76" s="1392">
        <f>IF(OR($F$20=$R$6,$F$20=$U$6),CO2データ!K294,IF($F$20=$S$6,CO2データ!N294,CO2データ!Q294))</f>
        <v>6.6000000000000003E-2</v>
      </c>
      <c r="K76" s="1419"/>
      <c r="L76" s="1418">
        <f t="shared" si="10"/>
        <v>0.66</v>
      </c>
      <c r="M76" s="1419"/>
      <c r="N76" s="1418"/>
      <c r="O76" s="1421">
        <f t="shared" si="11"/>
        <v>0.66</v>
      </c>
      <c r="P76" t="s">
        <v>1987</v>
      </c>
    </row>
    <row r="77" spans="2:16" hidden="1">
      <c r="B77" s="1416"/>
      <c r="C77" s="1254"/>
      <c r="D77" s="1254"/>
      <c r="E77" s="1254"/>
      <c r="F77" s="1392">
        <f>$F$74</f>
        <v>0</v>
      </c>
      <c r="G77" s="1254"/>
      <c r="H77" s="1392">
        <f>IF(OR($F$20=$R$6,$F$20=$U$6),CO2データ!I295,IF($F$20=$S$6,CO2データ!L295,CO2データ!O295))</f>
        <v>0</v>
      </c>
      <c r="I77" s="1392">
        <f>IF(OR($F$20=$R$6,$F$20=$U$6),CO2データ!J295,IF($F$20=$S$6,CO2データ!M295,CO2データ!P295))</f>
        <v>0</v>
      </c>
      <c r="J77" s="1392">
        <f>IF(OR($F$20=$R$6,$F$20=$U$6),CO2データ!K295,IF($F$20=$S$6,CO2データ!N295,CO2データ!Q295))</f>
        <v>0</v>
      </c>
      <c r="K77" s="1419"/>
      <c r="L77" s="1418">
        <f t="shared" si="10"/>
        <v>0</v>
      </c>
      <c r="M77" s="1419"/>
      <c r="N77" s="1418"/>
      <c r="O77" s="1421">
        <f t="shared" si="11"/>
        <v>0</v>
      </c>
      <c r="P77" t="s">
        <v>1987</v>
      </c>
    </row>
    <row r="78" spans="2:16" hidden="1">
      <c r="B78" s="1416"/>
      <c r="C78" s="1254"/>
      <c r="D78" s="1254"/>
      <c r="E78" s="1254"/>
      <c r="F78" s="1392">
        <f>$F$74</f>
        <v>0</v>
      </c>
      <c r="G78" s="1254"/>
      <c r="H78" s="1392">
        <f>IF(OR($F$20=$R$6,$F$20=$U$6),CO2データ!I296,IF($F$20=$S$6,CO2データ!L296,CO2データ!O296))</f>
        <v>8.8999999999999996E-2</v>
      </c>
      <c r="I78" s="1392">
        <f>IF(OR($F$20=$R$6,$F$20=$U$6),CO2データ!J296,IF($F$20=$S$6,CO2データ!M296,CO2データ!P296))</f>
        <v>0</v>
      </c>
      <c r="J78" s="1392">
        <f>IF(OR($F$20=$R$6,$F$20=$U$6),CO2データ!K296,IF($F$20=$S$6,CO2データ!N296,CO2データ!Q296))</f>
        <v>8.8999999999999996E-2</v>
      </c>
      <c r="K78" s="1419"/>
      <c r="L78" s="1418">
        <f t="shared" si="10"/>
        <v>8.8999999999999996E-2</v>
      </c>
      <c r="M78" s="1419"/>
      <c r="N78" s="1418"/>
      <c r="O78" s="1421">
        <f t="shared" si="11"/>
        <v>8.8999999999999996E-2</v>
      </c>
      <c r="P78" t="s">
        <v>1987</v>
      </c>
    </row>
    <row r="79" spans="2:16" hidden="1">
      <c r="B79" s="1416"/>
      <c r="C79" s="1254"/>
      <c r="D79" s="1254"/>
      <c r="E79" s="1254"/>
      <c r="F79" s="1392">
        <f>$F$74</f>
        <v>0</v>
      </c>
      <c r="G79" s="1254"/>
      <c r="H79" s="1392">
        <f>IF(OR($F$20=$R$6,$F$20=$U$6),CO2データ!I297,IF($F$20=$S$6,CO2データ!L297,CO2データ!O297))</f>
        <v>0.01</v>
      </c>
      <c r="I79" s="1392">
        <f>IF(OR($F$20=$R$6,$F$20=$U$6),CO2データ!J297,IF($F$20=$S$6,CO2データ!M297,CO2データ!P297))</f>
        <v>0</v>
      </c>
      <c r="J79" s="1392">
        <f>IF(OR($F$20=$R$6,$F$20=$U$6),CO2データ!K297,IF($F$20=$S$6,CO2データ!N297,CO2データ!Q297))</f>
        <v>9.6900000000000007E-3</v>
      </c>
      <c r="K79" s="1419"/>
      <c r="L79" s="1418">
        <f t="shared" si="10"/>
        <v>0.01</v>
      </c>
      <c r="M79" s="1419"/>
      <c r="N79" s="1418"/>
      <c r="O79" s="1421">
        <f t="shared" si="11"/>
        <v>0.01</v>
      </c>
      <c r="P79" t="s">
        <v>1987</v>
      </c>
    </row>
    <row r="80" spans="2:16" hidden="1">
      <c r="B80" s="1416"/>
      <c r="C80" s="1254"/>
      <c r="D80" s="1254" t="s">
        <v>561</v>
      </c>
      <c r="E80" s="1254"/>
      <c r="F80" s="1392">
        <f>F17</f>
        <v>0</v>
      </c>
      <c r="G80" s="1254"/>
      <c r="H80" s="1392">
        <f>IF(OR($F$20=$R$6,$F$20=$U$6),CO2データ!I298,IF($F$20=$S$6,CO2データ!L298,CO2データ!O298))</f>
        <v>0.81599999999999995</v>
      </c>
      <c r="I80" s="1392">
        <f>IF(OR($F$20=$R$6,$F$20=$U$6),CO2データ!J298,IF($F$20=$S$6,CO2データ!M298,CO2データ!P298))</f>
        <v>0</v>
      </c>
      <c r="J80" s="1392">
        <f>IF(OR($F$20=$R$6,$F$20=$U$6),CO2データ!K298,IF($F$20=$S$6,CO2データ!N298,CO2データ!Q298))</f>
        <v>0</v>
      </c>
      <c r="K80" s="1419"/>
      <c r="L80" s="1418">
        <f t="shared" si="10"/>
        <v>0.81599999999999995</v>
      </c>
      <c r="M80" s="1419"/>
      <c r="N80" s="1418"/>
      <c r="O80" s="1421">
        <f t="shared" si="11"/>
        <v>0.81599999999999995</v>
      </c>
      <c r="P80" t="s">
        <v>1984</v>
      </c>
    </row>
    <row r="81" spans="2:16" hidden="1">
      <c r="B81" s="1416"/>
      <c r="C81" s="1254"/>
      <c r="D81" s="1254"/>
      <c r="E81" s="1254"/>
      <c r="F81" s="1392">
        <f>$F$80</f>
        <v>0</v>
      </c>
      <c r="G81" s="1254"/>
      <c r="H81" s="1392">
        <f>IF(OR($F$20=$R$6,$F$20=$U$6),CO2データ!I299,IF($F$20=$S$6,CO2データ!L299,CO2データ!O299))</f>
        <v>0</v>
      </c>
      <c r="I81" s="1392">
        <f>IF(OR($F$20=$R$6,$F$20=$U$6),CO2データ!J299,IF($F$20=$S$6,CO2データ!M299,CO2データ!P299))</f>
        <v>0</v>
      </c>
      <c r="J81" s="1392">
        <f>IF(OR($F$20=$R$6,$F$20=$U$6),CO2データ!K299,IF($F$20=$S$6,CO2データ!N299,CO2データ!Q299))</f>
        <v>0.81599999999999995</v>
      </c>
      <c r="K81" s="1419"/>
      <c r="L81" s="1418">
        <f t="shared" si="10"/>
        <v>0</v>
      </c>
      <c r="M81" s="1419"/>
      <c r="N81" s="1418"/>
      <c r="O81" s="1421">
        <f t="shared" si="11"/>
        <v>0</v>
      </c>
      <c r="P81" t="s">
        <v>1984</v>
      </c>
    </row>
    <row r="82" spans="2:16" hidden="1">
      <c r="B82" s="1416"/>
      <c r="C82" s="1254"/>
      <c r="D82" s="1254"/>
      <c r="E82" s="1254"/>
      <c r="F82" s="1392">
        <f>$F$80</f>
        <v>0</v>
      </c>
      <c r="G82" s="1254"/>
      <c r="H82" s="1392">
        <f>IF(OR($F$20=$R$6,$F$20=$U$6),CO2データ!I300,IF($F$20=$S$6,CO2データ!L300,CO2データ!O300))</f>
        <v>8.4000000000000005E-2</v>
      </c>
      <c r="I82" s="1392">
        <f>IF(OR($F$20=$R$6,$F$20=$U$6),CO2データ!J300,IF($F$20=$S$6,CO2データ!M300,CO2データ!P300))</f>
        <v>0</v>
      </c>
      <c r="J82" s="1392">
        <f>IF(OR($F$20=$R$6,$F$20=$U$6),CO2データ!K300,IF($F$20=$S$6,CO2データ!N300,CO2データ!Q300))</f>
        <v>8.4000000000000005E-2</v>
      </c>
      <c r="K82" s="1419"/>
      <c r="L82" s="1418">
        <f t="shared" si="10"/>
        <v>8.4000000000000005E-2</v>
      </c>
      <c r="M82" s="1419"/>
      <c r="N82" s="1418"/>
      <c r="O82" s="1421">
        <f t="shared" si="11"/>
        <v>8.4000000000000005E-2</v>
      </c>
      <c r="P82" t="s">
        <v>1987</v>
      </c>
    </row>
    <row r="83" spans="2:16" hidden="1">
      <c r="B83" s="1416"/>
      <c r="C83" s="1254"/>
      <c r="D83" s="1254"/>
      <c r="E83" s="1254"/>
      <c r="F83" s="1392">
        <f>$F$80</f>
        <v>0</v>
      </c>
      <c r="G83" s="1254"/>
      <c r="H83" s="1392">
        <f>IF(OR($F$20=$R$6,$F$20=$U$6),CO2データ!I301,IF($F$20=$S$6,CO2データ!L301,CO2データ!O301))</f>
        <v>0</v>
      </c>
      <c r="I83" s="1392">
        <f>IF(OR($F$20=$R$6,$F$20=$U$6),CO2データ!J301,IF($F$20=$S$6,CO2データ!M301,CO2データ!P301))</f>
        <v>0</v>
      </c>
      <c r="J83" s="1392">
        <f>IF(OR($F$20=$R$6,$F$20=$U$6),CO2データ!K301,IF($F$20=$S$6,CO2データ!N301,CO2データ!Q301))</f>
        <v>0</v>
      </c>
      <c r="K83" s="1419"/>
      <c r="L83" s="1418">
        <f t="shared" si="10"/>
        <v>0</v>
      </c>
      <c r="M83" s="1419"/>
      <c r="N83" s="1418"/>
      <c r="O83" s="1421">
        <f t="shared" si="11"/>
        <v>0</v>
      </c>
      <c r="P83" t="s">
        <v>1987</v>
      </c>
    </row>
    <row r="84" spans="2:16" hidden="1">
      <c r="B84" s="1416"/>
      <c r="C84" s="1254"/>
      <c r="D84" s="1254"/>
      <c r="E84" s="1254"/>
      <c r="F84" s="1392">
        <f>$F$80</f>
        <v>0</v>
      </c>
      <c r="G84" s="1254"/>
      <c r="H84" s="1392">
        <f>IF(OR($F$20=$R$6,$F$20=$U$6),CO2データ!I302,IF($F$20=$S$6,CO2データ!L302,CO2データ!O302))</f>
        <v>9.2999999999999999E-2</v>
      </c>
      <c r="I84" s="1392">
        <f>IF(OR($F$20=$R$6,$F$20=$U$6),CO2データ!J302,IF($F$20=$S$6,CO2データ!M302,CO2データ!P302))</f>
        <v>0</v>
      </c>
      <c r="J84" s="1392">
        <f>IF(OR($F$20=$R$6,$F$20=$U$6),CO2データ!K302,IF($F$20=$S$6,CO2データ!N302,CO2データ!Q302))</f>
        <v>9.2999999999999999E-2</v>
      </c>
      <c r="K84" s="1419"/>
      <c r="L84" s="1418">
        <f t="shared" si="10"/>
        <v>9.2999999999999999E-2</v>
      </c>
      <c r="M84" s="1419"/>
      <c r="N84" s="1418"/>
      <c r="O84" s="1421">
        <f t="shared" si="11"/>
        <v>9.2999999999999999E-2</v>
      </c>
      <c r="P84" t="s">
        <v>1987</v>
      </c>
    </row>
    <row r="85" spans="2:16" hidden="1">
      <c r="B85" s="1416"/>
      <c r="C85" s="1254"/>
      <c r="D85" s="1254"/>
      <c r="E85" s="1254"/>
      <c r="F85" s="1392">
        <f>$F$80</f>
        <v>0</v>
      </c>
      <c r="G85" s="1254"/>
      <c r="H85" s="1392">
        <f>IF(OR($F$20=$R$6,$F$20=$U$6),CO2データ!I303,IF($F$20=$S$6,CO2データ!L303,CO2データ!O303))</f>
        <v>1.2E-2</v>
      </c>
      <c r="I85" s="1392">
        <f>IF(OR($F$20=$R$6,$F$20=$U$6),CO2データ!J303,IF($F$20=$S$6,CO2データ!M303,CO2データ!P303))</f>
        <v>0</v>
      </c>
      <c r="J85" s="1392">
        <f>IF(OR($F$20=$R$6,$F$20=$U$6),CO2データ!K303,IF($F$20=$S$6,CO2データ!N303,CO2データ!Q303))</f>
        <v>1.248E-2</v>
      </c>
      <c r="K85" s="1419"/>
      <c r="L85" s="1418">
        <f t="shared" si="10"/>
        <v>1.2E-2</v>
      </c>
      <c r="M85" s="1419"/>
      <c r="N85" s="1418"/>
      <c r="O85" s="1421">
        <f t="shared" si="11"/>
        <v>1.2E-2</v>
      </c>
      <c r="P85" t="s">
        <v>1987</v>
      </c>
    </row>
    <row r="86" spans="2:16" hidden="1">
      <c r="B86" s="1416"/>
      <c r="C86" s="1254"/>
      <c r="D86" s="1254" t="s">
        <v>1722</v>
      </c>
      <c r="E86" s="1254"/>
      <c r="F86" s="1392">
        <f>F18</f>
        <v>0.66666666666666663</v>
      </c>
      <c r="G86" s="1254"/>
      <c r="H86" s="1392">
        <f>IF(OR($F$20=$R$6,$F$20=$U$6),CO2データ!I304,IF($F$20=$S$6,CO2データ!L304,CO2データ!O304))</f>
        <v>0.75</v>
      </c>
      <c r="I86" s="1392">
        <f>IF(OR($F$20=$R$6,$F$20=$U$6),CO2データ!J304,IF($F$20=$S$6,CO2データ!M304,CO2データ!P304))</f>
        <v>0</v>
      </c>
      <c r="J86" s="1392">
        <f>IF(OR($F$20=$R$6,$F$20=$U$6),CO2データ!K304,IF($F$20=$S$6,CO2データ!N304,CO2データ!Q304))</f>
        <v>0</v>
      </c>
      <c r="K86" s="1419"/>
      <c r="L86" s="1418">
        <f t="shared" si="10"/>
        <v>0.75</v>
      </c>
      <c r="M86" s="1419"/>
      <c r="N86" s="1418"/>
      <c r="O86" s="1421">
        <f t="shared" si="11"/>
        <v>0.75</v>
      </c>
      <c r="P86" t="s">
        <v>1984</v>
      </c>
    </row>
    <row r="87" spans="2:16" hidden="1">
      <c r="B87" s="1416"/>
      <c r="C87" s="1254"/>
      <c r="D87" s="1254"/>
      <c r="E87" s="1254"/>
      <c r="F87" s="1392">
        <f>$F$86</f>
        <v>0.66666666666666663</v>
      </c>
      <c r="G87" s="1254"/>
      <c r="H87" s="1392">
        <f>IF(OR($F$20=$R$6,$F$20=$U$6),CO2データ!I305,IF($F$20=$S$6,CO2データ!L305,CO2データ!O305))</f>
        <v>0</v>
      </c>
      <c r="I87" s="1392">
        <f>IF(OR($F$20=$R$6,$F$20=$U$6),CO2データ!J305,IF($F$20=$S$6,CO2データ!M305,CO2データ!P305))</f>
        <v>0</v>
      </c>
      <c r="J87" s="1392">
        <f>IF(OR($F$20=$R$6,$F$20=$U$6),CO2データ!K305,IF($F$20=$S$6,CO2データ!N305,CO2データ!Q305))</f>
        <v>0.75</v>
      </c>
      <c r="K87" s="1419"/>
      <c r="L87" s="1418">
        <f t="shared" si="10"/>
        <v>0</v>
      </c>
      <c r="M87" s="1419"/>
      <c r="N87" s="1418"/>
      <c r="O87" s="1421">
        <f t="shared" si="11"/>
        <v>0</v>
      </c>
      <c r="P87" t="s">
        <v>1984</v>
      </c>
    </row>
    <row r="88" spans="2:16" hidden="1">
      <c r="B88" s="1416"/>
      <c r="C88" s="1254"/>
      <c r="D88" s="1254"/>
      <c r="E88" s="1254"/>
      <c r="F88" s="1392">
        <f>$F$86</f>
        <v>0.66666666666666663</v>
      </c>
      <c r="G88" s="1254"/>
      <c r="H88" s="1392">
        <f>IF(OR($F$20=$R$6,$F$20=$U$6),CO2データ!I306,IF($F$20=$S$6,CO2データ!L306,CO2データ!O306))</f>
        <v>5.1999999999999998E-2</v>
      </c>
      <c r="I88" s="1392">
        <f>IF(OR($F$20=$R$6,$F$20=$U$6),CO2データ!J306,IF($F$20=$S$6,CO2データ!M306,CO2データ!P306))</f>
        <v>0</v>
      </c>
      <c r="J88" s="1392">
        <f>IF(OR($F$20=$R$6,$F$20=$U$6),CO2データ!K306,IF($F$20=$S$6,CO2データ!N306,CO2データ!Q306))</f>
        <v>5.1999999999999998E-2</v>
      </c>
      <c r="K88" s="1419"/>
      <c r="L88" s="1418">
        <f t="shared" si="10"/>
        <v>5.1999999999999998E-2</v>
      </c>
      <c r="M88" s="1419"/>
      <c r="N88" s="1418"/>
      <c r="O88" s="1421">
        <f t="shared" si="11"/>
        <v>5.1999999999999998E-2</v>
      </c>
      <c r="P88" t="s">
        <v>1987</v>
      </c>
    </row>
    <row r="89" spans="2:16" hidden="1">
      <c r="B89" s="1416"/>
      <c r="C89" s="1254"/>
      <c r="D89" s="1254"/>
      <c r="E89" s="1254"/>
      <c r="F89" s="1392">
        <f>$F$86</f>
        <v>0.66666666666666663</v>
      </c>
      <c r="G89" s="1254"/>
      <c r="H89" s="1392">
        <f>IF(OR($F$20=$R$6,$F$20=$U$6),CO2データ!I307,IF($F$20=$S$6,CO2データ!L307,CO2データ!O307))</f>
        <v>0</v>
      </c>
      <c r="I89" s="1392">
        <f>IF(OR($F$20=$R$6,$F$20=$U$6),CO2データ!J307,IF($F$20=$S$6,CO2データ!M307,CO2データ!P307))</f>
        <v>0</v>
      </c>
      <c r="J89" s="1392">
        <f>IF(OR($F$20=$R$6,$F$20=$U$6),CO2データ!K307,IF($F$20=$S$6,CO2データ!N307,CO2データ!Q307))</f>
        <v>0</v>
      </c>
      <c r="K89" s="1419"/>
      <c r="L89" s="1418">
        <f t="shared" si="10"/>
        <v>0</v>
      </c>
      <c r="M89" s="1419"/>
      <c r="N89" s="1418"/>
      <c r="O89" s="1421">
        <f t="shared" si="11"/>
        <v>0</v>
      </c>
      <c r="P89" t="s">
        <v>1987</v>
      </c>
    </row>
    <row r="90" spans="2:16" hidden="1">
      <c r="B90" s="1416"/>
      <c r="C90" s="1254"/>
      <c r="D90" s="1254"/>
      <c r="E90" s="1254"/>
      <c r="F90" s="1392">
        <f>$F$86</f>
        <v>0.66666666666666663</v>
      </c>
      <c r="G90" s="1254"/>
      <c r="H90" s="1392">
        <f>IF(OR($F$20=$R$6,$F$20=$U$6),CO2データ!I308,IF($F$20=$S$6,CO2データ!L308,CO2データ!O308))</f>
        <v>0.13600000000000001</v>
      </c>
      <c r="I90" s="1392">
        <f>IF(OR($F$20=$R$6,$F$20=$U$6),CO2データ!J308,IF($F$20=$S$6,CO2データ!M308,CO2データ!P308))</f>
        <v>0</v>
      </c>
      <c r="J90" s="1392">
        <f>IF(OR($F$20=$R$6,$F$20=$U$6),CO2データ!K308,IF($F$20=$S$6,CO2データ!N308,CO2データ!Q308))</f>
        <v>0.13600000000000001</v>
      </c>
      <c r="K90" s="1419"/>
      <c r="L90" s="1418">
        <f t="shared" si="10"/>
        <v>0.13600000000000001</v>
      </c>
      <c r="M90" s="1419"/>
      <c r="N90" s="1418"/>
      <c r="O90" s="1421">
        <f t="shared" si="11"/>
        <v>0.13600000000000001</v>
      </c>
      <c r="P90" t="s">
        <v>1987</v>
      </c>
    </row>
    <row r="91" spans="2:16" hidden="1">
      <c r="B91" s="1416"/>
      <c r="C91" s="1254"/>
      <c r="D91" s="1254"/>
      <c r="E91" s="1254"/>
      <c r="F91" s="1392">
        <f>$F$86</f>
        <v>0.66666666666666663</v>
      </c>
      <c r="G91" s="1254"/>
      <c r="H91" s="1392">
        <f>IF(OR($F$20=$R$6,$F$20=$U$6),CO2データ!I309,IF($F$20=$S$6,CO2データ!L309,CO2データ!O309))</f>
        <v>0.125</v>
      </c>
      <c r="I91" s="1392">
        <f>IF(OR($F$20=$R$6,$F$20=$U$6),CO2データ!J309,IF($F$20=$S$6,CO2データ!M309,CO2データ!P309))</f>
        <v>0</v>
      </c>
      <c r="J91" s="1392">
        <f>IF(OR($F$20=$R$6,$F$20=$U$6),CO2データ!K309,IF($F$20=$S$6,CO2データ!N309,CO2データ!Q309))</f>
        <v>0.12509999999999999</v>
      </c>
      <c r="K91" s="1419"/>
      <c r="L91" s="1418">
        <f t="shared" si="10"/>
        <v>0.125</v>
      </c>
      <c r="M91" s="1419"/>
      <c r="N91" s="1418"/>
      <c r="O91" s="1421">
        <f t="shared" si="11"/>
        <v>0.125</v>
      </c>
      <c r="P91" t="s">
        <v>1987</v>
      </c>
    </row>
    <row r="92" spans="2:16" hidden="1">
      <c r="B92" s="1405"/>
      <c r="C92" s="7"/>
      <c r="D92" s="7"/>
      <c r="E92" s="7"/>
      <c r="F92" s="7"/>
      <c r="G92" s="7"/>
      <c r="H92" s="7"/>
      <c r="I92" s="7"/>
      <c r="J92" s="7"/>
      <c r="K92" s="7"/>
      <c r="L92" s="7"/>
      <c r="M92" s="7"/>
      <c r="N92" s="7"/>
      <c r="O92" s="1337"/>
    </row>
    <row r="93" spans="2:16" hidden="1">
      <c r="B93" s="1416"/>
      <c r="C93" s="1254" t="s">
        <v>1603</v>
      </c>
      <c r="D93" s="1254" t="s">
        <v>386</v>
      </c>
      <c r="E93" s="1254"/>
      <c r="F93" s="7"/>
      <c r="G93" s="7"/>
      <c r="H93" s="7"/>
      <c r="I93" s="7"/>
      <c r="J93" s="7"/>
      <c r="K93" s="1419"/>
      <c r="L93" s="1422">
        <f t="shared" ref="L93:L98" si="12">$F38*L38+$F44*L44+$F50*L50+$F56*L56+$F62*L62+$F68*L68+$F74*L74+$F80*L80+$F86*L86</f>
        <v>0.73199999999999998</v>
      </c>
      <c r="M93" s="1419"/>
      <c r="N93" s="1423"/>
      <c r="O93" s="1422">
        <f t="shared" ref="O93:O98" si="13">$F38*O38+$F44*O44+$F50*O50+$F56*O56+$F62*O62+$F68*O68+$F74*O74+$F80*O80+$F86*O86</f>
        <v>0.73199999999999998</v>
      </c>
      <c r="P93" t="s">
        <v>1984</v>
      </c>
    </row>
    <row r="94" spans="2:16" hidden="1">
      <c r="B94" s="1416"/>
      <c r="C94" s="1254"/>
      <c r="D94" s="1254"/>
      <c r="E94" s="1254"/>
      <c r="F94" s="7"/>
      <c r="G94" s="7"/>
      <c r="H94" s="7"/>
      <c r="I94" s="7"/>
      <c r="J94" s="7"/>
      <c r="K94" s="1419"/>
      <c r="L94" s="1424">
        <f t="shared" si="12"/>
        <v>0</v>
      </c>
      <c r="M94" s="1419"/>
      <c r="N94" s="1423"/>
      <c r="O94" s="1424">
        <f t="shared" si="13"/>
        <v>0</v>
      </c>
      <c r="P94" t="s">
        <v>1984</v>
      </c>
    </row>
    <row r="95" spans="2:16" hidden="1">
      <c r="B95" s="1416"/>
      <c r="C95" s="1254"/>
      <c r="D95" s="1254"/>
      <c r="E95" s="1254"/>
      <c r="F95" s="7"/>
      <c r="G95" s="7"/>
      <c r="H95" s="7"/>
      <c r="I95" s="7"/>
      <c r="J95" s="7"/>
      <c r="K95" s="1419"/>
      <c r="L95" s="1424">
        <f t="shared" si="12"/>
        <v>6.8000000000000005E-2</v>
      </c>
      <c r="M95" s="1419"/>
      <c r="N95" s="1423"/>
      <c r="O95" s="1424">
        <f t="shared" si="13"/>
        <v>6.8000000000000005E-2</v>
      </c>
      <c r="P95" t="s">
        <v>1987</v>
      </c>
    </row>
    <row r="96" spans="2:16" hidden="1">
      <c r="B96" s="1416"/>
      <c r="C96" s="1254"/>
      <c r="D96" s="1254"/>
      <c r="E96" s="1254"/>
      <c r="F96" s="7"/>
      <c r="G96" s="7"/>
      <c r="H96" s="7"/>
      <c r="I96" s="7"/>
      <c r="J96" s="7"/>
      <c r="K96" s="1419"/>
      <c r="L96" s="1424">
        <f t="shared" si="12"/>
        <v>0</v>
      </c>
      <c r="M96" s="1419"/>
      <c r="N96" s="1423"/>
      <c r="O96" s="1424">
        <f t="shared" si="13"/>
        <v>0</v>
      </c>
      <c r="P96" t="s">
        <v>1987</v>
      </c>
    </row>
    <row r="97" spans="2:16" hidden="1">
      <c r="B97" s="1416"/>
      <c r="C97" s="1254"/>
      <c r="D97" s="1254"/>
      <c r="E97" s="1254"/>
      <c r="F97" s="7"/>
      <c r="G97" s="7"/>
      <c r="H97" s="7"/>
      <c r="I97" s="7"/>
      <c r="J97" s="7"/>
      <c r="K97" s="1419"/>
      <c r="L97" s="1424">
        <f t="shared" si="12"/>
        <v>0.11666666666666667</v>
      </c>
      <c r="M97" s="1419"/>
      <c r="N97" s="1423"/>
      <c r="O97" s="1424">
        <f t="shared" si="13"/>
        <v>0.11666666666666667</v>
      </c>
      <c r="P97" t="s">
        <v>1987</v>
      </c>
    </row>
    <row r="98" spans="2:16" ht="14.25" hidden="1" thickBot="1">
      <c r="B98" s="1416"/>
      <c r="C98" s="1254"/>
      <c r="D98" s="1254"/>
      <c r="E98" s="1254"/>
      <c r="F98" s="7"/>
      <c r="G98" s="7"/>
      <c r="H98" s="7"/>
      <c r="I98" s="7"/>
      <c r="J98" s="7"/>
      <c r="K98" s="1419"/>
      <c r="L98" s="1425">
        <f t="shared" si="12"/>
        <v>8.5999999999999993E-2</v>
      </c>
      <c r="M98" s="1419"/>
      <c r="N98" s="1423"/>
      <c r="O98" s="1425">
        <f t="shared" si="13"/>
        <v>8.5999999999999993E-2</v>
      </c>
      <c r="P98" t="s">
        <v>1987</v>
      </c>
    </row>
    <row r="99" spans="2:16" hidden="1">
      <c r="B99" s="1405"/>
      <c r="C99" s="7"/>
      <c r="D99" s="7"/>
      <c r="E99" s="7"/>
      <c r="F99" s="7"/>
      <c r="G99" s="7"/>
      <c r="H99" s="7"/>
      <c r="I99" s="7"/>
      <c r="J99" s="7"/>
      <c r="K99" s="7"/>
      <c r="L99" s="7"/>
      <c r="M99" s="7"/>
      <c r="N99" s="7"/>
      <c r="O99" s="1337"/>
    </row>
    <row r="100" spans="2:16" ht="16.5">
      <c r="B100" s="465" t="s">
        <v>1604</v>
      </c>
      <c r="C100" s="474"/>
      <c r="D100" s="476"/>
      <c r="E100" s="474"/>
      <c r="F100" s="7"/>
      <c r="G100" s="7"/>
      <c r="H100" s="466"/>
      <c r="I100" s="467"/>
      <c r="J100" s="467"/>
      <c r="K100" s="467"/>
      <c r="L100" s="467"/>
      <c r="M100" s="467"/>
      <c r="N100" s="467"/>
      <c r="O100" s="478"/>
    </row>
    <row r="101" spans="2:16" ht="14.25">
      <c r="B101" s="465"/>
      <c r="C101" s="469" t="s">
        <v>1605</v>
      </c>
      <c r="D101" s="476"/>
      <c r="E101" s="474"/>
      <c r="F101" s="7"/>
      <c r="G101" s="7"/>
      <c r="H101" s="466"/>
      <c r="I101" s="467"/>
      <c r="J101" s="466" t="s">
        <v>1599</v>
      </c>
      <c r="K101" s="467"/>
      <c r="L101" s="466" t="s">
        <v>1599</v>
      </c>
      <c r="M101" s="467"/>
      <c r="N101" s="467"/>
      <c r="O101" s="468" t="s">
        <v>1599</v>
      </c>
    </row>
    <row r="102" spans="2:16">
      <c r="B102" s="1253"/>
      <c r="C102" s="476"/>
      <c r="D102" s="476" t="s">
        <v>275</v>
      </c>
      <c r="E102" s="474"/>
      <c r="F102" s="1391" t="s">
        <v>1336</v>
      </c>
      <c r="G102" s="474"/>
      <c r="H102" s="471" t="s">
        <v>1337</v>
      </c>
      <c r="I102" s="471" t="s">
        <v>1338</v>
      </c>
      <c r="J102" s="471" t="s">
        <v>1339</v>
      </c>
      <c r="K102" s="472" t="s">
        <v>273</v>
      </c>
      <c r="L102" s="473" t="s">
        <v>274</v>
      </c>
      <c r="M102" s="474"/>
      <c r="N102" s="472" t="s">
        <v>273</v>
      </c>
      <c r="O102" s="475" t="s">
        <v>274</v>
      </c>
    </row>
    <row r="103" spans="2:16">
      <c r="B103" s="1253"/>
      <c r="C103" s="476"/>
      <c r="D103" s="476"/>
      <c r="E103" s="476" t="s">
        <v>377</v>
      </c>
      <c r="F103" s="1392">
        <f t="shared" ref="F103:F111" si="14">F10</f>
        <v>0.33333333333333331</v>
      </c>
      <c r="G103" s="474"/>
      <c r="H103" s="1392">
        <f>IF(OR($F$20=$R$6,$F$20=$U$6),CO2データ!I67,IF($F$20=$S$6,CO2データ!L67,CO2データ!O67))</f>
        <v>16.21</v>
      </c>
      <c r="I103" s="1392">
        <f>IF(OR($F$20=$R$6,$F$20=$U$6),CO2データ!J67,IF($F$20=$S$6,CO2データ!M67,CO2データ!P67))</f>
        <v>16.21</v>
      </c>
      <c r="J103" s="1392">
        <f>IF(OR($F$20=$R$6,$F$20=$U$6),CO2データ!K67,IF($F$20=$S$6,CO2データ!N67,CO2データ!Q67))</f>
        <v>16.21</v>
      </c>
      <c r="K103" s="1261">
        <f>スコア!Q83</f>
        <v>3</v>
      </c>
      <c r="L103" s="1394">
        <f t="shared" ref="L103:L111" si="15">IF(K103&gt;=5,$J103,IF(K103&gt;=4,$I103,$H103))</f>
        <v>16.21</v>
      </c>
      <c r="M103" s="474"/>
      <c r="N103" s="1261">
        <v>3</v>
      </c>
      <c r="O103" s="1395">
        <f>IF(OR($F$20=$R$6,$F$20=$U$6),CO2データ!I65,IF($F$20=$S$6,CO2データ!L65,CO2データ!O65))</f>
        <v>16.21</v>
      </c>
    </row>
    <row r="104" spans="2:16">
      <c r="B104" s="1253"/>
      <c r="C104" s="474"/>
      <c r="D104" s="476"/>
      <c r="E104" s="476" t="s">
        <v>378</v>
      </c>
      <c r="F104" s="1392">
        <f t="shared" si="14"/>
        <v>0</v>
      </c>
      <c r="G104" s="474"/>
      <c r="H104" s="1392">
        <f>IF(OR($F$20=$R$6,$F$20=$U$6),CO2データ!I70,IF($F$20=$S$6,CO2データ!L70,CO2データ!O70))</f>
        <v>12.306000000000001</v>
      </c>
      <c r="I104" s="1392">
        <f>IF(OR($F$20=$R$6,$F$20=$U$6),CO2データ!J70,IF($F$20=$S$6,CO2データ!M70,CO2データ!P70))</f>
        <v>12.306000000000001</v>
      </c>
      <c r="J104" s="1392">
        <f>IF(OR($F$20=$R$6,$F$20=$U$6),CO2データ!K70,IF($F$20=$S$6,CO2データ!N70,CO2データ!Q70))</f>
        <v>12.306000000000001</v>
      </c>
      <c r="K104" s="1261">
        <f t="shared" ref="K104:K111" si="16">K$103</f>
        <v>3</v>
      </c>
      <c r="L104" s="1394">
        <f t="shared" si="15"/>
        <v>12.306000000000001</v>
      </c>
      <c r="M104" s="474"/>
      <c r="N104" s="1261">
        <v>3</v>
      </c>
      <c r="O104" s="1395">
        <f>IF(OR($F$20=$R$6,$F$20=$U$6),CO2データ!I68,IF($F$20=$S$6,CO2データ!L68,CO2データ!O68))</f>
        <v>12.306000000000001</v>
      </c>
    </row>
    <row r="105" spans="2:16">
      <c r="B105" s="1253"/>
      <c r="C105" s="474"/>
      <c r="D105" s="7"/>
      <c r="E105" s="476" t="s">
        <v>379</v>
      </c>
      <c r="F105" s="1392">
        <f t="shared" si="14"/>
        <v>0</v>
      </c>
      <c r="G105" s="474"/>
      <c r="H105" s="1392">
        <f>IF(OR($F$20=$R$6,$F$20=$U$6),CO2データ!I73,IF($F$20=$S$6,CO2データ!L73,CO2データ!O73))</f>
        <v>6.91</v>
      </c>
      <c r="I105" s="1392">
        <f>IF(OR($F$20=$R$6,$F$20=$U$6),CO2データ!J73,IF($F$20=$S$6,CO2データ!M73,CO2データ!P73))</f>
        <v>6.91</v>
      </c>
      <c r="J105" s="1392">
        <f>IF(OR($F$20=$R$6,$F$20=$U$6),CO2データ!K73,IF($F$20=$S$6,CO2データ!N73,CO2データ!Q73))</f>
        <v>6.91</v>
      </c>
      <c r="K105" s="1261">
        <f t="shared" si="16"/>
        <v>3</v>
      </c>
      <c r="L105" s="1394">
        <f t="shared" si="15"/>
        <v>6.91</v>
      </c>
      <c r="M105" s="474"/>
      <c r="N105" s="1261">
        <v>3</v>
      </c>
      <c r="O105" s="1395">
        <f>IF(OR($F$20=$R$6,$F$20=$U$6),CO2データ!I71,IF($F$20=$S$6,CO2データ!L71,CO2データ!O71))</f>
        <v>6.91</v>
      </c>
    </row>
    <row r="106" spans="2:16">
      <c r="B106" s="1253"/>
      <c r="C106" s="474"/>
      <c r="D106" s="476"/>
      <c r="E106" s="476" t="s">
        <v>380</v>
      </c>
      <c r="F106" s="1392">
        <f t="shared" si="14"/>
        <v>0</v>
      </c>
      <c r="G106" s="474"/>
      <c r="H106" s="1392">
        <f>IF(OR($F$20=$R$6,$F$20=$U$6),CO2データ!I76,IF($F$20=$S$6,CO2データ!L76,CO2データ!O76))</f>
        <v>6.91</v>
      </c>
      <c r="I106" s="1392">
        <f>IF(OR($F$20=$R$6,$F$20=$U$6),CO2データ!J76,IF($F$20=$S$6,CO2データ!M76,CO2データ!P76))</f>
        <v>6.91</v>
      </c>
      <c r="J106" s="1392">
        <f>IF(OR($F$20=$R$6,$F$20=$U$6),CO2データ!K76,IF($F$20=$S$6,CO2データ!N76,CO2データ!Q76))</f>
        <v>6.91</v>
      </c>
      <c r="K106" s="1261">
        <f t="shared" si="16"/>
        <v>3</v>
      </c>
      <c r="L106" s="1394">
        <f t="shared" si="15"/>
        <v>6.91</v>
      </c>
      <c r="M106" s="474"/>
      <c r="N106" s="1261">
        <v>3</v>
      </c>
      <c r="O106" s="1395">
        <f>IF(OR($F$20=$R$6,$F$20=$U$6),CO2データ!I74,IF($F$20=$S$6,CO2データ!L74,CO2データ!O74))</f>
        <v>6.91</v>
      </c>
    </row>
    <row r="107" spans="2:16">
      <c r="B107" s="1253"/>
      <c r="C107" s="7"/>
      <c r="D107" s="7"/>
      <c r="E107" s="1257" t="s">
        <v>1619</v>
      </c>
      <c r="F107" s="1392">
        <f t="shared" si="14"/>
        <v>0</v>
      </c>
      <c r="G107" s="474"/>
      <c r="H107" s="1392">
        <f>IF(OR($F$20=$R$6,$F$20=$U$6),CO2データ!I79,IF($F$20=$S$6,CO2データ!L79,CO2データ!O79))</f>
        <v>13.251000000000001</v>
      </c>
      <c r="I107" s="1392">
        <f>IF(OR($F$20=$R$6,$F$20=$U$6),CO2データ!J79,IF($F$20=$S$6,CO2データ!M79,CO2データ!P79))</f>
        <v>13.251000000000001</v>
      </c>
      <c r="J107" s="1392">
        <f>IF(OR($F$20=$R$6,$F$20=$U$6),CO2データ!K79,IF($F$20=$S$6,CO2データ!N79,CO2データ!Q79))</f>
        <v>13.251000000000001</v>
      </c>
      <c r="K107" s="1261">
        <f t="shared" si="16"/>
        <v>3</v>
      </c>
      <c r="L107" s="1394">
        <f t="shared" si="15"/>
        <v>13.251000000000001</v>
      </c>
      <c r="M107" s="474"/>
      <c r="N107" s="1261">
        <v>3</v>
      </c>
      <c r="O107" s="1395">
        <f>IF(OR($F$20=$R$6,$F$20=$U$6),CO2データ!I77,IF($F$20=$S$6,CO2データ!L77,CO2データ!O77))</f>
        <v>13.251000000000001</v>
      </c>
    </row>
    <row r="108" spans="2:16">
      <c r="B108" s="1253"/>
      <c r="C108" s="7"/>
      <c r="D108" s="7"/>
      <c r="E108" s="1257" t="s">
        <v>385</v>
      </c>
      <c r="F108" s="1392">
        <f t="shared" si="14"/>
        <v>0</v>
      </c>
      <c r="G108" s="474"/>
      <c r="H108" s="1392">
        <f>IF(OR($F$20=$R$6,$F$20=$U$6),CO2データ!I82,IF($F$20=$S$6,CO2データ!L82,CO2データ!O82))</f>
        <v>9.0609999999999999</v>
      </c>
      <c r="I108" s="1392">
        <f>IF(OR($F$20=$R$6,$F$20=$U$6),CO2データ!J82,IF($F$20=$S$6,CO2データ!M82,CO2データ!P82))</f>
        <v>9.0609999999999999</v>
      </c>
      <c r="J108" s="1392">
        <f>IF(OR($F$20=$R$6,$F$20=$U$6),CO2データ!K82,IF($F$20=$S$6,CO2データ!N82,CO2データ!Q82))</f>
        <v>9.0609999999999999</v>
      </c>
      <c r="K108" s="1261">
        <f t="shared" si="16"/>
        <v>3</v>
      </c>
      <c r="L108" s="1394">
        <f t="shared" si="15"/>
        <v>9.0609999999999999</v>
      </c>
      <c r="M108" s="474"/>
      <c r="N108" s="1261">
        <v>3</v>
      </c>
      <c r="O108" s="1395">
        <f>IF(OR($F$20=$R$6,$F$20=$U$6),CO2データ!I80,IF($F$20=$S$6,CO2データ!L80,CO2データ!O80))</f>
        <v>9.0609999999999999</v>
      </c>
    </row>
    <row r="109" spans="2:16">
      <c r="B109" s="1253"/>
      <c r="C109" s="7"/>
      <c r="D109" s="7"/>
      <c r="E109" s="1257" t="s">
        <v>382</v>
      </c>
      <c r="F109" s="1392">
        <f t="shared" si="14"/>
        <v>0</v>
      </c>
      <c r="G109" s="474"/>
      <c r="H109" s="1392">
        <f>IF(OR($F$20=$R$6,$F$20=$U$6),CO2データ!I85,IF($F$20=$S$6,CO2データ!L85,CO2データ!O85))</f>
        <v>15.893999999999998</v>
      </c>
      <c r="I109" s="1392">
        <f>IF(OR($F$20=$R$6,$F$20=$U$6),CO2データ!J85,IF($F$20=$S$6,CO2データ!M85,CO2データ!P85))</f>
        <v>15.893999999999998</v>
      </c>
      <c r="J109" s="1392">
        <f>IF(OR($F$20=$R$6,$F$20=$U$6),CO2データ!K85,IF($F$20=$S$6,CO2データ!N85,CO2データ!Q85))</f>
        <v>15.893999999999998</v>
      </c>
      <c r="K109" s="1261">
        <f t="shared" si="16"/>
        <v>3</v>
      </c>
      <c r="L109" s="1394">
        <f t="shared" si="15"/>
        <v>15.893999999999998</v>
      </c>
      <c r="M109" s="474"/>
      <c r="N109" s="1261">
        <v>3</v>
      </c>
      <c r="O109" s="1395">
        <f>IF(OR($F$20=$R$6,$F$20=$U$6),CO2データ!I83,IF($F$20=$S$6,CO2データ!L83,CO2データ!O83))</f>
        <v>15.893999999999998</v>
      </c>
    </row>
    <row r="110" spans="2:16">
      <c r="B110" s="1253"/>
      <c r="C110" s="7"/>
      <c r="D110" s="7"/>
      <c r="E110" s="1257" t="s">
        <v>276</v>
      </c>
      <c r="F110" s="1392">
        <f t="shared" si="14"/>
        <v>0</v>
      </c>
      <c r="G110" s="474"/>
      <c r="H110" s="1392">
        <f>IF(OR($F$20=$R$6,$F$20=$U$6),CO2データ!I88,IF($F$20=$S$6,CO2データ!L88,CO2データ!O88))</f>
        <v>13.670999999999999</v>
      </c>
      <c r="I110" s="1392">
        <f>IF(OR($F$20=$R$6,$F$20=$U$6),CO2データ!J88,IF($F$20=$S$6,CO2データ!M88,CO2データ!P88))</f>
        <v>13.670999999999999</v>
      </c>
      <c r="J110" s="1392">
        <f>IF(OR($F$20=$R$6,$F$20=$U$6),CO2データ!K88,IF($F$20=$S$6,CO2データ!N88,CO2データ!Q88))</f>
        <v>13.670999999999999</v>
      </c>
      <c r="K110" s="1261">
        <f t="shared" si="16"/>
        <v>3</v>
      </c>
      <c r="L110" s="1394">
        <f t="shared" si="15"/>
        <v>13.670999999999999</v>
      </c>
      <c r="M110" s="474"/>
      <c r="N110" s="1261">
        <v>3</v>
      </c>
      <c r="O110" s="1395">
        <f>IF(OR($F$20=$R$6,$F$20=$U$6),CO2データ!I86,IF($F$20=$S$6,CO2データ!L86,CO2データ!O86))</f>
        <v>13.670999999999999</v>
      </c>
    </row>
    <row r="111" spans="2:16">
      <c r="B111" s="1253"/>
      <c r="C111" s="7"/>
      <c r="D111" s="7"/>
      <c r="E111" s="1257" t="s">
        <v>384</v>
      </c>
      <c r="F111" s="1392">
        <f t="shared" si="14"/>
        <v>0.66666666666666663</v>
      </c>
      <c r="G111" s="474"/>
      <c r="H111" s="1392">
        <f>IF(OR($F$20=$R$6,$F$20=$U$6),CO2データ!I91,IF($F$20=$S$6,CO2データ!L91,CO2データ!O91))</f>
        <v>8.3640000000000008</v>
      </c>
      <c r="I111" s="1392">
        <f>IF(OR($F$20=$R$6,$F$20=$U$6),CO2データ!J91,IF($F$20=$S$6,CO2データ!M91,CO2データ!P91))</f>
        <v>9.68</v>
      </c>
      <c r="J111" s="1392">
        <f>IF(OR($F$20=$R$6,$F$20=$U$6),CO2データ!K91,IF($F$20=$S$6,CO2データ!N91,CO2データ!Q91))</f>
        <v>10.783000000000001</v>
      </c>
      <c r="K111" s="1261">
        <f t="shared" si="16"/>
        <v>3</v>
      </c>
      <c r="L111" s="1394">
        <f t="shared" si="15"/>
        <v>8.3640000000000008</v>
      </c>
      <c r="M111" s="474"/>
      <c r="N111" s="1261">
        <v>3</v>
      </c>
      <c r="O111" s="1395">
        <f>IF(OR($F$20=$R$6,$F$20=$U$6),CO2データ!I89,IF($F$20=$S$6,CO2データ!L89,CO2データ!O89))</f>
        <v>8.3640000000000008</v>
      </c>
    </row>
    <row r="112" spans="2:16" ht="14.25" thickBot="1">
      <c r="B112" s="1253"/>
      <c r="C112" s="7"/>
      <c r="D112" s="7"/>
      <c r="E112" s="7"/>
      <c r="F112" s="7"/>
      <c r="G112" s="7"/>
      <c r="H112" s="7"/>
      <c r="I112" s="7"/>
      <c r="J112" s="7"/>
      <c r="K112" s="7"/>
      <c r="L112" s="7"/>
      <c r="M112" s="7"/>
      <c r="N112" s="7"/>
      <c r="O112" s="1337"/>
    </row>
    <row r="113" spans="2:18" ht="14.25" thickBot="1">
      <c r="B113" s="1405"/>
      <c r="C113" s="469" t="s">
        <v>1723</v>
      </c>
      <c r="D113" s="476"/>
      <c r="E113" s="1257"/>
      <c r="F113" s="7"/>
      <c r="G113" s="7"/>
      <c r="H113" s="7"/>
      <c r="I113" s="7"/>
      <c r="J113" s="7"/>
      <c r="K113" s="7"/>
      <c r="L113" s="1408">
        <f>SUMPRODUCT(F103:F111,L103:L111)</f>
        <v>10.979333333333333</v>
      </c>
      <c r="M113" s="7"/>
      <c r="N113" s="7"/>
      <c r="O113" s="1408">
        <f>SUMPRODUCT(F103:F111,O103:O111)</f>
        <v>10.979333333333333</v>
      </c>
    </row>
    <row r="114" spans="2:18">
      <c r="B114" s="1253"/>
      <c r="C114" s="7"/>
      <c r="D114" s="7"/>
      <c r="E114" s="7"/>
      <c r="F114" s="7"/>
      <c r="G114" s="7"/>
      <c r="H114" s="7"/>
      <c r="I114" s="7"/>
      <c r="J114" s="7"/>
      <c r="K114" s="7"/>
      <c r="L114" s="7"/>
      <c r="M114" s="7"/>
      <c r="N114" s="7"/>
      <c r="O114" s="1337"/>
    </row>
    <row r="115" spans="2:18" ht="17.25" thickBot="1">
      <c r="B115" s="465" t="s">
        <v>1606</v>
      </c>
      <c r="C115" s="7"/>
      <c r="D115" s="7"/>
      <c r="E115" s="7"/>
      <c r="F115" s="7"/>
      <c r="G115" s="7"/>
      <c r="H115" s="7"/>
      <c r="I115" s="7"/>
      <c r="J115" s="7"/>
      <c r="K115" s="7"/>
      <c r="L115" s="466" t="s">
        <v>1599</v>
      </c>
      <c r="M115" s="474"/>
      <c r="N115" s="474"/>
      <c r="O115" s="468" t="s">
        <v>1599</v>
      </c>
      <c r="R115" t="s">
        <v>1607</v>
      </c>
    </row>
    <row r="116" spans="2:18" ht="14.25" thickBot="1">
      <c r="B116" s="465"/>
      <c r="C116" s="469" t="s">
        <v>1724</v>
      </c>
      <c r="D116" s="7"/>
      <c r="E116" s="7"/>
      <c r="F116" s="7" t="s">
        <v>346</v>
      </c>
      <c r="G116" s="7"/>
      <c r="H116" s="7" t="s">
        <v>1444</v>
      </c>
      <c r="I116" s="7"/>
      <c r="J116" s="7" t="s">
        <v>1942</v>
      </c>
      <c r="K116" s="7"/>
      <c r="L116" s="479">
        <f>SUM(L118:L121)</f>
        <v>39.991498159562845</v>
      </c>
      <c r="M116" s="474"/>
      <c r="N116" s="480" t="s">
        <v>1725</v>
      </c>
      <c r="O116" s="479">
        <f>SUM(O118:O121)</f>
        <v>41.050272198907102</v>
      </c>
    </row>
    <row r="117" spans="2:18">
      <c r="B117" s="465"/>
      <c r="C117" s="469"/>
      <c r="D117" s="7"/>
      <c r="E117" s="7"/>
      <c r="F117" s="1426" t="s">
        <v>2457</v>
      </c>
      <c r="G117" s="7"/>
      <c r="H117" s="462" t="s">
        <v>1446</v>
      </c>
      <c r="I117" s="462" t="s">
        <v>1445</v>
      </c>
      <c r="J117" s="476" t="s">
        <v>1442</v>
      </c>
      <c r="K117" s="7"/>
      <c r="L117" s="481"/>
      <c r="M117" s="474"/>
      <c r="N117" s="480"/>
      <c r="O117" s="1260"/>
    </row>
    <row r="118" spans="2:18">
      <c r="B118" s="465"/>
      <c r="C118" s="469"/>
      <c r="D118" s="7"/>
      <c r="E118" s="7" t="s">
        <v>537</v>
      </c>
      <c r="F118" s="1427">
        <f>計画書!H94</f>
        <v>500</v>
      </c>
      <c r="G118" s="7"/>
      <c r="H118" s="1427">
        <f>計画書!P71</f>
        <v>625</v>
      </c>
      <c r="I118" s="1427">
        <f>計画書!N71</f>
        <v>500</v>
      </c>
      <c r="J118" s="483">
        <f>計画書!L94</f>
        <v>5.0478540983606553E-2</v>
      </c>
      <c r="K118" s="7"/>
      <c r="L118" s="1278">
        <f>IF(F118=0,0,I118*J118/F122*1000)</f>
        <v>16.826180327868851</v>
      </c>
      <c r="M118" s="474"/>
      <c r="N118" s="480"/>
      <c r="O118" s="1428">
        <f>IF(F118=0,0,H118*J118/F122*1000)</f>
        <v>21.032725409836065</v>
      </c>
    </row>
    <row r="119" spans="2:18" hidden="1">
      <c r="B119" s="465"/>
      <c r="C119" s="469"/>
      <c r="D119" s="7"/>
      <c r="E119" s="7"/>
      <c r="F119" s="1427"/>
      <c r="G119" s="7"/>
      <c r="H119" s="1427"/>
      <c r="I119" s="1427"/>
      <c r="J119" s="483"/>
      <c r="K119" s="7"/>
      <c r="L119" s="1278"/>
      <c r="M119" s="474"/>
      <c r="N119" s="480"/>
      <c r="O119" s="1428"/>
    </row>
    <row r="120" spans="2:18">
      <c r="B120" s="465"/>
      <c r="C120" s="469"/>
      <c r="D120" s="7"/>
      <c r="E120" s="7" t="s">
        <v>585</v>
      </c>
      <c r="F120" s="1427">
        <f>メイン!E67</f>
        <v>800</v>
      </c>
      <c r="G120" s="7"/>
      <c r="H120" s="1427">
        <f>計画書!P106</f>
        <v>532.4</v>
      </c>
      <c r="I120" s="1427">
        <f>計画書!N106</f>
        <v>623.20000000000005</v>
      </c>
      <c r="J120" s="483">
        <f>CO2データ!R210</f>
        <v>5.2000622950819669E-2</v>
      </c>
      <c r="K120" s="7"/>
      <c r="L120" s="1278">
        <f>IF(F120=0,0,I120*J120/F122*1000)</f>
        <v>21.604525481967215</v>
      </c>
      <c r="M120" s="474"/>
      <c r="N120" s="480"/>
      <c r="O120" s="1428">
        <f>IF(F120=0,0,H120*J120/F122*1000)</f>
        <v>18.456754439344262</v>
      </c>
    </row>
    <row r="121" spans="2:18">
      <c r="B121" s="465"/>
      <c r="C121" s="469"/>
      <c r="D121" s="7"/>
      <c r="E121" s="7" t="s">
        <v>1443</v>
      </c>
      <c r="F121" s="1427">
        <f>メイン!E68</f>
        <v>200</v>
      </c>
      <c r="G121" s="7"/>
      <c r="H121" s="1427">
        <f>計画書!P109</f>
        <v>50</v>
      </c>
      <c r="I121" s="1427">
        <f>IF(計画書!N109="-",0,計画書!N109)</f>
        <v>50</v>
      </c>
      <c r="J121" s="483">
        <f>CO2データ!R211</f>
        <v>4.6823770491803279E-2</v>
      </c>
      <c r="K121" s="7"/>
      <c r="L121" s="1278">
        <f>IF(F121=0,0,I121*J121/F122*1000)</f>
        <v>1.5607923497267759</v>
      </c>
      <c r="M121" s="474"/>
      <c r="N121" s="480"/>
      <c r="O121" s="1428">
        <f>IF(F121=0,0,H121*J121/F122*1000)</f>
        <v>1.5607923497267759</v>
      </c>
    </row>
    <row r="122" spans="2:18" ht="14.25" thickBot="1">
      <c r="B122" s="465"/>
      <c r="C122" s="7"/>
      <c r="D122" s="7"/>
      <c r="E122" s="1256" t="s">
        <v>2802</v>
      </c>
      <c r="F122" s="1427">
        <f>SUM(F118:F121)</f>
        <v>1500</v>
      </c>
      <c r="G122" s="7"/>
      <c r="H122" s="7"/>
      <c r="I122" s="7"/>
      <c r="J122" s="7"/>
      <c r="K122" s="7"/>
      <c r="L122" s="466"/>
      <c r="M122" s="474"/>
      <c r="N122" s="474"/>
      <c r="O122" s="468"/>
    </row>
    <row r="123" spans="2:18" ht="14.25" thickBot="1">
      <c r="B123" s="1253"/>
      <c r="C123" s="469" t="s">
        <v>1726</v>
      </c>
      <c r="D123" s="7"/>
      <c r="E123" s="7"/>
      <c r="F123" s="7" t="s">
        <v>346</v>
      </c>
      <c r="G123" s="7"/>
      <c r="H123" s="7" t="s">
        <v>1444</v>
      </c>
      <c r="I123" s="7"/>
      <c r="J123" s="7" t="s">
        <v>1942</v>
      </c>
      <c r="K123" s="7"/>
      <c r="L123" s="479">
        <f>SUM(L125:L127)</f>
        <v>39.991498159562845</v>
      </c>
      <c r="M123" s="7"/>
      <c r="N123" s="7"/>
      <c r="O123" s="1337"/>
    </row>
    <row r="124" spans="2:18">
      <c r="B124" s="1253"/>
      <c r="C124" s="469"/>
      <c r="D124" s="7"/>
      <c r="E124" s="7"/>
      <c r="F124" s="1256" t="s">
        <v>1943</v>
      </c>
      <c r="G124" s="7"/>
      <c r="H124" s="1429" t="s">
        <v>93</v>
      </c>
      <c r="I124" s="462" t="s">
        <v>1447</v>
      </c>
      <c r="J124" s="476" t="s">
        <v>1442</v>
      </c>
      <c r="K124" s="7"/>
      <c r="L124" s="7"/>
      <c r="M124" s="7"/>
      <c r="N124" s="7"/>
      <c r="O124" s="1337"/>
    </row>
    <row r="125" spans="2:18">
      <c r="B125" s="1253"/>
      <c r="C125" s="469"/>
      <c r="D125" s="7"/>
      <c r="E125" s="7" t="s">
        <v>537</v>
      </c>
      <c r="F125" s="1427">
        <f>F118</f>
        <v>500</v>
      </c>
      <c r="G125" s="7"/>
      <c r="H125" s="1427">
        <f>計画書!J62</f>
        <v>0</v>
      </c>
      <c r="I125" s="1427">
        <f>I118-H125</f>
        <v>500</v>
      </c>
      <c r="J125" s="483">
        <f>J118</f>
        <v>5.0478540983606553E-2</v>
      </c>
      <c r="K125" s="7"/>
      <c r="L125" s="1278">
        <f>IF(F125=0,0,I125*J125/F128*1000)</f>
        <v>16.826180327868851</v>
      </c>
      <c r="M125" s="7"/>
      <c r="N125" s="7"/>
      <c r="O125" s="1337"/>
    </row>
    <row r="126" spans="2:18">
      <c r="B126" s="1253"/>
      <c r="C126" s="469"/>
      <c r="D126" s="7"/>
      <c r="E126" s="1451" t="s">
        <v>2665</v>
      </c>
      <c r="F126" s="1427">
        <f>F120</f>
        <v>800</v>
      </c>
      <c r="G126" s="7"/>
      <c r="H126" s="1427">
        <f>IF(計画書!H31=計画書!S31,計画書!K62,0)</f>
        <v>0</v>
      </c>
      <c r="I126" s="1427">
        <f>I120-H126</f>
        <v>623.20000000000005</v>
      </c>
      <c r="J126" s="483">
        <f>J120</f>
        <v>5.2000622950819669E-2</v>
      </c>
      <c r="K126" s="7"/>
      <c r="L126" s="1278">
        <f>IF(F126=0,0,I126*J126/F128*1000)</f>
        <v>21.604525481967215</v>
      </c>
      <c r="M126" s="7"/>
      <c r="N126" s="7"/>
      <c r="O126" s="1337"/>
    </row>
    <row r="127" spans="2:18">
      <c r="B127" s="1253"/>
      <c r="C127" s="469"/>
      <c r="D127" s="7"/>
      <c r="E127" s="7" t="s">
        <v>1443</v>
      </c>
      <c r="F127" s="1427">
        <f>F121</f>
        <v>200</v>
      </c>
      <c r="G127" s="7"/>
      <c r="H127" s="1427">
        <f>計画書!L62</f>
        <v>0</v>
      </c>
      <c r="I127" s="1427">
        <f>I121-H127</f>
        <v>50</v>
      </c>
      <c r="J127" s="483">
        <f>J121</f>
        <v>4.6823770491803279E-2</v>
      </c>
      <c r="K127" s="7"/>
      <c r="L127" s="1278">
        <f>IF(F127=0,0,I127*J127/F128*1000)</f>
        <v>1.5607923497267759</v>
      </c>
      <c r="M127" s="7"/>
      <c r="N127" s="7"/>
      <c r="O127" s="1337"/>
    </row>
    <row r="128" spans="2:18">
      <c r="B128" s="1253"/>
      <c r="C128" s="469"/>
      <c r="D128" s="7"/>
      <c r="E128" s="1698" t="s">
        <v>2666</v>
      </c>
      <c r="F128" s="1427">
        <f>SUM(F124:F127)</f>
        <v>1500</v>
      </c>
      <c r="G128" s="7"/>
      <c r="H128" s="7"/>
      <c r="I128" s="7"/>
      <c r="J128" s="7"/>
      <c r="K128" s="7"/>
      <c r="L128" s="7"/>
      <c r="M128" s="7"/>
      <c r="N128" s="7"/>
      <c r="O128" s="1337"/>
    </row>
    <row r="129" spans="2:15" hidden="1">
      <c r="B129" s="1253"/>
      <c r="C129" s="469"/>
      <c r="D129" s="7"/>
      <c r="E129" s="7"/>
      <c r="F129" s="7" t="s">
        <v>1786</v>
      </c>
      <c r="G129" s="7"/>
      <c r="H129" s="1427"/>
      <c r="I129" s="483"/>
      <c r="J129" s="1332"/>
      <c r="K129" s="7"/>
      <c r="L129" s="7"/>
      <c r="M129" s="7"/>
      <c r="N129" s="7"/>
      <c r="O129" s="1337"/>
    </row>
    <row r="130" spans="2:15" hidden="1">
      <c r="B130" s="1253"/>
      <c r="C130" s="469"/>
      <c r="D130" s="7"/>
      <c r="E130" s="7"/>
      <c r="F130" s="7"/>
      <c r="G130" s="7"/>
      <c r="H130" s="474"/>
      <c r="I130" s="7"/>
      <c r="J130" s="7"/>
      <c r="K130" s="7"/>
      <c r="L130" s="1334"/>
      <c r="M130" s="7"/>
      <c r="N130" s="7"/>
      <c r="O130" s="1337"/>
    </row>
    <row r="131" spans="2:15" ht="16.5">
      <c r="B131" s="465" t="s">
        <v>1608</v>
      </c>
      <c r="C131" s="474"/>
      <c r="D131" s="476"/>
      <c r="E131" s="474"/>
      <c r="F131" s="467"/>
      <c r="G131" s="474"/>
      <c r="H131" s="474"/>
      <c r="I131" s="474"/>
      <c r="J131" s="474"/>
      <c r="K131" s="1430"/>
      <c r="L131" s="466" t="s">
        <v>1599</v>
      </c>
      <c r="M131" s="474"/>
      <c r="N131" s="474"/>
      <c r="O131" s="468" t="s">
        <v>1599</v>
      </c>
    </row>
    <row r="132" spans="2:15">
      <c r="B132" s="1255"/>
      <c r="C132" s="474"/>
      <c r="D132" s="476"/>
      <c r="E132" s="474"/>
      <c r="F132" s="467"/>
      <c r="G132" s="474"/>
      <c r="H132" s="474"/>
      <c r="I132" s="474"/>
      <c r="J132" s="474"/>
      <c r="K132" s="1430"/>
      <c r="L132" s="473" t="s">
        <v>274</v>
      </c>
      <c r="M132" s="474"/>
      <c r="N132" s="484"/>
      <c r="O132" s="475" t="s">
        <v>274</v>
      </c>
    </row>
    <row r="133" spans="2:15">
      <c r="B133" s="1255"/>
      <c r="C133" s="485" t="s">
        <v>589</v>
      </c>
      <c r="D133" s="486"/>
      <c r="E133" s="486"/>
      <c r="F133" s="487"/>
      <c r="G133" s="474"/>
      <c r="H133" s="474"/>
      <c r="I133" s="474"/>
      <c r="J133" s="474"/>
      <c r="K133" s="1430"/>
      <c r="L133" s="488">
        <f>L24</f>
        <v>19.584666666666667</v>
      </c>
      <c r="M133" s="474"/>
      <c r="N133" s="474"/>
      <c r="O133" s="489">
        <f>O24</f>
        <v>19.584666666666667</v>
      </c>
    </row>
    <row r="134" spans="2:15">
      <c r="B134" s="1255"/>
      <c r="C134" s="485" t="s">
        <v>1787</v>
      </c>
      <c r="D134" s="486"/>
      <c r="E134" s="486"/>
      <c r="F134" s="487"/>
      <c r="G134" s="474"/>
      <c r="H134" s="474"/>
      <c r="I134" s="474"/>
      <c r="J134" s="474"/>
      <c r="K134" s="1430"/>
      <c r="L134" s="488">
        <f>L113</f>
        <v>10.979333333333333</v>
      </c>
      <c r="M134" s="474"/>
      <c r="N134" s="474"/>
      <c r="O134" s="489">
        <f>O113</f>
        <v>10.979333333333333</v>
      </c>
    </row>
    <row r="135" spans="2:15">
      <c r="B135" s="1255"/>
      <c r="C135" s="485" t="s">
        <v>591</v>
      </c>
      <c r="D135" s="486"/>
      <c r="E135" s="486"/>
      <c r="F135" s="487"/>
      <c r="G135" s="474"/>
      <c r="H135" s="474"/>
      <c r="I135" s="474"/>
      <c r="J135" s="474"/>
      <c r="K135" s="1430"/>
      <c r="L135" s="490">
        <f>L123</f>
        <v>39.991498159562845</v>
      </c>
      <c r="M135" s="474"/>
      <c r="N135" s="474"/>
      <c r="O135" s="491">
        <f>O116</f>
        <v>41.050272198907102</v>
      </c>
    </row>
    <row r="136" spans="2:15" ht="14.25" thickBot="1">
      <c r="B136" s="1338"/>
      <c r="C136" s="492" t="s">
        <v>386</v>
      </c>
      <c r="D136" s="493"/>
      <c r="E136" s="494"/>
      <c r="F136" s="495"/>
      <c r="G136" s="1339"/>
      <c r="H136" s="1339"/>
      <c r="I136" s="1339"/>
      <c r="J136" s="1339"/>
      <c r="K136" s="1339"/>
      <c r="L136" s="496">
        <f>IF(COUNTIF(L133:L135,$R$115)&gt;0,$R$115,SUM(L133:L135))</f>
        <v>70.555498159562845</v>
      </c>
      <c r="M136" s="497"/>
      <c r="N136" s="497"/>
      <c r="O136" s="498">
        <f>IF(COUNTIF(O133:O135,$R$115)&gt;0,$R$115,SUM(O133:O135))</f>
        <v>71.614272198907102</v>
      </c>
    </row>
    <row r="137" spans="2:15"/>
    <row r="180"/>
    <row r="181"/>
    <row r="182"/>
    <row r="183"/>
  </sheetData>
  <sheetProtection password="C784" sheet="1" objects="1" scenarios="1"/>
  <mergeCells count="3">
    <mergeCell ref="L2:M2"/>
    <mergeCell ref="N2:O2"/>
    <mergeCell ref="L3:M3"/>
  </mergeCells>
  <phoneticPr fontId="27"/>
  <conditionalFormatting sqref="E133 E135">
    <cfRule type="cellIs" dxfId="11" priority="1" stopIfTrue="1" operator="equal">
      <formula>5</formula>
    </cfRule>
    <cfRule type="cellIs" dxfId="10" priority="2" stopIfTrue="1" operator="equal">
      <formula>4</formula>
    </cfRule>
    <cfRule type="cellIs" dxfId="9"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71" orientation="portrait" verticalDpi="300" r:id="rId1"/>
  <headerFooter alignWithMargins="0">
    <oddHeader>&amp;L&amp;F&amp;R&amp;A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F72"/>
  <sheetViews>
    <sheetView showGridLines="0" topLeftCell="A39" workbookViewId="0">
      <selection activeCell="E46" sqref="E46"/>
    </sheetView>
  </sheetViews>
  <sheetFormatPr defaultColWidth="0" defaultRowHeight="13.5" zeroHeight="1"/>
  <cols>
    <col min="1" max="1" width="2" customWidth="1"/>
    <col min="2" max="2" width="10.625" customWidth="1"/>
    <col min="3" max="3" width="18.625" customWidth="1"/>
    <col min="4" max="5" width="29.25" customWidth="1"/>
    <col min="6" max="6" width="16.125" customWidth="1"/>
    <col min="7" max="7" width="2" customWidth="1"/>
    <col min="8" max="16" width="0" hidden="1" customWidth="1"/>
  </cols>
  <sheetData>
    <row r="1" spans="2:6" ht="6" customHeight="1"/>
    <row r="2" spans="2:6" ht="18.75">
      <c r="B2" s="942" t="s">
        <v>429</v>
      </c>
      <c r="C2" s="943"/>
      <c r="D2" s="943"/>
      <c r="E2" s="778" t="s">
        <v>2243</v>
      </c>
      <c r="F2" s="779" t="str">
        <f>メイン!C11</f>
        <v>○○ビル</v>
      </c>
    </row>
    <row r="3" spans="2:6" ht="16.5" customHeight="1">
      <c r="F3" s="839" t="str">
        <f>メイン!C5</f>
        <v>CASBEE-川崎2025(v.1.1)</v>
      </c>
    </row>
    <row r="4" spans="2:6">
      <c r="B4" s="3827" t="s">
        <v>1777</v>
      </c>
      <c r="C4" s="3828"/>
      <c r="D4" s="944" t="s">
        <v>2174</v>
      </c>
      <c r="E4" s="945" t="s">
        <v>1975</v>
      </c>
      <c r="F4" s="945" t="s">
        <v>1089</v>
      </c>
    </row>
    <row r="5" spans="2:6" ht="35.25" customHeight="1">
      <c r="B5" s="3829" t="s">
        <v>2175</v>
      </c>
      <c r="C5" s="945" t="s">
        <v>1482</v>
      </c>
      <c r="D5" s="944" t="str">
        <f>メイン!C21</f>
        <v>事務所,集合住宅,</v>
      </c>
      <c r="E5" s="944" t="str">
        <f>D5</f>
        <v>事務所,集合住宅,</v>
      </c>
      <c r="F5" s="945"/>
    </row>
    <row r="6" spans="2:6">
      <c r="B6" s="3830"/>
      <c r="C6" s="945" t="s">
        <v>2176</v>
      </c>
      <c r="D6" s="947">
        <f>メイン!C19</f>
        <v>1500</v>
      </c>
      <c r="E6" s="947">
        <f>D6</f>
        <v>1500</v>
      </c>
      <c r="F6" s="483"/>
    </row>
    <row r="7" spans="2:6">
      <c r="B7" s="3831"/>
      <c r="C7" s="945" t="s">
        <v>2177</v>
      </c>
      <c r="D7" s="945">
        <f>メイン!C23</f>
        <v>0</v>
      </c>
      <c r="E7" s="945">
        <f>D7</f>
        <v>0</v>
      </c>
      <c r="F7" s="483"/>
    </row>
    <row r="8" spans="2:6" ht="31.5" customHeight="1">
      <c r="B8" s="944" t="s">
        <v>2178</v>
      </c>
      <c r="C8" s="949" t="s">
        <v>2179</v>
      </c>
      <c r="D8" s="950" t="str">
        <f>CO2計算!O35</f>
        <v>集合住宅部分30年,他</v>
      </c>
      <c r="E8" s="950" t="str">
        <f>CO2計算!L35</f>
        <v>集合住宅部分30年,他</v>
      </c>
      <c r="F8" s="951"/>
    </row>
    <row r="9" spans="2:6" ht="19.5" customHeight="1">
      <c r="B9" s="952"/>
      <c r="C9" s="949" t="s">
        <v>274</v>
      </c>
      <c r="D9" s="953">
        <f>CO2計算!O133</f>
        <v>19.584666666666667</v>
      </c>
      <c r="E9" s="953">
        <f>CO2計算!L133</f>
        <v>19.584666666666667</v>
      </c>
      <c r="F9" s="951" t="s">
        <v>2180</v>
      </c>
    </row>
    <row r="10" spans="2:6" ht="29.25" customHeight="1">
      <c r="B10" s="3824" t="s">
        <v>1306</v>
      </c>
      <c r="C10" s="944" t="s">
        <v>1307</v>
      </c>
      <c r="D10" s="954" t="s">
        <v>1121</v>
      </c>
      <c r="E10" s="955" t="s">
        <v>1308</v>
      </c>
      <c r="F10" s="483"/>
    </row>
    <row r="11" spans="2:6" ht="29.25" customHeight="1">
      <c r="B11" s="3824"/>
      <c r="C11" s="944" t="s">
        <v>1309</v>
      </c>
      <c r="D11" s="954" t="s">
        <v>1122</v>
      </c>
      <c r="E11" s="956" t="s">
        <v>2160</v>
      </c>
      <c r="F11" s="483"/>
    </row>
    <row r="12" spans="2:6">
      <c r="B12" s="3824"/>
      <c r="C12" s="946" t="s">
        <v>430</v>
      </c>
      <c r="D12" s="957" t="s">
        <v>2161</v>
      </c>
      <c r="E12" s="958" t="s">
        <v>2160</v>
      </c>
      <c r="F12" s="959"/>
    </row>
    <row r="13" spans="2:6">
      <c r="B13" s="3825"/>
      <c r="C13" s="961" t="s">
        <v>1980</v>
      </c>
      <c r="D13" s="962"/>
      <c r="E13" s="963"/>
      <c r="F13" s="964"/>
    </row>
    <row r="14" spans="2:6" ht="19.5" customHeight="1">
      <c r="B14" s="3824"/>
      <c r="C14" s="965" t="s">
        <v>1983</v>
      </c>
      <c r="D14" s="966">
        <f>CO2計算!O93</f>
        <v>0.73199999999999998</v>
      </c>
      <c r="E14" s="967">
        <f>CO2計算!L93</f>
        <v>0.73199999999999998</v>
      </c>
      <c r="F14" s="968" t="s">
        <v>431</v>
      </c>
    </row>
    <row r="15" spans="2:6" ht="14.25">
      <c r="B15" s="3824"/>
      <c r="C15" s="969" t="s">
        <v>1985</v>
      </c>
      <c r="D15" s="970">
        <f>CO2計算!O94</f>
        <v>0</v>
      </c>
      <c r="E15" s="971">
        <f>CO2計算!L94</f>
        <v>0</v>
      </c>
      <c r="F15" s="972" t="s">
        <v>431</v>
      </c>
    </row>
    <row r="16" spans="2:6">
      <c r="B16" s="3824"/>
      <c r="C16" s="969" t="s">
        <v>1986</v>
      </c>
      <c r="D16" s="970">
        <f>CO2計算!O95</f>
        <v>6.8000000000000005E-2</v>
      </c>
      <c r="E16" s="971">
        <f>CO2計算!L95</f>
        <v>6.8000000000000005E-2</v>
      </c>
      <c r="F16" s="973" t="s">
        <v>1987</v>
      </c>
    </row>
    <row r="17" spans="2:6">
      <c r="B17" s="3824"/>
      <c r="C17" s="969" t="s">
        <v>1988</v>
      </c>
      <c r="D17" s="970">
        <f>CO2計算!O96</f>
        <v>0</v>
      </c>
      <c r="E17" s="971">
        <f>CO2計算!L96</f>
        <v>0</v>
      </c>
      <c r="F17" s="973" t="s">
        <v>1987</v>
      </c>
    </row>
    <row r="18" spans="2:6">
      <c r="B18" s="3824"/>
      <c r="C18" s="969" t="s">
        <v>1989</v>
      </c>
      <c r="D18" s="970">
        <f>CO2計算!O97</f>
        <v>0.11666666666666667</v>
      </c>
      <c r="E18" s="971">
        <f>CO2計算!L97</f>
        <v>0.11666666666666667</v>
      </c>
      <c r="F18" s="973" t="s">
        <v>1987</v>
      </c>
    </row>
    <row r="19" spans="2:6">
      <c r="B19" s="3824"/>
      <c r="C19" s="969" t="s">
        <v>1720</v>
      </c>
      <c r="D19" s="970">
        <f>CO2計算!O98</f>
        <v>8.5999999999999993E-2</v>
      </c>
      <c r="E19" s="971">
        <f>CO2計算!L98</f>
        <v>8.5999999999999993E-2</v>
      </c>
      <c r="F19" s="973" t="s">
        <v>1987</v>
      </c>
    </row>
    <row r="20" spans="2:6">
      <c r="B20" s="3824"/>
      <c r="C20" s="974" t="s">
        <v>432</v>
      </c>
      <c r="D20" s="974" t="s">
        <v>433</v>
      </c>
      <c r="E20" s="975" t="s">
        <v>1304</v>
      </c>
      <c r="F20" s="976" t="s">
        <v>434</v>
      </c>
    </row>
    <row r="21" spans="2:6">
      <c r="B21" s="3825"/>
      <c r="C21" s="961" t="s">
        <v>1305</v>
      </c>
      <c r="D21" s="962"/>
      <c r="E21" s="963"/>
      <c r="F21" s="964"/>
    </row>
    <row r="22" spans="2:6" ht="15">
      <c r="B22" s="3824"/>
      <c r="C22" s="965" t="s">
        <v>1983</v>
      </c>
      <c r="D22" s="966">
        <v>266.70999999999998</v>
      </c>
      <c r="E22" s="967" t="s">
        <v>1304</v>
      </c>
      <c r="F22" s="972" t="s">
        <v>435</v>
      </c>
    </row>
    <row r="23" spans="2:6" ht="15">
      <c r="B23" s="3824"/>
      <c r="C23" s="969" t="s">
        <v>1985</v>
      </c>
      <c r="D23" s="970">
        <v>216.57</v>
      </c>
      <c r="E23" s="971" t="s">
        <v>1304</v>
      </c>
      <c r="F23" s="973" t="s">
        <v>435</v>
      </c>
    </row>
    <row r="24" spans="2:6">
      <c r="B24" s="3824"/>
      <c r="C24" s="969" t="s">
        <v>1986</v>
      </c>
      <c r="D24" s="970">
        <v>1.28</v>
      </c>
      <c r="E24" s="971" t="s">
        <v>1304</v>
      </c>
      <c r="F24" s="973" t="s">
        <v>2531</v>
      </c>
    </row>
    <row r="25" spans="2:6">
      <c r="B25" s="3824"/>
      <c r="C25" s="969" t="s">
        <v>1988</v>
      </c>
      <c r="D25" s="970" t="s">
        <v>2755</v>
      </c>
      <c r="E25" s="971" t="s">
        <v>1304</v>
      </c>
      <c r="F25" s="973" t="s">
        <v>2532</v>
      </c>
    </row>
    <row r="26" spans="2:6">
      <c r="B26" s="3824"/>
      <c r="C26" s="969" t="s">
        <v>1989</v>
      </c>
      <c r="D26" s="970">
        <v>0.51</v>
      </c>
      <c r="E26" s="971" t="s">
        <v>1304</v>
      </c>
      <c r="F26" s="973" t="s">
        <v>2531</v>
      </c>
    </row>
    <row r="27" spans="2:6">
      <c r="B27" s="3824"/>
      <c r="C27" s="969" t="s">
        <v>237</v>
      </c>
      <c r="D27" s="970">
        <v>4.75</v>
      </c>
      <c r="E27" s="971" t="s">
        <v>1304</v>
      </c>
      <c r="F27" s="973" t="s">
        <v>2533</v>
      </c>
    </row>
    <row r="28" spans="2:6">
      <c r="B28" s="3824"/>
      <c r="C28" s="974" t="s">
        <v>432</v>
      </c>
      <c r="D28" s="974" t="s">
        <v>433</v>
      </c>
      <c r="E28" s="975" t="s">
        <v>2534</v>
      </c>
      <c r="F28" s="973" t="s">
        <v>2531</v>
      </c>
    </row>
    <row r="29" spans="2:6" ht="14.25" thickBot="1">
      <c r="B29" s="3825"/>
      <c r="C29" s="961" t="s">
        <v>238</v>
      </c>
      <c r="D29" s="962"/>
      <c r="E29" s="977"/>
      <c r="F29" s="978"/>
    </row>
    <row r="30" spans="2:6" ht="29.25" customHeight="1">
      <c r="B30" s="3824"/>
      <c r="C30" s="965" t="s">
        <v>239</v>
      </c>
      <c r="D30" s="979">
        <v>0</v>
      </c>
      <c r="E30" s="980">
        <v>0</v>
      </c>
      <c r="F30" s="981"/>
    </row>
    <row r="31" spans="2:6" ht="29.25" customHeight="1" thickBot="1">
      <c r="B31" s="3824"/>
      <c r="C31" s="965" t="s">
        <v>240</v>
      </c>
      <c r="D31" s="979">
        <v>0</v>
      </c>
      <c r="E31" s="982">
        <v>0</v>
      </c>
      <c r="F31" s="983"/>
    </row>
    <row r="32" spans="2:6" ht="24" customHeight="1">
      <c r="B32" s="3824"/>
      <c r="C32" s="969" t="s">
        <v>241</v>
      </c>
      <c r="D32" s="979">
        <v>0</v>
      </c>
      <c r="E32" s="979">
        <v>0</v>
      </c>
      <c r="F32" s="972"/>
    </row>
    <row r="33" spans="2:6" ht="24" customHeight="1">
      <c r="B33" s="3824"/>
      <c r="C33" s="984" t="s">
        <v>242</v>
      </c>
      <c r="D33" s="985">
        <v>0</v>
      </c>
      <c r="E33" s="985">
        <v>0</v>
      </c>
      <c r="F33" s="986"/>
    </row>
    <row r="34" spans="2:6" ht="19.5" customHeight="1">
      <c r="B34" s="946"/>
      <c r="C34" s="987" t="s">
        <v>274</v>
      </c>
      <c r="D34" s="988">
        <f>CO2計算!O134</f>
        <v>10.979333333333333</v>
      </c>
      <c r="E34" s="989">
        <f>CO2計算!L134</f>
        <v>10.979333333333333</v>
      </c>
      <c r="F34" s="951" t="s">
        <v>2180</v>
      </c>
    </row>
    <row r="35" spans="2:6">
      <c r="B35" s="960" t="s">
        <v>437</v>
      </c>
      <c r="C35" s="990" t="s">
        <v>243</v>
      </c>
      <c r="D35" s="991"/>
      <c r="E35" s="991"/>
      <c r="F35" s="964"/>
    </row>
    <row r="36" spans="2:6">
      <c r="B36" s="952" t="s">
        <v>438</v>
      </c>
      <c r="C36" s="1016" t="s">
        <v>2167</v>
      </c>
      <c r="D36" s="993">
        <f>CO2データ!I311</f>
        <v>25</v>
      </c>
      <c r="E36" s="993">
        <f>CO2データ!I311</f>
        <v>25</v>
      </c>
      <c r="F36" s="986"/>
    </row>
    <row r="37" spans="2:6" ht="13.5" hidden="1" customHeight="1">
      <c r="B37" s="952"/>
      <c r="C37" s="969" t="s">
        <v>2169</v>
      </c>
      <c r="D37" s="994"/>
      <c r="E37" s="994"/>
      <c r="F37" s="973"/>
    </row>
    <row r="38" spans="2:6">
      <c r="B38" s="952"/>
      <c r="C38" s="969" t="s">
        <v>2170</v>
      </c>
      <c r="D38" s="994">
        <f>CO2データ!I313</f>
        <v>18</v>
      </c>
      <c r="E38" s="994">
        <f>CO2データ!I313</f>
        <v>18</v>
      </c>
      <c r="F38" s="973"/>
    </row>
    <row r="39" spans="2:6">
      <c r="B39" s="952"/>
      <c r="C39" s="984" t="s">
        <v>2171</v>
      </c>
      <c r="D39" s="993">
        <f>CO2データ!I314</f>
        <v>15</v>
      </c>
      <c r="E39" s="993">
        <f>CO2データ!I314</f>
        <v>15</v>
      </c>
      <c r="F39" s="986"/>
    </row>
    <row r="40" spans="2:6">
      <c r="B40" s="960"/>
      <c r="C40" s="990" t="s">
        <v>244</v>
      </c>
      <c r="D40" s="991"/>
      <c r="E40" s="991"/>
      <c r="F40" s="964"/>
    </row>
    <row r="41" spans="2:6">
      <c r="B41" s="952"/>
      <c r="C41" s="1016" t="s">
        <v>2167</v>
      </c>
      <c r="D41" s="995">
        <f>CO2データ!I317</f>
        <v>0.01</v>
      </c>
      <c r="E41" s="995">
        <f>CO2データ!I317</f>
        <v>0.01</v>
      </c>
      <c r="F41" s="996"/>
    </row>
    <row r="42" spans="2:6">
      <c r="B42" s="952"/>
      <c r="C42" s="969" t="s">
        <v>2170</v>
      </c>
      <c r="D42" s="997">
        <f>CO2データ!I318</f>
        <v>0.01</v>
      </c>
      <c r="E42" s="997">
        <f>CO2データ!I318</f>
        <v>0.01</v>
      </c>
      <c r="F42" s="998"/>
    </row>
    <row r="43" spans="2:6">
      <c r="B43" s="952"/>
      <c r="C43" s="984" t="s">
        <v>2171</v>
      </c>
      <c r="D43" s="999">
        <f>CO2データ!I319</f>
        <v>0.02</v>
      </c>
      <c r="E43" s="999">
        <f>CO2データ!I319</f>
        <v>0.02</v>
      </c>
      <c r="F43" s="1000"/>
    </row>
    <row r="44" spans="2:6" ht="29.25" customHeight="1">
      <c r="B44" s="1001"/>
      <c r="C44" s="949" t="s">
        <v>532</v>
      </c>
      <c r="D44" s="954" t="s">
        <v>533</v>
      </c>
      <c r="E44" s="944" t="s">
        <v>534</v>
      </c>
      <c r="F44" s="483"/>
    </row>
    <row r="45" spans="2:6">
      <c r="B45" s="946"/>
      <c r="C45" s="990" t="s">
        <v>274</v>
      </c>
      <c r="D45" s="962"/>
      <c r="E45" s="1002"/>
      <c r="F45" s="1003"/>
    </row>
    <row r="46" spans="2:6" ht="24" customHeight="1">
      <c r="B46" s="952"/>
      <c r="C46" s="944" t="s">
        <v>439</v>
      </c>
      <c r="D46" s="953">
        <f>CO2計算!O135</f>
        <v>41.050272198907102</v>
      </c>
      <c r="E46" s="953">
        <f>CO2計算!L116</f>
        <v>39.991498159562845</v>
      </c>
      <c r="F46" s="951" t="s">
        <v>2180</v>
      </c>
    </row>
    <row r="47" spans="2:6" ht="24" customHeight="1">
      <c r="B47" s="952"/>
      <c r="C47" s="965" t="s">
        <v>440</v>
      </c>
      <c r="D47" s="1004" t="s">
        <v>441</v>
      </c>
      <c r="E47" s="1005">
        <f>CO2計算!L123</f>
        <v>39.991498159562845</v>
      </c>
      <c r="F47" s="972" t="s">
        <v>442</v>
      </c>
    </row>
    <row r="48" spans="2:6" ht="24" hidden="1" customHeight="1">
      <c r="B48" s="3824" t="s">
        <v>535</v>
      </c>
      <c r="C48" s="974"/>
      <c r="D48" s="1006"/>
      <c r="E48" s="1007"/>
      <c r="F48" s="1008" t="s">
        <v>2180</v>
      </c>
    </row>
    <row r="49" spans="2:6" ht="24" hidden="1" customHeight="1">
      <c r="B49" s="3824"/>
      <c r="C49" s="952"/>
      <c r="D49" s="1009"/>
      <c r="E49" s="1007"/>
      <c r="F49" s="1008" t="s">
        <v>443</v>
      </c>
    </row>
    <row r="50" spans="2:6" ht="24" hidden="1" customHeight="1">
      <c r="B50" s="3824"/>
      <c r="C50" s="952"/>
      <c r="D50" s="1010"/>
      <c r="E50" s="1011" t="e">
        <f>'条件(個別)'!E80</f>
        <v>#REF!</v>
      </c>
      <c r="F50" s="1012" t="s">
        <v>444</v>
      </c>
    </row>
    <row r="51" spans="2:6" ht="24" hidden="1" customHeight="1">
      <c r="B51" s="3824"/>
      <c r="C51" s="1001"/>
      <c r="D51" s="1013" t="s">
        <v>913</v>
      </c>
      <c r="E51" s="1014" t="s">
        <v>445</v>
      </c>
      <c r="F51" s="1015"/>
    </row>
    <row r="52" spans="2:6" ht="29.25" customHeight="1">
      <c r="B52" s="3825"/>
      <c r="C52" s="1016" t="s">
        <v>446</v>
      </c>
      <c r="D52" s="1343" t="s">
        <v>445</v>
      </c>
      <c r="E52" s="1344">
        <f>E47</f>
        <v>39.991498159562845</v>
      </c>
      <c r="F52" s="968" t="s">
        <v>447</v>
      </c>
    </row>
    <row r="53" spans="2:6" ht="30" customHeight="1">
      <c r="B53" s="3824"/>
      <c r="C53" s="974" t="s">
        <v>536</v>
      </c>
      <c r="D53" s="1018" t="s">
        <v>448</v>
      </c>
      <c r="E53" s="1019" t="s">
        <v>441</v>
      </c>
      <c r="F53" s="973"/>
    </row>
    <row r="54" spans="2:6" ht="27.75" customHeight="1">
      <c r="B54" s="3824"/>
      <c r="C54" s="952"/>
      <c r="D54" s="1018" t="s">
        <v>449</v>
      </c>
      <c r="E54" s="1019" t="s">
        <v>441</v>
      </c>
      <c r="F54" s="973"/>
    </row>
    <row r="55" spans="2:6" ht="24" customHeight="1">
      <c r="B55" s="3824"/>
      <c r="C55" s="952"/>
      <c r="D55" s="1018" t="s">
        <v>450</v>
      </c>
      <c r="E55" s="1019" t="s">
        <v>441</v>
      </c>
      <c r="F55" s="973"/>
    </row>
    <row r="56" spans="2:6" ht="29.25" customHeight="1">
      <c r="B56" s="952"/>
      <c r="C56" s="952"/>
      <c r="D56" s="1018" t="s">
        <v>451</v>
      </c>
      <c r="E56" s="1019" t="s">
        <v>441</v>
      </c>
      <c r="F56" s="986"/>
    </row>
    <row r="57" spans="2:6" ht="24" hidden="1" customHeight="1">
      <c r="B57" s="952"/>
      <c r="C57" s="1001"/>
      <c r="D57" s="1020"/>
      <c r="E57" s="1014" t="s">
        <v>441</v>
      </c>
      <c r="F57" s="1015"/>
    </row>
    <row r="58" spans="2:6" ht="29.25" customHeight="1">
      <c r="B58" s="3824"/>
      <c r="C58" s="949" t="s">
        <v>914</v>
      </c>
      <c r="D58" s="954" t="s">
        <v>2235</v>
      </c>
      <c r="E58" s="954" t="s">
        <v>2236</v>
      </c>
      <c r="F58" s="483"/>
    </row>
    <row r="59" spans="2:6" ht="18.75" customHeight="1">
      <c r="B59" s="3824"/>
      <c r="C59" s="987" t="s">
        <v>359</v>
      </c>
      <c r="D59" s="1021">
        <f>CO2計算!H118+CO2計算!H121+CO2計算!H120</f>
        <v>1207.4000000000001</v>
      </c>
      <c r="E59" s="1021">
        <f>CO2計算!I125+CO2計算!I127+CO2計算!I126</f>
        <v>1173.2</v>
      </c>
      <c r="F59" s="1022" t="s">
        <v>539</v>
      </c>
    </row>
    <row r="60" spans="2:6">
      <c r="B60" s="3825"/>
      <c r="C60" s="477" t="s">
        <v>849</v>
      </c>
      <c r="D60" s="991"/>
      <c r="E60" s="991"/>
      <c r="F60" s="1003"/>
    </row>
    <row r="61" spans="2:6">
      <c r="B61" s="3824"/>
      <c r="C61" s="1023" t="s">
        <v>2289</v>
      </c>
      <c r="D61" s="1024">
        <f>CO2計算!J118</f>
        <v>5.0478540983606553E-2</v>
      </c>
      <c r="E61" s="1025" t="s">
        <v>534</v>
      </c>
      <c r="F61" s="1012" t="s">
        <v>131</v>
      </c>
    </row>
    <row r="62" spans="2:6">
      <c r="B62" s="3824"/>
      <c r="C62" s="1023" t="s">
        <v>2290</v>
      </c>
      <c r="D62" s="1024">
        <f>CO2計算!J120</f>
        <v>5.2000622950819669E-2</v>
      </c>
      <c r="E62" s="1027" t="s">
        <v>534</v>
      </c>
      <c r="F62" s="1012" t="s">
        <v>131</v>
      </c>
    </row>
    <row r="63" spans="2:6">
      <c r="B63" s="3824"/>
      <c r="C63" s="1026" t="s">
        <v>2237</v>
      </c>
      <c r="D63" s="1027">
        <f>CO2データ!I95</f>
        <v>0.45700000000000002</v>
      </c>
      <c r="E63" s="1027" t="s">
        <v>534</v>
      </c>
      <c r="F63" s="1008" t="s">
        <v>2782</v>
      </c>
    </row>
    <row r="64" spans="2:6">
      <c r="B64" s="3824"/>
      <c r="C64" s="1026" t="s">
        <v>132</v>
      </c>
      <c r="D64" s="1027">
        <f>CO2データ!I97</f>
        <v>4.9799999999999997E-2</v>
      </c>
      <c r="E64" s="1027" t="s">
        <v>534</v>
      </c>
      <c r="F64" s="1012" t="s">
        <v>131</v>
      </c>
    </row>
    <row r="65" spans="2:6" ht="24">
      <c r="B65" s="3824"/>
      <c r="C65" s="1028" t="s">
        <v>2232</v>
      </c>
      <c r="D65" s="1029" t="s">
        <v>257</v>
      </c>
      <c r="E65" s="1029" t="s">
        <v>534</v>
      </c>
      <c r="F65" s="1030" t="s">
        <v>131</v>
      </c>
    </row>
    <row r="66" spans="2:6">
      <c r="B66" s="952"/>
      <c r="C66" s="1031" t="s">
        <v>2233</v>
      </c>
      <c r="D66" s="1032"/>
      <c r="E66" s="1032"/>
      <c r="F66" s="1033"/>
    </row>
    <row r="67" spans="2:6">
      <c r="B67" s="952"/>
      <c r="C67" s="992"/>
      <c r="D67" s="948"/>
      <c r="E67" s="948"/>
      <c r="F67" s="1000"/>
    </row>
    <row r="68" spans="2:6">
      <c r="B68" s="3826" t="s">
        <v>301</v>
      </c>
      <c r="C68" s="3821"/>
      <c r="D68" s="3821"/>
      <c r="E68" s="3821"/>
      <c r="F68" s="3821"/>
    </row>
    <row r="69" spans="2:6">
      <c r="B69" s="3826"/>
      <c r="C69" s="3822"/>
      <c r="D69" s="3822"/>
      <c r="E69" s="3822"/>
      <c r="F69" s="3822"/>
    </row>
    <row r="70" spans="2:6">
      <c r="B70" s="3826"/>
      <c r="C70" s="3822"/>
      <c r="D70" s="3822"/>
      <c r="E70" s="3822"/>
      <c r="F70" s="3822"/>
    </row>
    <row r="71" spans="2:6">
      <c r="B71" s="3826"/>
      <c r="C71" s="3823"/>
      <c r="D71" s="3823"/>
      <c r="E71" s="3823"/>
      <c r="F71" s="3823"/>
    </row>
    <row r="72" spans="2:6"/>
  </sheetData>
  <sheetProtection password="C784" sheet="1" objects="1" scenarios="1"/>
  <mergeCells count="10">
    <mergeCell ref="B4:C4"/>
    <mergeCell ref="B5:B7"/>
    <mergeCell ref="B10:B33"/>
    <mergeCell ref="B48:B55"/>
    <mergeCell ref="E68:E71"/>
    <mergeCell ref="F68:F71"/>
    <mergeCell ref="B58:B65"/>
    <mergeCell ref="B68:B71"/>
    <mergeCell ref="C68:C71"/>
    <mergeCell ref="D68:D71"/>
  </mergeCells>
  <phoneticPr fontId="27"/>
  <printOptions horizontalCentered="1"/>
  <pageMargins left="0.59055118110236227" right="0.59055118110236227" top="0.78740157480314965" bottom="0.7" header="0.51181102362204722" footer="0.51181102362204722"/>
  <pageSetup paperSize="9" scale="68" orientation="portrait" verticalDpi="300" r:id="rId1"/>
  <headerFooter alignWithMargins="0">
    <oddHeader>&amp;L&amp;F&amp;R&amp;A</oddHeader>
    <oddFooter>&amp;C&amp;P/&amp;N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F90"/>
  <sheetViews>
    <sheetView showGridLines="0" topLeftCell="A36" workbookViewId="0">
      <selection activeCell="D9" sqref="D9"/>
    </sheetView>
  </sheetViews>
  <sheetFormatPr defaultColWidth="0" defaultRowHeight="13.5" zeroHeight="1"/>
  <cols>
    <col min="1" max="1" width="2" customWidth="1"/>
    <col min="2" max="2" width="9.5" customWidth="1"/>
    <col min="3" max="3" width="19.5" customWidth="1"/>
    <col min="4" max="4" width="30.25" customWidth="1"/>
    <col min="5" max="5" width="29.125" customWidth="1"/>
    <col min="6" max="6" width="16.125" customWidth="1"/>
    <col min="7" max="7" width="1.875" customWidth="1"/>
  </cols>
  <sheetData>
    <row r="1" spans="2:6" ht="6" customHeight="1"/>
    <row r="2" spans="2:6" ht="18.75">
      <c r="B2" s="942" t="s">
        <v>134</v>
      </c>
      <c r="C2" s="943"/>
      <c r="D2" s="943"/>
      <c r="E2" s="778" t="s">
        <v>2243</v>
      </c>
      <c r="F2" s="779" t="str">
        <f>メイン!C11</f>
        <v>○○ビル</v>
      </c>
    </row>
    <row r="3" spans="2:6" ht="15.75" customHeight="1">
      <c r="F3" s="839" t="str">
        <f>メイン!C5</f>
        <v>CASBEE-川崎2025(v.1.1)</v>
      </c>
    </row>
    <row r="4" spans="2:6">
      <c r="B4" s="3827" t="s">
        <v>1777</v>
      </c>
      <c r="C4" s="3828"/>
      <c r="D4" s="944" t="s">
        <v>2174</v>
      </c>
      <c r="E4" s="945" t="s">
        <v>1975</v>
      </c>
      <c r="F4" s="945" t="s">
        <v>1089</v>
      </c>
    </row>
    <row r="5" spans="2:6" ht="27" customHeight="1">
      <c r="B5" s="946" t="s">
        <v>2175</v>
      </c>
      <c r="C5" s="945" t="s">
        <v>1482</v>
      </c>
      <c r="D5" s="944" t="str">
        <f>メイン!C21</f>
        <v>事務所,集合住宅,</v>
      </c>
      <c r="E5" s="944" t="str">
        <f>D5</f>
        <v>事務所,集合住宅,</v>
      </c>
      <c r="F5" s="1034"/>
    </row>
    <row r="6" spans="2:6">
      <c r="B6" s="996"/>
      <c r="C6" s="945" t="s">
        <v>2176</v>
      </c>
      <c r="D6" s="947">
        <f>メイン!C19</f>
        <v>1500</v>
      </c>
      <c r="E6" s="947">
        <f>D6</f>
        <v>1500</v>
      </c>
      <c r="F6" s="1035"/>
    </row>
    <row r="7" spans="2:6">
      <c r="B7" s="1000"/>
      <c r="C7" s="945" t="s">
        <v>2177</v>
      </c>
      <c r="D7" s="945">
        <f>メイン!C23</f>
        <v>0</v>
      </c>
      <c r="E7" s="945">
        <f>D7</f>
        <v>0</v>
      </c>
      <c r="F7" s="1035"/>
    </row>
    <row r="8" spans="2:6" ht="31.5" customHeight="1">
      <c r="B8" s="944" t="s">
        <v>2178</v>
      </c>
      <c r="C8" s="949" t="s">
        <v>2179</v>
      </c>
      <c r="D8" s="1036"/>
      <c r="E8" s="1036"/>
      <c r="F8" s="1037"/>
    </row>
    <row r="9" spans="2:6" ht="19.5" customHeight="1">
      <c r="B9" s="952"/>
      <c r="C9" s="949" t="s">
        <v>274</v>
      </c>
      <c r="D9" s="1038"/>
      <c r="E9" s="1038"/>
      <c r="F9" s="1037" t="s">
        <v>2180</v>
      </c>
    </row>
    <row r="10" spans="2:6" ht="29.25" customHeight="1">
      <c r="B10" s="3824" t="s">
        <v>1306</v>
      </c>
      <c r="C10" s="944" t="s">
        <v>1307</v>
      </c>
      <c r="D10" s="1039"/>
      <c r="E10" s="1040"/>
      <c r="F10" s="1035"/>
    </row>
    <row r="11" spans="2:6" ht="29.25" customHeight="1">
      <c r="B11" s="3824"/>
      <c r="C11" s="944" t="s">
        <v>1309</v>
      </c>
      <c r="D11" s="1039"/>
      <c r="E11" s="1041"/>
      <c r="F11" s="1035"/>
    </row>
    <row r="12" spans="2:6" ht="29.25" customHeight="1">
      <c r="B12" s="3824"/>
      <c r="C12" s="944" t="s">
        <v>135</v>
      </c>
      <c r="D12" s="1039"/>
      <c r="E12" s="1041"/>
      <c r="F12" s="1037"/>
    </row>
    <row r="13" spans="2:6">
      <c r="B13" s="3824"/>
      <c r="C13" s="961" t="s">
        <v>1980</v>
      </c>
      <c r="D13" s="962"/>
      <c r="E13" s="963"/>
      <c r="F13" s="964"/>
    </row>
    <row r="14" spans="2:6" ht="14.25">
      <c r="B14" s="3824"/>
      <c r="C14" s="1016" t="s">
        <v>1983</v>
      </c>
      <c r="D14" s="1042" t="s">
        <v>136</v>
      </c>
      <c r="E14" s="1043" t="s">
        <v>137</v>
      </c>
      <c r="F14" s="1044" t="s">
        <v>431</v>
      </c>
    </row>
    <row r="15" spans="2:6" ht="14.25">
      <c r="B15" s="3824"/>
      <c r="C15" s="1045" t="s">
        <v>1985</v>
      </c>
      <c r="D15" s="1046" t="s">
        <v>138</v>
      </c>
      <c r="E15" s="1047" t="s">
        <v>1304</v>
      </c>
      <c r="F15" s="1048" t="s">
        <v>431</v>
      </c>
    </row>
    <row r="16" spans="2:6">
      <c r="B16" s="3824"/>
      <c r="C16" s="969" t="s">
        <v>1986</v>
      </c>
      <c r="D16" s="1046" t="s">
        <v>433</v>
      </c>
      <c r="E16" s="1047" t="s">
        <v>1304</v>
      </c>
      <c r="F16" s="1049" t="s">
        <v>1987</v>
      </c>
    </row>
    <row r="17" spans="2:6">
      <c r="B17" s="3824"/>
      <c r="C17" s="969" t="s">
        <v>1988</v>
      </c>
      <c r="D17" s="1046" t="s">
        <v>139</v>
      </c>
      <c r="E17" s="1047" t="s">
        <v>1304</v>
      </c>
      <c r="F17" s="1049" t="s">
        <v>1987</v>
      </c>
    </row>
    <row r="18" spans="2:6">
      <c r="B18" s="3824"/>
      <c r="C18" s="969" t="s">
        <v>1989</v>
      </c>
      <c r="D18" s="1046" t="s">
        <v>433</v>
      </c>
      <c r="E18" s="1047" t="s">
        <v>1304</v>
      </c>
      <c r="F18" s="1049" t="s">
        <v>1987</v>
      </c>
    </row>
    <row r="19" spans="2:6">
      <c r="B19" s="3824"/>
      <c r="C19" s="1046" t="s">
        <v>432</v>
      </c>
      <c r="D19" s="1046" t="s">
        <v>433</v>
      </c>
      <c r="E19" s="1047" t="s">
        <v>436</v>
      </c>
      <c r="F19" s="1049" t="s">
        <v>1987</v>
      </c>
    </row>
    <row r="20" spans="2:6">
      <c r="B20" s="3824"/>
      <c r="C20" s="1050" t="s">
        <v>432</v>
      </c>
      <c r="D20" s="1050" t="s">
        <v>433</v>
      </c>
      <c r="E20" s="1051" t="s">
        <v>1304</v>
      </c>
      <c r="F20" s="1052" t="s">
        <v>2234</v>
      </c>
    </row>
    <row r="21" spans="2:6">
      <c r="B21" s="3825"/>
      <c r="C21" s="961" t="s">
        <v>1305</v>
      </c>
      <c r="D21" s="962"/>
      <c r="E21" s="963"/>
      <c r="F21" s="964"/>
    </row>
    <row r="22" spans="2:6" ht="15">
      <c r="B22" s="3824"/>
      <c r="C22" s="965" t="s">
        <v>1983</v>
      </c>
      <c r="D22" s="1053" t="s">
        <v>136</v>
      </c>
      <c r="E22" s="1054" t="s">
        <v>137</v>
      </c>
      <c r="F22" s="1048" t="s">
        <v>2535</v>
      </c>
    </row>
    <row r="23" spans="2:6" ht="15">
      <c r="B23" s="3824"/>
      <c r="C23" s="1045" t="s">
        <v>1985</v>
      </c>
      <c r="D23" s="1046" t="s">
        <v>138</v>
      </c>
      <c r="E23" s="1047" t="s">
        <v>1304</v>
      </c>
      <c r="F23" s="1049" t="s">
        <v>2535</v>
      </c>
    </row>
    <row r="24" spans="2:6">
      <c r="B24" s="3824"/>
      <c r="C24" s="969" t="s">
        <v>1986</v>
      </c>
      <c r="D24" s="1046" t="s">
        <v>433</v>
      </c>
      <c r="E24" s="1047" t="s">
        <v>1304</v>
      </c>
      <c r="F24" s="1049" t="s">
        <v>2536</v>
      </c>
    </row>
    <row r="25" spans="2:6">
      <c r="B25" s="3824"/>
      <c r="C25" s="969" t="s">
        <v>1988</v>
      </c>
      <c r="D25" s="1046" t="s">
        <v>139</v>
      </c>
      <c r="E25" s="1047" t="s">
        <v>1304</v>
      </c>
      <c r="F25" s="1049" t="s">
        <v>2536</v>
      </c>
    </row>
    <row r="26" spans="2:6">
      <c r="B26" s="3824"/>
      <c r="C26" s="969" t="s">
        <v>1989</v>
      </c>
      <c r="D26" s="1046" t="s">
        <v>433</v>
      </c>
      <c r="E26" s="1047" t="s">
        <v>1304</v>
      </c>
      <c r="F26" s="1049" t="s">
        <v>2536</v>
      </c>
    </row>
    <row r="27" spans="2:6">
      <c r="B27" s="3824"/>
      <c r="C27" s="1055" t="s">
        <v>565</v>
      </c>
      <c r="D27" s="1046" t="s">
        <v>433</v>
      </c>
      <c r="E27" s="1047" t="s">
        <v>436</v>
      </c>
      <c r="F27" s="1049" t="s">
        <v>2536</v>
      </c>
    </row>
    <row r="28" spans="2:6">
      <c r="B28" s="3824"/>
      <c r="C28" s="1050" t="s">
        <v>432</v>
      </c>
      <c r="D28" s="1050" t="s">
        <v>433</v>
      </c>
      <c r="E28" s="1051" t="s">
        <v>1304</v>
      </c>
      <c r="F28" s="1049" t="s">
        <v>2536</v>
      </c>
    </row>
    <row r="29" spans="2:6">
      <c r="B29" s="3825"/>
      <c r="C29" s="961" t="s">
        <v>238</v>
      </c>
      <c r="D29" s="962"/>
      <c r="E29" s="963"/>
      <c r="F29" s="1003"/>
    </row>
    <row r="30" spans="2:6" ht="29.25" customHeight="1">
      <c r="B30" s="3824"/>
      <c r="C30" s="965" t="s">
        <v>239</v>
      </c>
      <c r="D30" s="1056" t="s">
        <v>140</v>
      </c>
      <c r="E30" s="1056" t="s">
        <v>140</v>
      </c>
      <c r="F30" s="1057"/>
    </row>
    <row r="31" spans="2:6" ht="29.25" customHeight="1">
      <c r="B31" s="3824"/>
      <c r="C31" s="965" t="s">
        <v>240</v>
      </c>
      <c r="D31" s="1056" t="s">
        <v>141</v>
      </c>
      <c r="E31" s="1056" t="s">
        <v>141</v>
      </c>
      <c r="F31" s="1057"/>
    </row>
    <row r="32" spans="2:6" ht="24" customHeight="1">
      <c r="B32" s="3824"/>
      <c r="C32" s="969" t="s">
        <v>241</v>
      </c>
      <c r="D32" s="1056" t="s">
        <v>142</v>
      </c>
      <c r="E32" s="1056" t="s">
        <v>142</v>
      </c>
      <c r="F32" s="1058"/>
    </row>
    <row r="33" spans="2:6" ht="24" customHeight="1">
      <c r="B33" s="3824"/>
      <c r="C33" s="984" t="s">
        <v>242</v>
      </c>
      <c r="D33" s="1059" t="s">
        <v>142</v>
      </c>
      <c r="E33" s="1059" t="s">
        <v>142</v>
      </c>
      <c r="F33" s="1060"/>
    </row>
    <row r="34" spans="2:6" ht="19.5" customHeight="1">
      <c r="B34" s="946"/>
      <c r="C34" s="987" t="s">
        <v>274</v>
      </c>
      <c r="D34" s="1061"/>
      <c r="E34" s="1061"/>
      <c r="F34" s="1037" t="s">
        <v>2180</v>
      </c>
    </row>
    <row r="35" spans="2:6">
      <c r="B35" s="960" t="s">
        <v>143</v>
      </c>
      <c r="C35" s="990" t="s">
        <v>243</v>
      </c>
      <c r="D35" s="991"/>
      <c r="E35" s="991"/>
      <c r="F35" s="964"/>
    </row>
    <row r="36" spans="2:6">
      <c r="B36" s="952" t="s">
        <v>438</v>
      </c>
      <c r="C36" s="1016" t="s">
        <v>2167</v>
      </c>
      <c r="D36" s="1454"/>
      <c r="E36" s="1454"/>
      <c r="F36" s="1044"/>
    </row>
    <row r="37" spans="2:6" hidden="1">
      <c r="B37" s="952"/>
      <c r="C37" s="969" t="s">
        <v>2169</v>
      </c>
      <c r="D37" s="1455"/>
      <c r="E37" s="1455"/>
      <c r="F37" s="1049"/>
    </row>
    <row r="38" spans="2:6">
      <c r="B38" s="952"/>
      <c r="C38" s="969" t="s">
        <v>2170</v>
      </c>
      <c r="D38" s="1455"/>
      <c r="E38" s="1455"/>
      <c r="F38" s="1049"/>
    </row>
    <row r="39" spans="2:6">
      <c r="B39" s="952"/>
      <c r="C39" s="984" t="s">
        <v>2171</v>
      </c>
      <c r="D39" s="1456"/>
      <c r="E39" s="1456"/>
      <c r="F39" s="1068"/>
    </row>
    <row r="40" spans="2:6">
      <c r="B40" s="960"/>
      <c r="C40" s="990" t="s">
        <v>244</v>
      </c>
      <c r="D40" s="991"/>
      <c r="E40" s="991"/>
      <c r="F40" s="964"/>
    </row>
    <row r="41" spans="2:6">
      <c r="B41" s="952"/>
      <c r="C41" s="1016" t="s">
        <v>2167</v>
      </c>
      <c r="D41" s="1457"/>
      <c r="E41" s="1457"/>
      <c r="F41" s="1458"/>
    </row>
    <row r="42" spans="2:6">
      <c r="B42" s="952"/>
      <c r="C42" s="969" t="s">
        <v>2170</v>
      </c>
      <c r="D42" s="1459"/>
      <c r="E42" s="1459"/>
      <c r="F42" s="1058"/>
    </row>
    <row r="43" spans="2:6">
      <c r="B43" s="952"/>
      <c r="C43" s="984" t="s">
        <v>2171</v>
      </c>
      <c r="D43" s="1460"/>
      <c r="E43" s="1460"/>
      <c r="F43" s="1060"/>
    </row>
    <row r="44" spans="2:6" ht="29.25" customHeight="1">
      <c r="B44" s="1001"/>
      <c r="C44" s="949" t="s">
        <v>532</v>
      </c>
      <c r="D44" s="1039"/>
      <c r="E44" s="1062"/>
      <c r="F44" s="1035"/>
    </row>
    <row r="45" spans="2:6">
      <c r="B45" s="946"/>
      <c r="C45" s="990" t="s">
        <v>274</v>
      </c>
      <c r="D45" s="962"/>
      <c r="E45" s="1002"/>
      <c r="F45" s="1003"/>
    </row>
    <row r="46" spans="2:6" ht="29.25" customHeight="1">
      <c r="B46" s="952"/>
      <c r="C46" s="944" t="s">
        <v>439</v>
      </c>
      <c r="D46" s="1038"/>
      <c r="E46" s="1038"/>
      <c r="F46" s="951" t="s">
        <v>2180</v>
      </c>
    </row>
    <row r="47" spans="2:6" ht="29.25" customHeight="1">
      <c r="B47" s="952"/>
      <c r="C47" s="965" t="s">
        <v>144</v>
      </c>
      <c r="D47" s="1004" t="s">
        <v>145</v>
      </c>
      <c r="E47" s="1063"/>
      <c r="F47" s="986" t="s">
        <v>2180</v>
      </c>
    </row>
    <row r="48" spans="2:6" ht="18.75" customHeight="1">
      <c r="B48" s="952"/>
      <c r="C48" s="1064" t="s">
        <v>536</v>
      </c>
      <c r="D48" s="1006" t="s">
        <v>910</v>
      </c>
      <c r="E48" s="1065"/>
      <c r="F48" s="1049"/>
    </row>
    <row r="49" spans="2:6" ht="18.75" customHeight="1">
      <c r="B49" s="952"/>
      <c r="C49" s="1064"/>
      <c r="D49" s="1009" t="s">
        <v>911</v>
      </c>
      <c r="E49" s="1066"/>
      <c r="F49" s="1049"/>
    </row>
    <row r="50" spans="2:6" ht="18.75" customHeight="1">
      <c r="B50" s="952"/>
      <c r="C50" s="1064"/>
      <c r="D50" s="1010" t="s">
        <v>912</v>
      </c>
      <c r="E50" s="1065"/>
      <c r="F50" s="1049"/>
    </row>
    <row r="51" spans="2:6" ht="18.75" customHeight="1">
      <c r="B51" s="952"/>
      <c r="C51" s="1001"/>
      <c r="D51" s="1013" t="s">
        <v>913</v>
      </c>
      <c r="E51" s="1067"/>
      <c r="F51" s="1068"/>
    </row>
    <row r="52" spans="2:6" ht="30.75" customHeight="1">
      <c r="B52" s="3824" t="s">
        <v>535</v>
      </c>
      <c r="C52" s="1064" t="s">
        <v>446</v>
      </c>
      <c r="D52" s="1017" t="s">
        <v>445</v>
      </c>
      <c r="E52" s="1066"/>
      <c r="F52" s="986" t="s">
        <v>2180</v>
      </c>
    </row>
    <row r="53" spans="2:6" ht="29.25" customHeight="1">
      <c r="B53" s="3824"/>
      <c r="C53" s="974" t="s">
        <v>536</v>
      </c>
      <c r="D53" s="1018" t="s">
        <v>1820</v>
      </c>
      <c r="E53" s="1065"/>
      <c r="F53" s="1049"/>
    </row>
    <row r="54" spans="2:6" ht="29.25" customHeight="1">
      <c r="B54" s="3824"/>
      <c r="C54" s="952"/>
      <c r="D54" s="1018" t="s">
        <v>651</v>
      </c>
      <c r="E54" s="1065"/>
      <c r="F54" s="1049"/>
    </row>
    <row r="55" spans="2:6" ht="24" customHeight="1">
      <c r="B55" s="3824"/>
      <c r="C55" s="952"/>
      <c r="D55" s="1018" t="s">
        <v>652</v>
      </c>
      <c r="E55" s="1065"/>
      <c r="F55" s="1049"/>
    </row>
    <row r="56" spans="2:6" ht="29.25" customHeight="1">
      <c r="B56" s="3824"/>
      <c r="C56" s="952"/>
      <c r="D56" s="1018" t="s">
        <v>653</v>
      </c>
      <c r="E56" s="1065"/>
      <c r="F56" s="1049"/>
    </row>
    <row r="57" spans="2:6" ht="30" hidden="1" customHeight="1">
      <c r="B57" s="952"/>
      <c r="C57" s="1001"/>
      <c r="D57" s="1020"/>
      <c r="E57" s="1065" t="e">
        <f>E80</f>
        <v>#REF!</v>
      </c>
      <c r="F57" s="1049" t="s">
        <v>2180</v>
      </c>
    </row>
    <row r="58" spans="2:6" ht="42.75" customHeight="1">
      <c r="B58" s="986"/>
      <c r="C58" s="949" t="s">
        <v>914</v>
      </c>
      <c r="D58" s="1039" t="s">
        <v>654</v>
      </c>
      <c r="E58" s="1039" t="s">
        <v>654</v>
      </c>
      <c r="F58" s="1035"/>
    </row>
    <row r="59" spans="2:6" ht="18.75" customHeight="1">
      <c r="B59" s="986"/>
      <c r="C59" s="987" t="s">
        <v>359</v>
      </c>
      <c r="D59" s="1069" t="s">
        <v>655</v>
      </c>
      <c r="E59" s="1069" t="s">
        <v>655</v>
      </c>
      <c r="F59" s="1070" t="s">
        <v>2393</v>
      </c>
    </row>
    <row r="60" spans="2:6">
      <c r="B60" s="986"/>
      <c r="C60" s="477" t="s">
        <v>849</v>
      </c>
      <c r="D60" s="991"/>
      <c r="E60" s="991"/>
      <c r="F60" s="1003"/>
    </row>
    <row r="61" spans="2:6">
      <c r="B61" s="986"/>
      <c r="C61" s="1023" t="s">
        <v>2289</v>
      </c>
      <c r="D61" s="1071" t="s">
        <v>656</v>
      </c>
      <c r="E61" s="1071" t="s">
        <v>534</v>
      </c>
      <c r="F61" s="1048" t="s">
        <v>131</v>
      </c>
    </row>
    <row r="62" spans="2:6" ht="14.25">
      <c r="B62" s="986"/>
      <c r="C62" s="1023" t="s">
        <v>2290</v>
      </c>
      <c r="D62" s="1072" t="s">
        <v>656</v>
      </c>
      <c r="E62" s="1072" t="s">
        <v>534</v>
      </c>
      <c r="F62" s="1049" t="s">
        <v>133</v>
      </c>
    </row>
    <row r="63" spans="2:6">
      <c r="B63" s="986"/>
      <c r="C63" s="1026" t="s">
        <v>2237</v>
      </c>
      <c r="D63" s="1072" t="s">
        <v>656</v>
      </c>
      <c r="E63" s="1072" t="s">
        <v>534</v>
      </c>
      <c r="F63" s="1049" t="s">
        <v>2782</v>
      </c>
    </row>
    <row r="64" spans="2:6" ht="14.25">
      <c r="B64" s="986"/>
      <c r="C64" s="1026" t="s">
        <v>132</v>
      </c>
      <c r="D64" s="1072" t="s">
        <v>657</v>
      </c>
      <c r="E64" s="1072" t="s">
        <v>534</v>
      </c>
      <c r="F64" s="1049" t="s">
        <v>133</v>
      </c>
    </row>
    <row r="65" spans="2:6" ht="24">
      <c r="B65" s="986"/>
      <c r="C65" s="1073" t="s">
        <v>2232</v>
      </c>
      <c r="D65" s="1074" t="s">
        <v>257</v>
      </c>
      <c r="E65" s="1074" t="s">
        <v>534</v>
      </c>
      <c r="F65" s="1068" t="s">
        <v>133</v>
      </c>
    </row>
    <row r="66" spans="2:6">
      <c r="B66" s="952"/>
      <c r="C66" s="1031" t="s">
        <v>2233</v>
      </c>
      <c r="D66" s="1032"/>
      <c r="E66" s="1032"/>
      <c r="F66" s="1033"/>
    </row>
    <row r="67" spans="2:6">
      <c r="B67" s="952"/>
      <c r="C67" s="992"/>
      <c r="D67" s="1032"/>
      <c r="E67" s="1032"/>
      <c r="F67" s="1033"/>
    </row>
    <row r="68" spans="2:6">
      <c r="B68" s="3826" t="s">
        <v>301</v>
      </c>
      <c r="C68" s="3821"/>
      <c r="D68" s="3821"/>
      <c r="E68" s="3821"/>
      <c r="F68" s="3821"/>
    </row>
    <row r="69" spans="2:6">
      <c r="B69" s="3826"/>
      <c r="C69" s="3822"/>
      <c r="D69" s="3822"/>
      <c r="E69" s="3822"/>
      <c r="F69" s="3822"/>
    </row>
    <row r="70" spans="2:6">
      <c r="B70" s="3826"/>
      <c r="C70" s="3822"/>
      <c r="D70" s="3822"/>
      <c r="E70" s="3822"/>
      <c r="F70" s="3822"/>
    </row>
    <row r="71" spans="2:6">
      <c r="B71" s="3826"/>
      <c r="C71" s="3823"/>
      <c r="D71" s="3823"/>
      <c r="E71" s="3823"/>
      <c r="F71" s="3823"/>
    </row>
    <row r="72" spans="2:6"/>
    <row r="73" spans="2:6">
      <c r="B73" t="s">
        <v>566</v>
      </c>
    </row>
    <row r="74" spans="2:6">
      <c r="B74" s="946"/>
      <c r="C74" s="961" t="s">
        <v>587</v>
      </c>
      <c r="D74" s="962"/>
      <c r="E74" s="963"/>
      <c r="F74" s="964"/>
    </row>
    <row r="75" spans="2:6">
      <c r="B75" s="952"/>
      <c r="C75" s="974" t="s">
        <v>586</v>
      </c>
      <c r="D75" s="970" t="s">
        <v>658</v>
      </c>
      <c r="E75" s="1075" t="e">
        <f>(#REF!+#REF!+#REF!)/CO2データ!$J$96*1000</f>
        <v>#REF!</v>
      </c>
      <c r="F75" s="973" t="s">
        <v>659</v>
      </c>
    </row>
    <row r="76" spans="2:6">
      <c r="B76" s="952" t="s">
        <v>591</v>
      </c>
      <c r="C76" s="952"/>
      <c r="D76" s="970" t="s">
        <v>660</v>
      </c>
      <c r="E76" s="1075" t="e">
        <f>(#REF!+#REF!+#REF!)/CO2データ!$J$96*1000</f>
        <v>#REF!</v>
      </c>
      <c r="F76" s="973" t="s">
        <v>661</v>
      </c>
    </row>
    <row r="77" spans="2:6">
      <c r="B77" s="952" t="s">
        <v>662</v>
      </c>
      <c r="C77" s="965"/>
      <c r="D77" s="970" t="s">
        <v>663</v>
      </c>
      <c r="E77" s="1075" t="e">
        <f>E75-E76</f>
        <v>#REF!</v>
      </c>
      <c r="F77" s="973" t="s">
        <v>661</v>
      </c>
    </row>
    <row r="78" spans="2:6">
      <c r="B78" s="952"/>
      <c r="C78" s="974" t="s">
        <v>1886</v>
      </c>
      <c r="D78" s="970" t="s">
        <v>1728</v>
      </c>
      <c r="E78" s="971" t="e">
        <f>E75*E81/E$6</f>
        <v>#REF!</v>
      </c>
      <c r="F78" s="1076" t="s">
        <v>2180</v>
      </c>
    </row>
    <row r="79" spans="2:6">
      <c r="B79" s="952"/>
      <c r="C79" s="952"/>
      <c r="D79" s="970" t="s">
        <v>660</v>
      </c>
      <c r="E79" s="971" t="e">
        <f>E78-E80</f>
        <v>#REF!</v>
      </c>
      <c r="F79" s="1076" t="s">
        <v>2180</v>
      </c>
    </row>
    <row r="80" spans="2:6">
      <c r="B80" s="952"/>
      <c r="C80" s="965"/>
      <c r="D80" s="970" t="s">
        <v>663</v>
      </c>
      <c r="E80" s="971" t="e">
        <f>E77*E82/E$6</f>
        <v>#REF!</v>
      </c>
      <c r="F80" s="1076" t="s">
        <v>2180</v>
      </c>
    </row>
    <row r="81" spans="2:6" hidden="1">
      <c r="B81" s="952"/>
      <c r="C81" s="974" t="s">
        <v>1887</v>
      </c>
      <c r="D81" s="970" t="s">
        <v>1729</v>
      </c>
      <c r="E81" s="1077">
        <f>CO2データ!I95</f>
        <v>0.45700000000000002</v>
      </c>
      <c r="F81" s="1076" t="s">
        <v>879</v>
      </c>
    </row>
    <row r="82" spans="2:6" hidden="1">
      <c r="B82" s="952"/>
      <c r="C82" s="952"/>
      <c r="D82" s="970" t="s">
        <v>880</v>
      </c>
      <c r="E82" s="1077">
        <f>CO2データ!I95</f>
        <v>0.45700000000000002</v>
      </c>
      <c r="F82" s="1076" t="s">
        <v>879</v>
      </c>
    </row>
    <row r="83" spans="2:6" hidden="1">
      <c r="B83" s="952"/>
      <c r="C83" s="965"/>
      <c r="D83" s="970" t="s">
        <v>1089</v>
      </c>
      <c r="E83" s="971" t="s">
        <v>966</v>
      </c>
      <c r="F83" s="973"/>
    </row>
    <row r="84" spans="2:6">
      <c r="B84" s="952"/>
      <c r="C84" s="961" t="s">
        <v>967</v>
      </c>
      <c r="D84" s="962"/>
      <c r="E84" s="963"/>
      <c r="F84" s="964"/>
    </row>
    <row r="85" spans="2:6">
      <c r="B85" s="952"/>
      <c r="C85" s="1078" t="s">
        <v>1756</v>
      </c>
      <c r="D85" s="966"/>
      <c r="E85" s="2754" t="e">
        <f>(CO2計算!I125*#REF!+CO2計算!I127*CO2データ!N211+CO2計算!I126*CO2データ!N210)/CO2データ!J96*1000</f>
        <v>#REF!</v>
      </c>
      <c r="F85" s="972" t="s">
        <v>659</v>
      </c>
    </row>
    <row r="86" spans="2:6">
      <c r="B86" s="952"/>
      <c r="C86" s="974" t="s">
        <v>1438</v>
      </c>
      <c r="D86" s="2752" t="s">
        <v>968</v>
      </c>
      <c r="E86" s="2755">
        <f>係数!D5*1000</f>
        <v>0.45700000000000002</v>
      </c>
      <c r="F86" s="2753" t="s">
        <v>1757</v>
      </c>
    </row>
    <row r="87" spans="2:6">
      <c r="B87" s="952"/>
      <c r="C87" s="965"/>
      <c r="D87" s="2752" t="s">
        <v>893</v>
      </c>
      <c r="E87" s="2756">
        <v>0</v>
      </c>
      <c r="F87" s="2753" t="s">
        <v>879</v>
      </c>
    </row>
    <row r="88" spans="2:6">
      <c r="B88" s="952"/>
      <c r="C88" s="974" t="s">
        <v>1758</v>
      </c>
      <c r="D88" s="1079" t="s">
        <v>2143</v>
      </c>
      <c r="E88" s="2754" t="e">
        <f>E85*(E86-E87)</f>
        <v>#REF!</v>
      </c>
      <c r="F88" s="1076" t="s">
        <v>360</v>
      </c>
    </row>
    <row r="89" spans="2:6">
      <c r="B89" s="1001"/>
      <c r="C89" s="1001"/>
      <c r="D89" s="1080" t="s">
        <v>969</v>
      </c>
      <c r="E89" s="1081" t="e">
        <f>E88/E6</f>
        <v>#REF!</v>
      </c>
      <c r="F89" s="1030" t="s">
        <v>2180</v>
      </c>
    </row>
    <row r="90" spans="2:6"/>
  </sheetData>
  <sheetProtection password="C784" sheet="1" objects="1" scenarios="1"/>
  <mergeCells count="8">
    <mergeCell ref="D68:D71"/>
    <mergeCell ref="E68:E71"/>
    <mergeCell ref="F68:F71"/>
    <mergeCell ref="B4:C4"/>
    <mergeCell ref="B10:B33"/>
    <mergeCell ref="B68:B71"/>
    <mergeCell ref="C68:C71"/>
    <mergeCell ref="B52:B56"/>
  </mergeCells>
  <phoneticPr fontId="27"/>
  <printOptions horizontalCentered="1"/>
  <pageMargins left="0.59055118110236227" right="0.59055118110236227" top="0.78740157480314965" bottom="0.59055118110236227" header="0.51181102362204722" footer="0.51181102362204722"/>
  <pageSetup paperSize="9" scale="86" fitToHeight="0" orientation="portrait" verticalDpi="300" r:id="rId1"/>
  <headerFooter alignWithMargins="0">
    <oddHeader>&amp;L&amp;F&amp;R&amp;A</oddHeader>
    <oddFooter>&amp;C&amp;P/&amp;N</oddFooter>
  </headerFooter>
  <rowBreaks count="1" manualBreakCount="1">
    <brk id="44" max="5"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pageSetUpPr autoPageBreaks="0"/>
  </sheetPr>
  <dimension ref="A1:SR234"/>
  <sheetViews>
    <sheetView showGridLines="0" zoomScale="25" zoomScaleNormal="25" workbookViewId="0">
      <selection activeCell="H17" sqref="H17"/>
    </sheetView>
  </sheetViews>
  <sheetFormatPr defaultColWidth="0" defaultRowHeight="13.5" zeroHeight="1"/>
  <cols>
    <col min="1" max="1" width="1.25" customWidth="1"/>
    <col min="2" max="2" width="7.25" style="1082" customWidth="1"/>
    <col min="3" max="3" width="37" style="1083" customWidth="1"/>
    <col min="4" max="4" width="8.875" style="1084" bestFit="1" customWidth="1"/>
    <col min="5" max="5" width="8.875" style="1085" bestFit="1" customWidth="1"/>
    <col min="6" max="6" width="1.625" customWidth="1"/>
    <col min="7" max="14" width="7.875" style="1085" customWidth="1"/>
    <col min="15" max="15" width="2.625" customWidth="1"/>
    <col min="16" max="16" width="5.875" style="1086" customWidth="1"/>
    <col min="17" max="17" width="7.875" style="1086" customWidth="1"/>
    <col min="18" max="18" width="37.25" style="1087" customWidth="1"/>
    <col min="19" max="30" width="6.625" style="1088" customWidth="1"/>
    <col min="31" max="31" width="8.875" style="1088" bestFit="1" customWidth="1"/>
    <col min="32" max="32" width="9.125" customWidth="1"/>
    <col min="33" max="33" width="10.5" style="44" hidden="1" customWidth="1"/>
    <col min="34" max="34" width="6.875" style="44" hidden="1" customWidth="1"/>
    <col min="35" max="35" width="40.625" style="1089" hidden="1" customWidth="1"/>
    <col min="36" max="36" width="6.375" style="44" hidden="1" customWidth="1"/>
    <col min="37" max="37" width="5.625" style="44" hidden="1" customWidth="1"/>
    <col min="38" max="39" width="6.375" style="44" hidden="1" customWidth="1"/>
    <col min="40" max="40" width="5.625" style="44" hidden="1" customWidth="1"/>
    <col min="41" max="41" width="6.125" style="44" hidden="1" customWidth="1"/>
    <col min="42" max="42" width="8" style="44" hidden="1" customWidth="1"/>
    <col min="43" max="43" width="6.375" style="44" hidden="1" customWidth="1"/>
    <col min="44" max="44" width="6" style="44" hidden="1" customWidth="1"/>
    <col min="45" max="45" width="6.375" style="44" hidden="1" customWidth="1"/>
    <col min="46" max="46" width="5.625" style="44" hidden="1" customWidth="1"/>
    <col min="47" max="47" width="7" style="44" hidden="1" customWidth="1"/>
    <col min="48" max="48" width="8.875" style="44" hidden="1" customWidth="1"/>
    <col min="49" max="49" width="1.375" hidden="1" customWidth="1"/>
    <col min="50" max="50" width="15.75" style="44" hidden="1" customWidth="1"/>
    <col min="51" max="51" width="6.875" style="44" hidden="1" customWidth="1"/>
    <col min="52" max="52" width="40.625" style="1089" hidden="1" customWidth="1"/>
    <col min="53" max="53" width="6.375" style="44" hidden="1" customWidth="1"/>
    <col min="54" max="54" width="5" style="44" hidden="1" customWidth="1"/>
    <col min="55" max="56" width="6.375" style="44" hidden="1" customWidth="1"/>
    <col min="57" max="57" width="5" style="44" hidden="1" customWidth="1"/>
    <col min="58" max="58" width="6.125" style="44" hidden="1" customWidth="1"/>
    <col min="59" max="59" width="8" style="44" hidden="1" customWidth="1"/>
    <col min="60" max="60" width="6.375" style="44" hidden="1" customWidth="1"/>
    <col min="61" max="61" width="6" style="44" hidden="1" customWidth="1"/>
    <col min="62" max="62" width="6.375" style="44" hidden="1" customWidth="1"/>
    <col min="63" max="63" width="5.625" style="44" hidden="1" customWidth="1"/>
    <col min="64" max="64" width="7" style="44" hidden="1" customWidth="1"/>
    <col min="65" max="65" width="8.875" style="44" hidden="1" customWidth="1"/>
    <col min="66" max="66" width="1.375" hidden="1" customWidth="1"/>
    <col min="67" max="67" width="22.875" style="44" hidden="1" customWidth="1"/>
    <col min="68" max="68" width="6.875" style="44" hidden="1" customWidth="1"/>
    <col min="69" max="69" width="40.625" style="1089" hidden="1" customWidth="1"/>
    <col min="70" max="70" width="6.375" style="44" hidden="1" customWidth="1"/>
    <col min="71" max="71" width="5.625" style="44" hidden="1" customWidth="1"/>
    <col min="72" max="73" width="6.375" style="44" hidden="1" customWidth="1"/>
    <col min="74" max="74" width="5.625" style="44" hidden="1" customWidth="1"/>
    <col min="75" max="75" width="6.125" style="44" hidden="1" customWidth="1"/>
    <col min="76" max="76" width="8" style="44" hidden="1" customWidth="1"/>
    <col min="77" max="77" width="6.375" style="44" hidden="1" customWidth="1"/>
    <col min="78" max="78" width="6" style="44" hidden="1" customWidth="1"/>
    <col min="79" max="79" width="6.375" style="44" hidden="1" customWidth="1"/>
    <col min="80" max="80" width="5.625" style="44" hidden="1" customWidth="1"/>
    <col min="81" max="81" width="7" style="44" hidden="1" customWidth="1"/>
    <col min="82" max="82" width="8.875" style="44" hidden="1" customWidth="1"/>
    <col min="83" max="83" width="1.875" style="44" hidden="1" customWidth="1"/>
    <col min="84" max="84" width="4.5" hidden="1" customWidth="1"/>
    <col min="85" max="85" width="15.75" style="44" hidden="1" customWidth="1"/>
    <col min="86" max="86" width="6.875" style="44" hidden="1" customWidth="1"/>
    <col min="87" max="87" width="40.625" style="44" hidden="1" customWidth="1"/>
    <col min="88" max="88" width="6.375" style="44" hidden="1" customWidth="1"/>
    <col min="89" max="89" width="5" style="44" hidden="1" customWidth="1"/>
    <col min="90" max="91" width="6.375" style="44" hidden="1" customWidth="1"/>
    <col min="92" max="92" width="5" style="44" hidden="1" customWidth="1"/>
    <col min="93" max="93" width="6.125" style="44" hidden="1" customWidth="1"/>
    <col min="94" max="94" width="8" style="44" hidden="1" customWidth="1"/>
    <col min="95" max="95" width="6.375" style="44" hidden="1" customWidth="1"/>
    <col min="96" max="96" width="5" style="44" hidden="1" customWidth="1"/>
    <col min="97" max="97" width="6.375" style="44" hidden="1" customWidth="1"/>
    <col min="98" max="98" width="5.625" style="44" hidden="1" customWidth="1"/>
    <col min="99" max="99" width="7" style="44" hidden="1" customWidth="1"/>
    <col min="100" max="100" width="8.875" style="44" hidden="1" customWidth="1"/>
    <col min="101" max="101" width="7.125" hidden="1" customWidth="1"/>
    <col min="102" max="102" width="20.625" hidden="1" customWidth="1"/>
    <col min="103" max="103" width="6.875" hidden="1" customWidth="1"/>
    <col min="104" max="104" width="32.875" hidden="1" customWidth="1"/>
    <col min="105" max="105" width="6.375" hidden="1" customWidth="1"/>
    <col min="106" max="106" width="4.75" hidden="1" customWidth="1"/>
    <col min="107" max="108" width="6.375" hidden="1" customWidth="1"/>
    <col min="109" max="109" width="4.75" hidden="1" customWidth="1"/>
    <col min="110" max="110" width="6.125" hidden="1" customWidth="1"/>
    <col min="111" max="111" width="8" hidden="1" customWidth="1"/>
    <col min="112" max="112" width="6.375" hidden="1" customWidth="1"/>
    <col min="113" max="113" width="4.75" hidden="1" customWidth="1"/>
    <col min="114" max="114" width="6.375" hidden="1" customWidth="1"/>
    <col min="115" max="115" width="5.625" hidden="1" customWidth="1"/>
    <col min="116" max="116" width="7" hidden="1" customWidth="1"/>
    <col min="117" max="117" width="8.875" hidden="1" customWidth="1"/>
    <col min="118" max="512" width="9" hidden="1" customWidth="1"/>
    <col min="513" max="16384" width="8.75" hidden="1"/>
  </cols>
  <sheetData>
    <row r="1" spans="2:117"/>
    <row r="2" spans="2:117" ht="17.25">
      <c r="B2" s="1090" t="s">
        <v>970</v>
      </c>
      <c r="C2" s="1091"/>
      <c r="D2" s="1092"/>
      <c r="E2" s="1093"/>
      <c r="G2" s="1093"/>
      <c r="H2" s="1093"/>
      <c r="I2" s="1094"/>
      <c r="J2" s="1094"/>
      <c r="K2" s="1093"/>
      <c r="L2" s="1093"/>
      <c r="M2" s="1093"/>
      <c r="N2" s="1093"/>
      <c r="P2" s="1095" t="s">
        <v>971</v>
      </c>
      <c r="Q2" s="1096"/>
      <c r="R2" s="1097"/>
      <c r="S2" s="1098"/>
      <c r="T2" s="1099"/>
      <c r="U2" s="1099"/>
      <c r="V2" s="1099"/>
      <c r="W2" s="1099"/>
      <c r="X2" s="1099"/>
      <c r="Y2" s="1099"/>
      <c r="Z2" s="1099"/>
      <c r="AA2" s="1099"/>
      <c r="AB2" s="1099"/>
      <c r="AC2" s="1099"/>
      <c r="AD2" s="1099"/>
      <c r="AE2" s="1099"/>
      <c r="AG2" s="1098"/>
      <c r="AH2" s="1098"/>
      <c r="AI2" s="1100"/>
      <c r="AJ2" s="1098"/>
      <c r="AK2" s="1098"/>
      <c r="AL2" s="1098"/>
      <c r="AM2" s="1098"/>
      <c r="AN2" s="1098"/>
      <c r="AO2" s="1098"/>
      <c r="AP2" s="1098"/>
      <c r="AQ2" s="1098"/>
      <c r="AR2" s="1098"/>
      <c r="AS2" s="1098"/>
      <c r="AT2" s="1098"/>
      <c r="AU2" s="1098"/>
      <c r="AV2" s="1098"/>
      <c r="AX2" s="1098"/>
      <c r="AY2" s="1098"/>
      <c r="AZ2" s="1100"/>
      <c r="BA2" s="1098"/>
      <c r="BB2" s="1098"/>
      <c r="BC2" s="1098"/>
      <c r="BD2" s="1098"/>
      <c r="BE2" s="1098"/>
      <c r="BF2" s="1098"/>
      <c r="BG2" s="1098"/>
      <c r="BH2" s="1098"/>
      <c r="BI2" s="1098"/>
      <c r="BJ2" s="1098"/>
      <c r="BK2" s="1098"/>
      <c r="BL2" s="1098"/>
      <c r="BM2" s="1098"/>
      <c r="BO2" s="1098"/>
      <c r="BP2" s="1098"/>
      <c r="BQ2" s="1100"/>
      <c r="BR2" s="1098"/>
      <c r="BS2" s="1098"/>
      <c r="BT2" s="1098"/>
      <c r="BU2" s="1098"/>
      <c r="BV2" s="1098"/>
      <c r="BW2" s="1098"/>
      <c r="BX2" s="1098"/>
      <c r="BY2" s="1098"/>
      <c r="BZ2" s="1098"/>
      <c r="CA2" s="1098"/>
      <c r="CB2" s="1098"/>
      <c r="CC2" s="1098"/>
      <c r="CD2" s="1098"/>
      <c r="CE2" s="1098"/>
      <c r="CG2" s="1098"/>
      <c r="CH2" s="1098"/>
      <c r="CI2" s="1098"/>
      <c r="CJ2" s="1098"/>
      <c r="CK2" s="1098"/>
      <c r="CL2" s="1098"/>
      <c r="CM2" s="1098"/>
      <c r="CN2" s="1098"/>
      <c r="CO2" s="1098"/>
      <c r="CP2" s="1098"/>
      <c r="CQ2" s="1098"/>
      <c r="CR2" s="1098"/>
      <c r="CS2" s="1098"/>
      <c r="CT2" s="1098"/>
      <c r="CU2" s="1098"/>
      <c r="CV2" s="1098"/>
    </row>
    <row r="3" spans="2:117" ht="17.25">
      <c r="B3" s="1090"/>
      <c r="C3" s="1091"/>
      <c r="D3" s="1092"/>
      <c r="E3" s="1093"/>
      <c r="G3" s="1093"/>
      <c r="H3" s="1093"/>
      <c r="I3" s="1094"/>
      <c r="J3" s="1094"/>
      <c r="K3" s="1093"/>
      <c r="L3" s="1093"/>
      <c r="M3" s="1093"/>
      <c r="N3" s="1093"/>
      <c r="P3" s="1515">
        <f>メイン!I3</f>
        <v>2</v>
      </c>
      <c r="Q3" s="1515" t="str">
        <f>LEFT(メイン!C5,6)</f>
        <v>CASBEE</v>
      </c>
      <c r="R3" s="1515" t="str">
        <f>メイン!J3</f>
        <v>NC</v>
      </c>
      <c r="S3" s="1101"/>
      <c r="T3" s="1099"/>
      <c r="U3" s="1099"/>
      <c r="V3" s="1099"/>
      <c r="W3" s="1099"/>
      <c r="X3" s="1099"/>
      <c r="Y3" s="1099"/>
      <c r="Z3" s="1099"/>
      <c r="AA3" s="1099"/>
      <c r="AB3" s="1099"/>
      <c r="AC3" s="1099"/>
      <c r="AD3" s="1099"/>
      <c r="AE3" s="1099"/>
      <c r="AG3" s="738" t="s">
        <v>972</v>
      </c>
      <c r="AH3" s="1098"/>
      <c r="AI3" s="1102"/>
      <c r="AJ3" s="1099"/>
      <c r="AK3" s="1099"/>
      <c r="AL3" s="1099"/>
      <c r="AM3" s="1099"/>
      <c r="AN3" s="1099"/>
      <c r="AO3" s="1099"/>
      <c r="AP3" s="1099"/>
      <c r="AQ3" s="1099"/>
      <c r="AR3" s="1099"/>
      <c r="AS3" s="1099"/>
      <c r="AT3" s="1099"/>
      <c r="AU3" s="1099"/>
      <c r="AV3" s="1099"/>
      <c r="AX3" s="738" t="s">
        <v>973</v>
      </c>
      <c r="AY3" s="1098"/>
      <c r="AZ3" s="1102"/>
      <c r="BA3" s="1099"/>
      <c r="BB3" s="1099"/>
      <c r="BC3" s="1099"/>
      <c r="BD3" s="1099"/>
      <c r="BE3" s="1099"/>
      <c r="BF3" s="1099"/>
      <c r="BG3" s="1099"/>
      <c r="BH3" s="1099"/>
      <c r="BI3" s="1099"/>
      <c r="BJ3" s="1099"/>
      <c r="BK3" s="1099"/>
      <c r="BL3" s="1099"/>
      <c r="BM3" s="1099"/>
      <c r="BO3" s="738" t="s">
        <v>974</v>
      </c>
      <c r="BP3" s="1098"/>
      <c r="BQ3" s="1102"/>
      <c r="BR3" s="1099"/>
      <c r="BS3" s="1099"/>
      <c r="BT3" s="1099"/>
      <c r="BU3" s="1099"/>
      <c r="BV3" s="1099"/>
      <c r="BW3" s="1099"/>
      <c r="BX3" s="1099"/>
      <c r="BY3" s="1099"/>
      <c r="BZ3" s="1099"/>
      <c r="CA3" s="1099"/>
      <c r="CB3" s="1099"/>
      <c r="CC3" s="1099"/>
      <c r="CD3" s="1099"/>
      <c r="CE3" s="1099"/>
      <c r="CG3" s="738" t="s">
        <v>2663</v>
      </c>
      <c r="CH3" s="1098"/>
      <c r="CI3" s="1102"/>
      <c r="CJ3" s="1099"/>
      <c r="CK3" s="1099"/>
      <c r="CL3" s="1099"/>
      <c r="CM3" s="1099"/>
      <c r="CN3" s="1099"/>
      <c r="CO3" s="1099"/>
      <c r="CP3" s="1099"/>
      <c r="CQ3" s="1099"/>
      <c r="CR3" s="1099"/>
      <c r="CS3" s="1099"/>
      <c r="CT3" s="1099"/>
      <c r="CU3" s="1099"/>
      <c r="CV3" s="1099"/>
      <c r="CX3" s="738" t="s">
        <v>2763</v>
      </c>
      <c r="CY3" s="1098"/>
      <c r="CZ3" s="1102"/>
      <c r="DA3" s="1099"/>
      <c r="DB3" s="1099"/>
      <c r="DC3" s="1099"/>
      <c r="DD3" s="1099"/>
      <c r="DE3" s="1099"/>
      <c r="DF3" s="1099"/>
      <c r="DG3" s="1099"/>
      <c r="DH3" s="1099"/>
      <c r="DI3" s="1099"/>
      <c r="DJ3" s="1099"/>
      <c r="DK3" s="1099"/>
      <c r="DL3" s="1099"/>
      <c r="DM3" s="1099"/>
    </row>
    <row r="4" spans="2:117" ht="4.5" customHeight="1">
      <c r="B4" s="1090"/>
      <c r="C4" s="1091"/>
      <c r="D4" s="1092"/>
      <c r="E4" s="1093"/>
      <c r="G4" s="1093"/>
      <c r="H4" s="1093"/>
      <c r="I4" s="1094"/>
      <c r="J4" s="1094"/>
      <c r="K4" s="1093"/>
      <c r="L4" s="1093"/>
      <c r="M4" s="1093"/>
      <c r="N4" s="1093"/>
      <c r="P4" s="1515"/>
      <c r="Q4" s="1515"/>
      <c r="R4" s="1515"/>
      <c r="S4" s="1099"/>
      <c r="T4" s="1099"/>
      <c r="U4" s="1099"/>
      <c r="V4" s="1099"/>
      <c r="W4" s="1099"/>
      <c r="X4" s="1099"/>
      <c r="Y4" s="1099"/>
      <c r="Z4" s="1099"/>
      <c r="AA4" s="1099"/>
      <c r="AB4" s="1099"/>
      <c r="AC4" s="1099"/>
      <c r="AD4" s="1099"/>
      <c r="AE4" s="1099"/>
      <c r="AG4" s="738"/>
      <c r="AH4" s="1096"/>
      <c r="AI4" s="1102"/>
      <c r="AJ4" s="1099"/>
      <c r="AK4" s="1099"/>
      <c r="AL4" s="1099"/>
      <c r="AM4" s="1099"/>
      <c r="AN4" s="1099"/>
      <c r="AO4" s="1099"/>
      <c r="AP4" s="1099"/>
      <c r="AQ4" s="1099"/>
      <c r="AR4" s="1099"/>
      <c r="AS4" s="1099"/>
      <c r="AT4" s="1099"/>
      <c r="AU4" s="1099"/>
      <c r="AV4" s="1099"/>
      <c r="AX4" s="738"/>
      <c r="AY4" s="1096"/>
      <c r="AZ4" s="1102"/>
      <c r="BA4" s="1099"/>
      <c r="BB4" s="1099"/>
      <c r="BC4" s="1099"/>
      <c r="BD4" s="1099"/>
      <c r="BE4" s="1099"/>
      <c r="BF4" s="1099"/>
      <c r="BG4" s="1099"/>
      <c r="BH4" s="1099"/>
      <c r="BI4" s="1099"/>
      <c r="BJ4" s="1099"/>
      <c r="BK4" s="1099"/>
      <c r="BL4" s="1099"/>
      <c r="BM4" s="1099"/>
      <c r="BO4" s="738"/>
      <c r="BP4" s="1096"/>
      <c r="BQ4" s="1102"/>
      <c r="BR4" s="1099"/>
      <c r="BS4" s="1099"/>
      <c r="BT4" s="1099"/>
      <c r="BU4" s="1099"/>
      <c r="BV4" s="1099"/>
      <c r="BW4" s="1099"/>
      <c r="BX4" s="1099"/>
      <c r="BY4" s="1099"/>
      <c r="BZ4" s="1099"/>
      <c r="CA4" s="1099"/>
      <c r="CB4" s="1099"/>
      <c r="CC4" s="1099"/>
      <c r="CD4" s="1099"/>
      <c r="CE4" s="1099"/>
      <c r="CG4" s="738"/>
      <c r="CH4" s="1096"/>
      <c r="CI4" s="1102"/>
      <c r="CJ4" s="1099"/>
      <c r="CK4" s="1099"/>
      <c r="CL4" s="1099"/>
      <c r="CM4" s="1099"/>
      <c r="CN4" s="1099"/>
      <c r="CO4" s="1099"/>
      <c r="CP4" s="1099"/>
      <c r="CQ4" s="1099"/>
      <c r="CR4" s="1099"/>
      <c r="CS4" s="1099"/>
      <c r="CT4" s="1099"/>
      <c r="CU4" s="1099"/>
      <c r="CV4" s="1099"/>
      <c r="CX4" s="738"/>
      <c r="CY4" s="1096"/>
      <c r="CZ4" s="1102"/>
      <c r="DA4" s="1099"/>
      <c r="DB4" s="1099"/>
      <c r="DC4" s="1099"/>
      <c r="DD4" s="1099"/>
      <c r="DE4" s="1099"/>
      <c r="DF4" s="1099"/>
      <c r="DG4" s="1099"/>
      <c r="DH4" s="1099"/>
      <c r="DI4" s="1099"/>
      <c r="DJ4" s="1099"/>
      <c r="DK4" s="1099"/>
      <c r="DL4" s="1099"/>
      <c r="DM4" s="1099"/>
    </row>
    <row r="5" spans="2:117">
      <c r="B5" s="1103"/>
      <c r="C5" s="1104"/>
      <c r="D5" s="1105" t="s">
        <v>975</v>
      </c>
      <c r="E5" s="1106"/>
      <c r="G5" s="1107" t="s">
        <v>976</v>
      </c>
      <c r="H5" s="1108"/>
      <c r="I5" s="1109" t="s">
        <v>977</v>
      </c>
      <c r="J5" s="1110"/>
      <c r="K5" s="1107" t="s">
        <v>978</v>
      </c>
      <c r="L5" s="1108"/>
      <c r="M5" s="1107" t="s">
        <v>979</v>
      </c>
      <c r="N5" s="1108"/>
      <c r="P5" s="1111"/>
      <c r="Q5" s="1111"/>
      <c r="R5" s="1112"/>
      <c r="S5" s="3832" t="s">
        <v>761</v>
      </c>
      <c r="T5" s="3832"/>
      <c r="U5" s="3832"/>
      <c r="V5" s="3832"/>
      <c r="W5" s="3832"/>
      <c r="X5" s="3832"/>
      <c r="Y5" s="3832"/>
      <c r="Z5" s="3832"/>
      <c r="AA5" s="3833"/>
      <c r="AB5" s="1113" t="s">
        <v>762</v>
      </c>
      <c r="AC5" s="3832" t="s">
        <v>763</v>
      </c>
      <c r="AD5" s="3832"/>
      <c r="AE5" s="3832"/>
      <c r="AG5" s="1111"/>
      <c r="AH5" s="1111"/>
      <c r="AI5" s="1114"/>
      <c r="AJ5" s="3832" t="s">
        <v>761</v>
      </c>
      <c r="AK5" s="3832"/>
      <c r="AL5" s="3832"/>
      <c r="AM5" s="3832"/>
      <c r="AN5" s="3832"/>
      <c r="AO5" s="3832"/>
      <c r="AP5" s="3832"/>
      <c r="AQ5" s="3832"/>
      <c r="AR5" s="3833"/>
      <c r="AS5" s="1113" t="s">
        <v>762</v>
      </c>
      <c r="AT5" s="3832" t="s">
        <v>763</v>
      </c>
      <c r="AU5" s="3832"/>
      <c r="AV5" s="3832"/>
      <c r="AX5" s="1111"/>
      <c r="AY5" s="1111"/>
      <c r="AZ5" s="1114"/>
      <c r="BA5" s="3832" t="s">
        <v>761</v>
      </c>
      <c r="BB5" s="3832"/>
      <c r="BC5" s="3832"/>
      <c r="BD5" s="3832"/>
      <c r="BE5" s="3832"/>
      <c r="BF5" s="3832"/>
      <c r="BG5" s="3832"/>
      <c r="BH5" s="3832"/>
      <c r="BI5" s="3833"/>
      <c r="BJ5" s="1113" t="s">
        <v>762</v>
      </c>
      <c r="BK5" s="3832" t="s">
        <v>763</v>
      </c>
      <c r="BL5" s="3832"/>
      <c r="BM5" s="3832"/>
      <c r="BO5" s="1111"/>
      <c r="BP5" s="1111"/>
      <c r="BQ5" s="1114"/>
      <c r="BR5" s="3832" t="s">
        <v>761</v>
      </c>
      <c r="BS5" s="3832"/>
      <c r="BT5" s="3832"/>
      <c r="BU5" s="3832"/>
      <c r="BV5" s="3832"/>
      <c r="BW5" s="3832"/>
      <c r="BX5" s="3832"/>
      <c r="BY5" s="3832"/>
      <c r="BZ5" s="3833"/>
      <c r="CA5" s="1113" t="s">
        <v>762</v>
      </c>
      <c r="CB5" s="3832" t="s">
        <v>763</v>
      </c>
      <c r="CC5" s="3832"/>
      <c r="CD5" s="3832"/>
      <c r="CE5" s="1376"/>
      <c r="CG5" s="1111"/>
      <c r="CH5" s="1111"/>
      <c r="CI5" s="1114"/>
      <c r="CJ5" s="3832" t="s">
        <v>761</v>
      </c>
      <c r="CK5" s="3832"/>
      <c r="CL5" s="3832"/>
      <c r="CM5" s="3832"/>
      <c r="CN5" s="3832"/>
      <c r="CO5" s="3832"/>
      <c r="CP5" s="3832"/>
      <c r="CQ5" s="3832"/>
      <c r="CR5" s="3833"/>
      <c r="CS5" s="1113" t="s">
        <v>762</v>
      </c>
      <c r="CT5" s="3832" t="s">
        <v>763</v>
      </c>
      <c r="CU5" s="3832"/>
      <c r="CV5" s="3832"/>
      <c r="CX5" s="1111"/>
      <c r="CY5" s="1111"/>
      <c r="CZ5" s="1114"/>
      <c r="DA5" s="3832" t="s">
        <v>761</v>
      </c>
      <c r="DB5" s="3832"/>
      <c r="DC5" s="3832"/>
      <c r="DD5" s="3832"/>
      <c r="DE5" s="3832"/>
      <c r="DF5" s="3832"/>
      <c r="DG5" s="3832"/>
      <c r="DH5" s="3832"/>
      <c r="DI5" s="3833"/>
      <c r="DJ5" s="1113" t="s">
        <v>762</v>
      </c>
      <c r="DK5" s="3832" t="s">
        <v>763</v>
      </c>
      <c r="DL5" s="3832"/>
      <c r="DM5" s="3832"/>
    </row>
    <row r="6" spans="2:117">
      <c r="B6" s="1115"/>
      <c r="C6" s="1116"/>
      <c r="D6" s="1117" t="s">
        <v>764</v>
      </c>
      <c r="E6" s="1117" t="s">
        <v>765</v>
      </c>
      <c r="G6" s="1117" t="s">
        <v>764</v>
      </c>
      <c r="H6" s="1117" t="s">
        <v>765</v>
      </c>
      <c r="I6" s="1117" t="s">
        <v>764</v>
      </c>
      <c r="J6" s="1117" t="s">
        <v>765</v>
      </c>
      <c r="K6" s="1117" t="s">
        <v>764</v>
      </c>
      <c r="L6" s="1117" t="s">
        <v>765</v>
      </c>
      <c r="M6" s="1117" t="s">
        <v>764</v>
      </c>
      <c r="N6" s="1117" t="s">
        <v>765</v>
      </c>
      <c r="P6" s="1112"/>
      <c r="Q6" s="1112" t="s">
        <v>1777</v>
      </c>
      <c r="R6" s="1112" t="s">
        <v>766</v>
      </c>
      <c r="S6" s="1118" t="s">
        <v>377</v>
      </c>
      <c r="T6" s="1118" t="s">
        <v>378</v>
      </c>
      <c r="U6" s="1118" t="s">
        <v>379</v>
      </c>
      <c r="V6" s="1118" t="s">
        <v>380</v>
      </c>
      <c r="W6" s="1118" t="s">
        <v>382</v>
      </c>
      <c r="X6" s="1118" t="s">
        <v>383</v>
      </c>
      <c r="Y6" s="1118" t="s">
        <v>384</v>
      </c>
      <c r="Z6" s="1119" t="s">
        <v>1619</v>
      </c>
      <c r="AA6" s="1118" t="s">
        <v>385</v>
      </c>
      <c r="AB6" s="1118" t="s">
        <v>378</v>
      </c>
      <c r="AC6" s="1120" t="s">
        <v>1759</v>
      </c>
      <c r="AD6" s="1118" t="s">
        <v>197</v>
      </c>
      <c r="AE6" s="1118" t="s">
        <v>198</v>
      </c>
      <c r="AG6" s="1112"/>
      <c r="AH6" s="1112" t="s">
        <v>1777</v>
      </c>
      <c r="AI6" s="1114" t="s">
        <v>766</v>
      </c>
      <c r="AJ6" s="1118" t="s">
        <v>377</v>
      </c>
      <c r="AK6" s="1118" t="s">
        <v>378</v>
      </c>
      <c r="AL6" s="1118" t="s">
        <v>379</v>
      </c>
      <c r="AM6" s="1118" t="s">
        <v>380</v>
      </c>
      <c r="AN6" s="1118" t="s">
        <v>382</v>
      </c>
      <c r="AO6" s="1118" t="s">
        <v>383</v>
      </c>
      <c r="AP6" s="1118" t="s">
        <v>384</v>
      </c>
      <c r="AQ6" s="1119" t="s">
        <v>1619</v>
      </c>
      <c r="AR6" s="1118" t="s">
        <v>385</v>
      </c>
      <c r="AS6" s="1118" t="s">
        <v>378</v>
      </c>
      <c r="AT6" s="1120" t="s">
        <v>1759</v>
      </c>
      <c r="AU6" s="1118" t="s">
        <v>197</v>
      </c>
      <c r="AV6" s="1118" t="s">
        <v>198</v>
      </c>
      <c r="AX6" s="1112"/>
      <c r="AY6" s="1112" t="s">
        <v>1777</v>
      </c>
      <c r="AZ6" s="1114" t="s">
        <v>766</v>
      </c>
      <c r="BA6" s="1118" t="s">
        <v>377</v>
      </c>
      <c r="BB6" s="1118" t="s">
        <v>378</v>
      </c>
      <c r="BC6" s="1118" t="s">
        <v>379</v>
      </c>
      <c r="BD6" s="1118" t="s">
        <v>380</v>
      </c>
      <c r="BE6" s="1118" t="s">
        <v>382</v>
      </c>
      <c r="BF6" s="1118" t="s">
        <v>383</v>
      </c>
      <c r="BG6" s="1118" t="s">
        <v>384</v>
      </c>
      <c r="BH6" s="1119" t="s">
        <v>1619</v>
      </c>
      <c r="BI6" s="1118" t="s">
        <v>385</v>
      </c>
      <c r="BJ6" s="1118" t="s">
        <v>378</v>
      </c>
      <c r="BK6" s="1120" t="s">
        <v>1759</v>
      </c>
      <c r="BL6" s="1118" t="s">
        <v>197</v>
      </c>
      <c r="BM6" s="1118" t="s">
        <v>198</v>
      </c>
      <c r="BO6" s="1112"/>
      <c r="BP6" s="1112" t="s">
        <v>1777</v>
      </c>
      <c r="BQ6" s="1114" t="s">
        <v>766</v>
      </c>
      <c r="BR6" s="1118" t="s">
        <v>377</v>
      </c>
      <c r="BS6" s="1118" t="s">
        <v>378</v>
      </c>
      <c r="BT6" s="1118" t="s">
        <v>379</v>
      </c>
      <c r="BU6" s="1118" t="s">
        <v>380</v>
      </c>
      <c r="BV6" s="1118" t="s">
        <v>382</v>
      </c>
      <c r="BW6" s="1118" t="s">
        <v>383</v>
      </c>
      <c r="BX6" s="1118" t="s">
        <v>384</v>
      </c>
      <c r="BY6" s="1119" t="s">
        <v>1619</v>
      </c>
      <c r="BZ6" s="1118" t="s">
        <v>385</v>
      </c>
      <c r="CA6" s="1118" t="s">
        <v>378</v>
      </c>
      <c r="CB6" s="1120" t="s">
        <v>1759</v>
      </c>
      <c r="CC6" s="1118" t="s">
        <v>197</v>
      </c>
      <c r="CD6" s="1118" t="s">
        <v>198</v>
      </c>
      <c r="CE6" s="1377"/>
      <c r="CG6" s="1112"/>
      <c r="CH6" s="1112" t="s">
        <v>1777</v>
      </c>
      <c r="CI6" s="1114" t="s">
        <v>766</v>
      </c>
      <c r="CJ6" s="1118" t="s">
        <v>377</v>
      </c>
      <c r="CK6" s="1118" t="s">
        <v>378</v>
      </c>
      <c r="CL6" s="1118" t="s">
        <v>379</v>
      </c>
      <c r="CM6" s="1118" t="s">
        <v>380</v>
      </c>
      <c r="CN6" s="1118" t="s">
        <v>382</v>
      </c>
      <c r="CO6" s="1118" t="s">
        <v>383</v>
      </c>
      <c r="CP6" s="1118" t="s">
        <v>384</v>
      </c>
      <c r="CQ6" s="1119" t="s">
        <v>1619</v>
      </c>
      <c r="CR6" s="1118" t="s">
        <v>385</v>
      </c>
      <c r="CS6" s="1118" t="s">
        <v>378</v>
      </c>
      <c r="CT6" s="1120" t="s">
        <v>1759</v>
      </c>
      <c r="CU6" s="1118" t="s">
        <v>197</v>
      </c>
      <c r="CV6" s="1118" t="s">
        <v>198</v>
      </c>
      <c r="CX6" s="1112"/>
      <c r="CY6" s="1112" t="s">
        <v>1777</v>
      </c>
      <c r="CZ6" s="1114" t="s">
        <v>766</v>
      </c>
      <c r="DA6" s="1118" t="s">
        <v>377</v>
      </c>
      <c r="DB6" s="1118" t="s">
        <v>378</v>
      </c>
      <c r="DC6" s="1118" t="s">
        <v>379</v>
      </c>
      <c r="DD6" s="1118" t="s">
        <v>380</v>
      </c>
      <c r="DE6" s="1118" t="s">
        <v>382</v>
      </c>
      <c r="DF6" s="1118" t="s">
        <v>383</v>
      </c>
      <c r="DG6" s="1118" t="s">
        <v>384</v>
      </c>
      <c r="DH6" s="1119" t="s">
        <v>1619</v>
      </c>
      <c r="DI6" s="1118" t="s">
        <v>385</v>
      </c>
      <c r="DJ6" s="1118" t="s">
        <v>378</v>
      </c>
      <c r="DK6" s="1120" t="s">
        <v>1759</v>
      </c>
      <c r="DL6" s="1118" t="s">
        <v>197</v>
      </c>
      <c r="DM6" s="1118" t="s">
        <v>198</v>
      </c>
    </row>
    <row r="7" spans="2:117">
      <c r="B7" s="1121"/>
      <c r="C7" s="1122" t="s">
        <v>199</v>
      </c>
      <c r="D7" s="1123">
        <f>1-E7</f>
        <v>0.46666666666666667</v>
      </c>
      <c r="E7" s="1124">
        <f>(AC8*W7)+(AD8*X7)+(AE8*Y7)</f>
        <v>0.53333333333333333</v>
      </c>
      <c r="G7" s="1124"/>
      <c r="H7" s="1124"/>
      <c r="I7" s="1124"/>
      <c r="J7" s="1124"/>
      <c r="K7" s="1124"/>
      <c r="L7" s="1124"/>
      <c r="M7" s="1124"/>
      <c r="N7" s="1124"/>
      <c r="P7" s="1111"/>
      <c r="Q7" s="1111" t="s">
        <v>767</v>
      </c>
      <c r="R7" s="1112" t="s">
        <v>768</v>
      </c>
      <c r="S7" s="1125">
        <f>メイン!C47/メイン!$C$19</f>
        <v>0.33333333333333331</v>
      </c>
      <c r="T7" s="1125">
        <f>(メイン!E50+メイン!E54)/メイン!$C$19</f>
        <v>0</v>
      </c>
      <c r="U7" s="1125">
        <f>メイン!C55/メイン!$C$19</f>
        <v>0</v>
      </c>
      <c r="V7" s="1125">
        <f>メイン!C59/メイン!$C$19</f>
        <v>0</v>
      </c>
      <c r="W7" s="1125">
        <f>メイン!C64/メイン!$C$19</f>
        <v>0</v>
      </c>
      <c r="X7" s="1125">
        <f>メイン!C65/メイン!$C$19</f>
        <v>0</v>
      </c>
      <c r="Y7" s="1125">
        <f>メイン!C67/メイン!$C$19</f>
        <v>0.66666666666666663</v>
      </c>
      <c r="Z7" s="1125">
        <f>メイン!C60/メイン!$C$19</f>
        <v>0</v>
      </c>
      <c r="AA7" s="1125">
        <f>メイン!C63/メイン!$C$19</f>
        <v>0</v>
      </c>
      <c r="AB7" s="1125">
        <f>(メイン!E51+メイン!E52+メイン!E53)/メイン!$C$19</f>
        <v>0</v>
      </c>
      <c r="AC7" s="1125">
        <f>W7</f>
        <v>0</v>
      </c>
      <c r="AD7" s="1125">
        <f>X7</f>
        <v>0</v>
      </c>
      <c r="AE7" s="1125">
        <f>Y7</f>
        <v>0.66666666666666663</v>
      </c>
      <c r="AG7" s="1111"/>
      <c r="AH7" s="1111"/>
      <c r="AI7" s="1114"/>
      <c r="AJ7" s="1125"/>
      <c r="AK7" s="1125"/>
      <c r="AL7" s="1125"/>
      <c r="AM7" s="1125"/>
      <c r="AN7" s="1125"/>
      <c r="AO7" s="1125"/>
      <c r="AP7" s="1125"/>
      <c r="AQ7" s="1126"/>
      <c r="AR7" s="1125"/>
      <c r="AS7" s="1125"/>
      <c r="AT7" s="1125"/>
      <c r="AU7" s="1125"/>
      <c r="AV7" s="1125"/>
      <c r="AX7" s="1111"/>
      <c r="AY7" s="1111"/>
      <c r="AZ7" s="1114"/>
      <c r="BA7" s="1125"/>
      <c r="BB7" s="1125"/>
      <c r="BC7" s="1125"/>
      <c r="BD7" s="1125"/>
      <c r="BE7" s="1125"/>
      <c r="BF7" s="1125"/>
      <c r="BG7" s="1125"/>
      <c r="BH7" s="1126"/>
      <c r="BI7" s="1125"/>
      <c r="BJ7" s="1125"/>
      <c r="BK7" s="1125"/>
      <c r="BL7" s="1125"/>
      <c r="BM7" s="1125"/>
      <c r="BO7" s="1111"/>
      <c r="BP7" s="1111"/>
      <c r="BQ7" s="1114"/>
      <c r="BR7" s="1125"/>
      <c r="BS7" s="1125"/>
      <c r="BT7" s="1125"/>
      <c r="BU7" s="1125"/>
      <c r="BV7" s="1125"/>
      <c r="BW7" s="1125"/>
      <c r="BX7" s="1125"/>
      <c r="BY7" s="1126"/>
      <c r="BZ7" s="1125"/>
      <c r="CA7" s="1125"/>
      <c r="CB7" s="1125"/>
      <c r="CC7" s="1125"/>
      <c r="CD7" s="1125"/>
      <c r="CE7" s="1378"/>
      <c r="CG7" s="1111"/>
      <c r="CH7" s="1111"/>
      <c r="CI7" s="1114"/>
      <c r="CJ7" s="1125"/>
      <c r="CK7" s="1125"/>
      <c r="CL7" s="1125"/>
      <c r="CM7" s="1125"/>
      <c r="CN7" s="1125"/>
      <c r="CO7" s="1125"/>
      <c r="CP7" s="1125"/>
      <c r="CQ7" s="1126"/>
      <c r="CR7" s="1125"/>
      <c r="CS7" s="1125"/>
      <c r="CT7" s="1125"/>
      <c r="CU7" s="1125"/>
      <c r="CV7" s="1125"/>
      <c r="CX7" s="1111"/>
      <c r="CY7" s="1111"/>
      <c r="CZ7" s="1114"/>
      <c r="DA7" s="1125"/>
      <c r="DB7" s="1125"/>
      <c r="DC7" s="1125"/>
      <c r="DD7" s="1125"/>
      <c r="DE7" s="1125"/>
      <c r="DF7" s="1125"/>
      <c r="DG7" s="1125"/>
      <c r="DH7" s="1126"/>
      <c r="DI7" s="1125"/>
      <c r="DJ7" s="1125"/>
      <c r="DK7" s="1125"/>
      <c r="DL7" s="1125"/>
      <c r="DM7" s="1125"/>
    </row>
    <row r="8" spans="2:117" ht="14.25">
      <c r="B8" s="1127" t="s">
        <v>200</v>
      </c>
      <c r="C8" s="1128" t="s">
        <v>778</v>
      </c>
      <c r="D8" s="1129"/>
      <c r="E8" s="1130"/>
      <c r="G8" s="1130"/>
      <c r="H8" s="1130"/>
      <c r="I8" s="1130">
        <f>G9+G62+G112</f>
        <v>1</v>
      </c>
      <c r="J8" s="1130">
        <f>H9+H62+H112</f>
        <v>0</v>
      </c>
      <c r="K8" s="1130"/>
      <c r="L8" s="1130"/>
      <c r="M8" s="1130"/>
      <c r="N8" s="1130"/>
      <c r="P8" s="1127"/>
      <c r="Q8" s="1127" t="s">
        <v>201</v>
      </c>
      <c r="R8" s="1112" t="s">
        <v>779</v>
      </c>
      <c r="S8" s="1125"/>
      <c r="T8" s="1125"/>
      <c r="U8" s="1125"/>
      <c r="V8" s="1125"/>
      <c r="W8" s="1125">
        <f>1-メイン!F71</f>
        <v>1</v>
      </c>
      <c r="X8" s="1125">
        <f>1-メイン!F72</f>
        <v>1</v>
      </c>
      <c r="Y8" s="1125">
        <f>1-メイン!F73</f>
        <v>0.19999999999999996</v>
      </c>
      <c r="Z8" s="1126"/>
      <c r="AA8" s="1125"/>
      <c r="AB8" s="1125"/>
      <c r="AC8" s="1577">
        <f>メイン!F71</f>
        <v>0</v>
      </c>
      <c r="AD8" s="1578">
        <f>メイン!F72</f>
        <v>0</v>
      </c>
      <c r="AE8" s="1125">
        <f>メイン!F73</f>
        <v>0.8</v>
      </c>
      <c r="AG8" s="1127" t="s">
        <v>202</v>
      </c>
      <c r="AH8" s="1127"/>
      <c r="AI8" s="1131" t="s">
        <v>203</v>
      </c>
      <c r="AJ8" s="1132"/>
      <c r="AK8" s="1132"/>
      <c r="AL8" s="1132"/>
      <c r="AM8" s="1132"/>
      <c r="AN8" s="1132"/>
      <c r="AO8" s="1132"/>
      <c r="AP8" s="1132"/>
      <c r="AQ8" s="1133"/>
      <c r="AR8" s="1132"/>
      <c r="AS8" s="1132"/>
      <c r="AT8" s="1134"/>
      <c r="AU8" s="1135"/>
      <c r="AV8" s="1135"/>
      <c r="AX8" s="1127" t="s">
        <v>202</v>
      </c>
      <c r="AY8" s="1127"/>
      <c r="AZ8" s="1131" t="s">
        <v>203</v>
      </c>
      <c r="BA8" s="1132"/>
      <c r="BB8" s="1132"/>
      <c r="BC8" s="1132"/>
      <c r="BD8" s="1132"/>
      <c r="BE8" s="1132"/>
      <c r="BF8" s="1132"/>
      <c r="BG8" s="1132"/>
      <c r="BH8" s="1133"/>
      <c r="BI8" s="1132"/>
      <c r="BJ8" s="1132"/>
      <c r="BK8" s="1134"/>
      <c r="BL8" s="1135"/>
      <c r="BM8" s="1135"/>
      <c r="BO8" s="1127" t="s">
        <v>202</v>
      </c>
      <c r="BP8" s="1127"/>
      <c r="BQ8" s="1131" t="s">
        <v>203</v>
      </c>
      <c r="BR8" s="1132"/>
      <c r="BS8" s="1132"/>
      <c r="BT8" s="1132"/>
      <c r="BU8" s="1132"/>
      <c r="BV8" s="1132"/>
      <c r="BW8" s="1132"/>
      <c r="BX8" s="1132"/>
      <c r="BY8" s="1133"/>
      <c r="BZ8" s="1132"/>
      <c r="CA8" s="1132"/>
      <c r="CB8" s="1134"/>
      <c r="CC8" s="1135"/>
      <c r="CD8" s="1135"/>
      <c r="CE8" s="1379"/>
      <c r="CG8" s="1127" t="s">
        <v>200</v>
      </c>
      <c r="CH8" s="1127"/>
      <c r="CI8" s="1131" t="s">
        <v>203</v>
      </c>
      <c r="CJ8" s="1132"/>
      <c r="CK8" s="1132"/>
      <c r="CL8" s="1132"/>
      <c r="CM8" s="1132"/>
      <c r="CN8" s="1132"/>
      <c r="CO8" s="1132"/>
      <c r="CP8" s="1132"/>
      <c r="CQ8" s="1133"/>
      <c r="CR8" s="1132"/>
      <c r="CS8" s="1132"/>
      <c r="CT8" s="1134"/>
      <c r="CU8" s="1135"/>
      <c r="CV8" s="1135"/>
      <c r="CX8" s="1127" t="s">
        <v>200</v>
      </c>
      <c r="CY8" s="1127"/>
      <c r="CZ8" s="1131" t="s">
        <v>203</v>
      </c>
      <c r="DA8" s="1132">
        <f>BR8</f>
        <v>0</v>
      </c>
      <c r="DB8" s="1132"/>
      <c r="DC8" s="1132"/>
      <c r="DD8" s="1132"/>
      <c r="DE8" s="1132"/>
      <c r="DF8" s="1132"/>
      <c r="DG8" s="1132"/>
      <c r="DH8" s="1133"/>
      <c r="DI8" s="1132"/>
      <c r="DJ8" s="1132"/>
      <c r="DK8" s="1134"/>
      <c r="DL8" s="1135"/>
      <c r="DM8" s="1135"/>
    </row>
    <row r="9" spans="2:117">
      <c r="B9" s="1136" t="str">
        <f t="shared" ref="B9:B42" si="0">P9</f>
        <v>Q1</v>
      </c>
      <c r="C9" s="1139" t="str">
        <f t="shared" ref="C9:C72" si="1">R9</f>
        <v>室内環境</v>
      </c>
      <c r="D9" s="1137">
        <f>IF(I$8=0,0,G9/I$8)</f>
        <v>0.4</v>
      </c>
      <c r="E9" s="1138">
        <f>IF(J$8=0,0,H9/J$8)</f>
        <v>0</v>
      </c>
      <c r="G9" s="1138">
        <f t="shared" ref="G9:G41" si="2">K9*M9</f>
        <v>0.4</v>
      </c>
      <c r="H9" s="1138">
        <f t="shared" ref="H9:H41" si="3">L9*N9</f>
        <v>0</v>
      </c>
      <c r="I9" s="1138">
        <f>G10+G20+G35+G48</f>
        <v>1</v>
      </c>
      <c r="J9" s="1138">
        <f>H10+H20+H35+H48</f>
        <v>0</v>
      </c>
      <c r="K9" s="1138">
        <f>IF(スコア!U9=0,0,1)</f>
        <v>1</v>
      </c>
      <c r="L9" s="1138">
        <f>IF(スコア!S9=0,0,1)</f>
        <v>0</v>
      </c>
      <c r="M9" s="1138">
        <f t="shared" ref="M9:M41" si="4">SUMPRODUCT($S$7:$AB$7,S9:AB9)</f>
        <v>0.4</v>
      </c>
      <c r="N9" s="1138">
        <f t="shared" ref="N9:N41" si="5">(AC$7*AC9)+(AD$7*AD9)+(AE$7*AE9)</f>
        <v>0</v>
      </c>
      <c r="P9" s="1136" t="str">
        <f t="shared" ref="P9:P73" si="6">IF($P$3=1,AX9,IF($P$3=2,BO9,IF($P$3=3,CG9,IF($P$3=4,CX9,AG9))))</f>
        <v>Q1</v>
      </c>
      <c r="Q9" s="1136" t="str">
        <f t="shared" ref="Q9:Q73" si="7">IF($P$3=1,AY9,IF($P$3=2,BP9,IF($P$3=3,CH9,IF($P$3=4,CY9,AH9))))</f>
        <v xml:space="preserve"> Q</v>
      </c>
      <c r="R9" s="1139" t="str">
        <f t="shared" ref="R9:R73" si="8">IF($P$3=1,AZ9,IF($P$3=2,BQ9,IF($P$3=3,CI9,IF($P$3=4,CZ9,AI9))))</f>
        <v>室内環境</v>
      </c>
      <c r="S9" s="1579">
        <f>IF($P$3=1,BA9,IF($P$3=2,BR9,IF($P$3=3,CJ9,IF($P$3=4,DA9,AJ9))))</f>
        <v>0.4</v>
      </c>
      <c r="T9" s="1579">
        <f t="shared" ref="T9:Z24" si="9">IF($P$3=1,BB9,IF($P$3=2,BS9,IF($P$3=3,CK9,IF($P$3=4,DB9,AK9))))</f>
        <v>0.4</v>
      </c>
      <c r="U9" s="1579">
        <f t="shared" si="9"/>
        <v>0.4</v>
      </c>
      <c r="V9" s="1579">
        <f t="shared" si="9"/>
        <v>0.4</v>
      </c>
      <c r="W9" s="1579">
        <f t="shared" si="9"/>
        <v>0.4</v>
      </c>
      <c r="X9" s="1579">
        <f t="shared" si="9"/>
        <v>0.4</v>
      </c>
      <c r="Y9" s="1579">
        <f t="shared" si="9"/>
        <v>0.4</v>
      </c>
      <c r="Z9" s="1579">
        <f t="shared" si="9"/>
        <v>0.4</v>
      </c>
      <c r="AA9" s="1580">
        <f>IF($Q$3="coCASB",0,IF($P$3=1,BI9,IF($P$3=2,BZ9,IF($P$3=3,CR9,IF($P$3=4,DI9,AR9)))))</f>
        <v>0.3</v>
      </c>
      <c r="AB9" s="1579">
        <f t="shared" ref="AB9:AB63" si="10">IF($P$3=1,BJ9,IF($P$3=2,CA9,IF($P$3=3,CS9,IF($P$3=4,DJ9,AS9))))</f>
        <v>0.4</v>
      </c>
      <c r="AC9" s="1579">
        <f t="shared" ref="AC9:AC63" si="11">IF($P$3=1,BK9,IF($P$3=2,CB9,IF($P$3=3,CT9,IF($P$3=4,DK9,AT9))))</f>
        <v>0</v>
      </c>
      <c r="AD9" s="1579">
        <f t="shared" ref="AD9:AD63" si="12">IF($P$3=1,BL9,IF($P$3=2,CC9,IF($P$3=3,CU9,IF($P$3=4,DL9,AU9))))</f>
        <v>0</v>
      </c>
      <c r="AE9" s="1579">
        <f>IF($P$3=1,BM9,IF($P$3=2,CD9,IF($P$3=3,CV9,IF($P$3=4,DM9,AV9))))</f>
        <v>0</v>
      </c>
      <c r="AG9" s="1136" t="s">
        <v>204</v>
      </c>
      <c r="AH9" s="1141" t="s">
        <v>780</v>
      </c>
      <c r="AI9" s="1139" t="s">
        <v>205</v>
      </c>
      <c r="AJ9" s="1140">
        <v>0.4</v>
      </c>
      <c r="AK9" s="1140">
        <v>0.4</v>
      </c>
      <c r="AL9" s="1140">
        <v>0.4</v>
      </c>
      <c r="AM9" s="1140">
        <v>0.4</v>
      </c>
      <c r="AN9" s="1140">
        <v>0.4</v>
      </c>
      <c r="AO9" s="1140">
        <v>0.4</v>
      </c>
      <c r="AP9" s="1140">
        <v>0.4</v>
      </c>
      <c r="AQ9" s="1140">
        <v>0.4</v>
      </c>
      <c r="AR9" s="1140">
        <v>0.3</v>
      </c>
      <c r="AS9" s="1142">
        <v>0.4</v>
      </c>
      <c r="AT9" s="1143"/>
      <c r="AU9" s="1142"/>
      <c r="AV9" s="1142"/>
      <c r="AX9" s="1136" t="s">
        <v>204</v>
      </c>
      <c r="AY9" s="1141" t="s">
        <v>780</v>
      </c>
      <c r="AZ9" s="1139" t="s">
        <v>205</v>
      </c>
      <c r="BA9" s="1142">
        <v>0.4</v>
      </c>
      <c r="BB9" s="1142">
        <v>0.4</v>
      </c>
      <c r="BC9" s="1142">
        <v>0.4</v>
      </c>
      <c r="BD9" s="1142">
        <v>0.4</v>
      </c>
      <c r="BE9" s="1142">
        <v>0.4</v>
      </c>
      <c r="BF9" s="1142">
        <v>0.4</v>
      </c>
      <c r="BG9" s="1142">
        <v>0.4</v>
      </c>
      <c r="BH9" s="1142">
        <v>0.4</v>
      </c>
      <c r="BI9" s="1142">
        <v>0.3</v>
      </c>
      <c r="BJ9" s="1142">
        <v>0.4</v>
      </c>
      <c r="BK9" s="1143"/>
      <c r="BL9" s="1142"/>
      <c r="BM9" s="1142"/>
      <c r="BO9" s="1136" t="s">
        <v>204</v>
      </c>
      <c r="BP9" s="1141" t="s">
        <v>780</v>
      </c>
      <c r="BQ9" s="1139" t="s">
        <v>205</v>
      </c>
      <c r="BR9" s="1142">
        <v>0.4</v>
      </c>
      <c r="BS9" s="1142">
        <v>0.4</v>
      </c>
      <c r="BT9" s="1142">
        <v>0.4</v>
      </c>
      <c r="BU9" s="1142">
        <v>0.4</v>
      </c>
      <c r="BV9" s="1142">
        <v>0.4</v>
      </c>
      <c r="BW9" s="1142">
        <v>0.4</v>
      </c>
      <c r="BX9" s="1142">
        <v>0.4</v>
      </c>
      <c r="BY9" s="1142">
        <v>0.4</v>
      </c>
      <c r="BZ9" s="1142">
        <v>0.3</v>
      </c>
      <c r="CA9" s="1142">
        <v>0.4</v>
      </c>
      <c r="CB9" s="1143"/>
      <c r="CC9" s="1142"/>
      <c r="CD9" s="1142"/>
      <c r="CE9" s="1380"/>
      <c r="CG9" s="1136" t="s">
        <v>204</v>
      </c>
      <c r="CH9" s="1141" t="s">
        <v>780</v>
      </c>
      <c r="CI9" s="1139" t="s">
        <v>205</v>
      </c>
      <c r="CJ9" s="1516">
        <v>0.5</v>
      </c>
      <c r="CK9" s="1516">
        <v>0.5</v>
      </c>
      <c r="CL9" s="1516">
        <v>0.5</v>
      </c>
      <c r="CM9" s="1516">
        <v>0.5</v>
      </c>
      <c r="CN9" s="1516">
        <v>0.5</v>
      </c>
      <c r="CO9" s="1516">
        <v>0.5</v>
      </c>
      <c r="CP9" s="1516">
        <v>0.5</v>
      </c>
      <c r="CQ9" s="1516">
        <v>0.5</v>
      </c>
      <c r="CR9" s="1516">
        <v>0.35</v>
      </c>
      <c r="CS9" s="1516">
        <v>0.5</v>
      </c>
      <c r="CT9" s="1527">
        <f t="shared" ref="CT9:CT75" si="13">CB9</f>
        <v>0</v>
      </c>
      <c r="CU9" s="1526">
        <f t="shared" ref="CU9:CU75" si="14">CC9</f>
        <v>0</v>
      </c>
      <c r="CV9" s="1526">
        <f t="shared" ref="CV9:CV75" si="15">CD9</f>
        <v>0</v>
      </c>
      <c r="CX9" s="1136" t="s">
        <v>204</v>
      </c>
      <c r="CY9" s="1141" t="s">
        <v>780</v>
      </c>
      <c r="CZ9" s="1139" t="s">
        <v>205</v>
      </c>
      <c r="DA9" s="1641">
        <v>0.5</v>
      </c>
      <c r="DB9" s="1516"/>
      <c r="DC9" s="1516"/>
      <c r="DD9" s="1516"/>
      <c r="DE9" s="1516"/>
      <c r="DF9" s="1516"/>
      <c r="DG9" s="1516"/>
      <c r="DH9" s="1516"/>
      <c r="DI9" s="1516"/>
      <c r="DJ9" s="1516"/>
      <c r="DK9" s="1517"/>
      <c r="DL9" s="1516"/>
      <c r="DM9" s="1516"/>
    </row>
    <row r="10" spans="2:117">
      <c r="B10" s="1136">
        <f t="shared" si="0"/>
        <v>1</v>
      </c>
      <c r="C10" s="1148" t="str">
        <f>R10</f>
        <v>音環境</v>
      </c>
      <c r="D10" s="1144">
        <f>IF(I$9=0,0,G10/I$9)</f>
        <v>0.15</v>
      </c>
      <c r="E10" s="1145">
        <f>IF(J$9=0,0,H10/J$9)</f>
        <v>0</v>
      </c>
      <c r="G10" s="1145">
        <f t="shared" si="2"/>
        <v>0.15</v>
      </c>
      <c r="H10" s="1145">
        <f t="shared" si="3"/>
        <v>0</v>
      </c>
      <c r="I10" s="1146">
        <f>G11+G14+G19</f>
        <v>0.93333333333333335</v>
      </c>
      <c r="J10" s="1146">
        <f>H11+H14+H19</f>
        <v>0.66666666666666663</v>
      </c>
      <c r="K10" s="1145">
        <f>IF(L10&gt;0,1,IF(スコア!Q10=0,0,1))</f>
        <v>1</v>
      </c>
      <c r="L10" s="1145">
        <f>IF(スコア!S10=0,0,1)</f>
        <v>1</v>
      </c>
      <c r="M10" s="1145">
        <f t="shared" si="4"/>
        <v>0.15</v>
      </c>
      <c r="N10" s="1145">
        <f t="shared" si="5"/>
        <v>0</v>
      </c>
      <c r="P10" s="1147">
        <f t="shared" si="6"/>
        <v>1</v>
      </c>
      <c r="Q10" s="1147" t="str">
        <f t="shared" si="7"/>
        <v xml:space="preserve"> Q1</v>
      </c>
      <c r="R10" s="1148" t="str">
        <f t="shared" si="8"/>
        <v>音環境</v>
      </c>
      <c r="S10" s="1582">
        <f t="shared" ref="S10:S63" si="16">IF($P$3=1,BA10,IF($P$3=2,BR10,IF($P$3=3,CJ10,IF($P$3=4,DA10,AJ10))))</f>
        <v>0.15</v>
      </c>
      <c r="T10" s="1582">
        <f t="shared" si="9"/>
        <v>0.15</v>
      </c>
      <c r="U10" s="1582">
        <f t="shared" si="9"/>
        <v>0.15</v>
      </c>
      <c r="V10" s="1582">
        <f t="shared" si="9"/>
        <v>0.15</v>
      </c>
      <c r="W10" s="1582">
        <f t="shared" si="9"/>
        <v>0.15</v>
      </c>
      <c r="X10" s="1582">
        <f t="shared" si="9"/>
        <v>0.15</v>
      </c>
      <c r="Y10" s="1582">
        <f t="shared" si="9"/>
        <v>0.15</v>
      </c>
      <c r="Z10" s="1583">
        <f t="shared" si="9"/>
        <v>0.15</v>
      </c>
      <c r="AA10" s="1582">
        <f t="shared" ref="AA10:AA62" si="17">IF($P$3=1,BI10,IF($P$3=2,BZ10,IF($P$3=3,CR10,IF($P$3=4,DI10,AR10))))</f>
        <v>0.15</v>
      </c>
      <c r="AB10" s="1582">
        <f t="shared" si="10"/>
        <v>0.15</v>
      </c>
      <c r="AC10" s="1584">
        <f t="shared" si="11"/>
        <v>0</v>
      </c>
      <c r="AD10" s="1582">
        <f t="shared" si="12"/>
        <v>0</v>
      </c>
      <c r="AE10" s="1582">
        <f t="shared" ref="AE10:AE63" si="18">IF($P$3=1,BM10,IF($P$3=2,CD10,IF($P$3=3,CV10,IF($P$3=4,DM10,AV10))))</f>
        <v>0</v>
      </c>
      <c r="AG10" s="1147">
        <v>1</v>
      </c>
      <c r="AH10" s="1151" t="s">
        <v>781</v>
      </c>
      <c r="AI10" s="1148" t="s">
        <v>771</v>
      </c>
      <c r="AJ10" s="1149">
        <v>0.15</v>
      </c>
      <c r="AK10" s="1149">
        <v>0.15</v>
      </c>
      <c r="AL10" s="1149">
        <v>0.15</v>
      </c>
      <c r="AM10" s="1149">
        <v>0.15</v>
      </c>
      <c r="AN10" s="1149">
        <v>0.15</v>
      </c>
      <c r="AO10" s="1149">
        <v>0.15</v>
      </c>
      <c r="AP10" s="1149">
        <v>0.15</v>
      </c>
      <c r="AQ10" s="1150">
        <v>0.23</v>
      </c>
      <c r="AR10" s="1149">
        <v>0.15</v>
      </c>
      <c r="AS10" s="1152">
        <v>0.15</v>
      </c>
      <c r="AT10" s="1153"/>
      <c r="AU10" s="1152"/>
      <c r="AV10" s="1152"/>
      <c r="AX10" s="1147">
        <v>1</v>
      </c>
      <c r="AY10" s="1151" t="s">
        <v>781</v>
      </c>
      <c r="AZ10" s="1148" t="s">
        <v>771</v>
      </c>
      <c r="BA10" s="1152">
        <v>0.15</v>
      </c>
      <c r="BB10" s="1152">
        <v>0.15</v>
      </c>
      <c r="BC10" s="1152">
        <v>0.15</v>
      </c>
      <c r="BD10" s="1152">
        <v>0.15</v>
      </c>
      <c r="BE10" s="1152">
        <v>0.15</v>
      </c>
      <c r="BF10" s="1152">
        <v>0.15</v>
      </c>
      <c r="BG10" s="1152">
        <v>0.15</v>
      </c>
      <c r="BH10" s="1154">
        <v>0.23</v>
      </c>
      <c r="BI10" s="1152">
        <v>0.15</v>
      </c>
      <c r="BJ10" s="1152">
        <v>0.15</v>
      </c>
      <c r="BK10" s="1153"/>
      <c r="BL10" s="1152"/>
      <c r="BM10" s="1152"/>
      <c r="BO10" s="1147">
        <v>1</v>
      </c>
      <c r="BP10" s="1151" t="s">
        <v>781</v>
      </c>
      <c r="BQ10" s="1148" t="s">
        <v>771</v>
      </c>
      <c r="BR10" s="1152">
        <v>0.15</v>
      </c>
      <c r="BS10" s="1152">
        <v>0.15</v>
      </c>
      <c r="BT10" s="1152">
        <v>0.15</v>
      </c>
      <c r="BU10" s="1152">
        <v>0.15</v>
      </c>
      <c r="BV10" s="1152">
        <v>0.15</v>
      </c>
      <c r="BW10" s="1152">
        <v>0.15</v>
      </c>
      <c r="BX10" s="1152">
        <v>0.15</v>
      </c>
      <c r="BY10" s="1474">
        <v>0.15</v>
      </c>
      <c r="BZ10" s="1152">
        <v>0.15</v>
      </c>
      <c r="CA10" s="1152">
        <v>0.15</v>
      </c>
      <c r="CB10" s="1153"/>
      <c r="CC10" s="1152"/>
      <c r="CD10" s="1152"/>
      <c r="CE10" s="1381"/>
      <c r="CG10" s="1147">
        <v>1</v>
      </c>
      <c r="CH10" s="1151" t="s">
        <v>781</v>
      </c>
      <c r="CI10" s="1148" t="s">
        <v>771</v>
      </c>
      <c r="CJ10" s="1528">
        <f t="shared" ref="CJ10:CJ76" si="19">BR10</f>
        <v>0.15</v>
      </c>
      <c r="CK10" s="1528">
        <f t="shared" ref="CK10:CK75" si="20">BS10</f>
        <v>0.15</v>
      </c>
      <c r="CL10" s="1528">
        <f t="shared" ref="CL10:CL75" si="21">BT10</f>
        <v>0.15</v>
      </c>
      <c r="CM10" s="1528">
        <f t="shared" ref="CM10:CM75" si="22">BU10</f>
        <v>0.15</v>
      </c>
      <c r="CN10" s="1528">
        <f t="shared" ref="CN10:CN75" si="23">BV10</f>
        <v>0.15</v>
      </c>
      <c r="CO10" s="1528">
        <f t="shared" ref="CO10:CO75" si="24">BW10</f>
        <v>0.15</v>
      </c>
      <c r="CP10" s="1528">
        <f t="shared" ref="CP10:CQ75" si="25">BX10</f>
        <v>0.15</v>
      </c>
      <c r="CQ10" s="1529">
        <f t="shared" ref="CQ10:CQ75" si="26">BY10</f>
        <v>0.15</v>
      </c>
      <c r="CR10" s="1528">
        <f t="shared" ref="CR10:CR75" si="27">BZ10</f>
        <v>0.15</v>
      </c>
      <c r="CS10" s="1528">
        <f t="shared" ref="CS10:CS75" si="28">CA10</f>
        <v>0.15</v>
      </c>
      <c r="CT10" s="1530">
        <f t="shared" si="13"/>
        <v>0</v>
      </c>
      <c r="CU10" s="1528">
        <f t="shared" si="14"/>
        <v>0</v>
      </c>
      <c r="CV10" s="1528">
        <f t="shared" si="15"/>
        <v>0</v>
      </c>
      <c r="CX10" s="1147">
        <v>1</v>
      </c>
      <c r="CY10" s="1151" t="s">
        <v>781</v>
      </c>
      <c r="CZ10" s="1148" t="s">
        <v>771</v>
      </c>
      <c r="DA10" s="1518">
        <f t="shared" ref="DA10:DA67" si="29">BR10</f>
        <v>0.15</v>
      </c>
      <c r="DB10" s="1518"/>
      <c r="DC10" s="1518"/>
      <c r="DD10" s="1518"/>
      <c r="DE10" s="1518"/>
      <c r="DF10" s="1518"/>
      <c r="DG10" s="1518"/>
      <c r="DH10" s="1621"/>
      <c r="DI10" s="1518"/>
      <c r="DJ10" s="1518"/>
      <c r="DK10" s="1519"/>
      <c r="DL10" s="1518"/>
      <c r="DM10" s="1518"/>
    </row>
    <row r="11" spans="2:117">
      <c r="B11" s="1136">
        <f t="shared" si="0"/>
        <v>1.1000000000000001</v>
      </c>
      <c r="C11" s="1158" t="str">
        <f t="shared" si="1"/>
        <v>室内騒音レベル</v>
      </c>
      <c r="D11" s="1155">
        <f>IF(I$10=0,0,G11/I$10)</f>
        <v>0.5</v>
      </c>
      <c r="E11" s="1155">
        <f>IF(J$10=0,0,H11/J$10)</f>
        <v>0.5</v>
      </c>
      <c r="G11" s="1156">
        <f>K11*M11</f>
        <v>0.46666666666666667</v>
      </c>
      <c r="H11" s="1156">
        <f>L11*N11</f>
        <v>0.33333333333333331</v>
      </c>
      <c r="I11" s="1146">
        <f>SUM(G12:G13)</f>
        <v>0</v>
      </c>
      <c r="J11" s="1146">
        <f>SUM(H12:H13)</f>
        <v>0</v>
      </c>
      <c r="K11" s="1156">
        <f>IF(スコア!Q11=0,0,1)</f>
        <v>1</v>
      </c>
      <c r="L11" s="1156">
        <f>IF(スコア!S11=0,0,1)</f>
        <v>1</v>
      </c>
      <c r="M11" s="1156">
        <f t="shared" si="4"/>
        <v>0.46666666666666667</v>
      </c>
      <c r="N11" s="1156">
        <f t="shared" si="5"/>
        <v>0.33333333333333331</v>
      </c>
      <c r="P11" s="1157">
        <f t="shared" si="6"/>
        <v>1.1000000000000001</v>
      </c>
      <c r="Q11" s="1157" t="str">
        <f t="shared" si="7"/>
        <v xml:space="preserve"> Q1 1</v>
      </c>
      <c r="R11" s="1158" t="str">
        <f t="shared" si="8"/>
        <v>室内騒音レベル</v>
      </c>
      <c r="S11" s="1585">
        <f t="shared" si="16"/>
        <v>0.4</v>
      </c>
      <c r="T11" s="1585">
        <f t="shared" si="9"/>
        <v>0.4</v>
      </c>
      <c r="U11" s="1585">
        <f t="shared" si="9"/>
        <v>0.4</v>
      </c>
      <c r="V11" s="1585">
        <f t="shared" si="9"/>
        <v>0.4</v>
      </c>
      <c r="W11" s="1585">
        <f t="shared" si="9"/>
        <v>0.4</v>
      </c>
      <c r="X11" s="1585">
        <f t="shared" si="9"/>
        <v>0.4</v>
      </c>
      <c r="Y11" s="1585">
        <f t="shared" si="9"/>
        <v>0.5</v>
      </c>
      <c r="Z11" s="1585">
        <f t="shared" si="9"/>
        <v>0.4</v>
      </c>
      <c r="AA11" s="1585">
        <f t="shared" si="17"/>
        <v>0.4</v>
      </c>
      <c r="AB11" s="1585">
        <f t="shared" si="10"/>
        <v>0.4</v>
      </c>
      <c r="AC11" s="1586">
        <f t="shared" si="11"/>
        <v>0.4</v>
      </c>
      <c r="AD11" s="1585">
        <f t="shared" si="12"/>
        <v>0.4</v>
      </c>
      <c r="AE11" s="1585">
        <f t="shared" si="18"/>
        <v>0.5</v>
      </c>
      <c r="AG11" s="1157">
        <v>1.1000000000000001</v>
      </c>
      <c r="AH11" s="1161" t="s">
        <v>782</v>
      </c>
      <c r="AI11" s="1158" t="s">
        <v>206</v>
      </c>
      <c r="AJ11" s="1162">
        <v>0.4</v>
      </c>
      <c r="AK11" s="1159">
        <v>0.4</v>
      </c>
      <c r="AL11" s="1159">
        <v>0.8</v>
      </c>
      <c r="AM11" s="1159">
        <v>0.4</v>
      </c>
      <c r="AN11" s="1162">
        <v>0.4</v>
      </c>
      <c r="AO11" s="1159">
        <v>0.8</v>
      </c>
      <c r="AP11" s="1159">
        <v>0.8</v>
      </c>
      <c r="AQ11" s="1162">
        <v>0.8</v>
      </c>
      <c r="AR11" s="1162">
        <v>0.5</v>
      </c>
      <c r="AS11" s="1163">
        <v>0.4</v>
      </c>
      <c r="AT11" s="1164">
        <v>0.5</v>
      </c>
      <c r="AU11" s="1163">
        <v>0.4</v>
      </c>
      <c r="AV11" s="1163">
        <v>0.4</v>
      </c>
      <c r="AX11" s="1157">
        <v>1.1000000000000001</v>
      </c>
      <c r="AY11" s="1161" t="s">
        <v>782</v>
      </c>
      <c r="AZ11" s="1158" t="s">
        <v>206</v>
      </c>
      <c r="BA11" s="1163"/>
      <c r="BB11" s="1163"/>
      <c r="BC11" s="1163"/>
      <c r="BD11" s="1163"/>
      <c r="BE11" s="1163"/>
      <c r="BF11" s="1163"/>
      <c r="BG11" s="1163"/>
      <c r="BH11" s="1165">
        <v>0.4</v>
      </c>
      <c r="BI11" s="1163"/>
      <c r="BJ11" s="1163"/>
      <c r="BK11" s="1164"/>
      <c r="BL11" s="1163"/>
      <c r="BM11" s="1163"/>
      <c r="BO11" s="1157">
        <v>1.1000000000000001</v>
      </c>
      <c r="BP11" s="1161" t="s">
        <v>782</v>
      </c>
      <c r="BQ11" s="1158" t="s">
        <v>2753</v>
      </c>
      <c r="BR11" s="1163">
        <v>0.4</v>
      </c>
      <c r="BS11" s="1163">
        <v>0.4</v>
      </c>
      <c r="BT11" s="1163">
        <v>0.4</v>
      </c>
      <c r="BU11" s="1163">
        <v>0.4</v>
      </c>
      <c r="BV11" s="1163">
        <v>0.4</v>
      </c>
      <c r="BW11" s="1163">
        <v>0.4</v>
      </c>
      <c r="BX11" s="1163">
        <v>0.5</v>
      </c>
      <c r="BY11" s="1475">
        <v>0.4</v>
      </c>
      <c r="BZ11" s="1163">
        <v>0.4</v>
      </c>
      <c r="CA11" s="1163">
        <v>0.4</v>
      </c>
      <c r="CB11" s="1163">
        <v>0.4</v>
      </c>
      <c r="CC11" s="1163">
        <v>0.4</v>
      </c>
      <c r="CD11" s="1163">
        <v>0.5</v>
      </c>
      <c r="CE11" s="1382"/>
      <c r="CG11" s="1157">
        <v>1.1000000000000001</v>
      </c>
      <c r="CH11" s="1161" t="s">
        <v>782</v>
      </c>
      <c r="CI11" s="1158" t="s">
        <v>785</v>
      </c>
      <c r="CJ11" s="1531">
        <v>0</v>
      </c>
      <c r="CK11" s="1531">
        <v>0</v>
      </c>
      <c r="CL11" s="1531">
        <v>0</v>
      </c>
      <c r="CM11" s="1531">
        <v>0</v>
      </c>
      <c r="CN11" s="1531">
        <v>0</v>
      </c>
      <c r="CO11" s="1531">
        <v>0</v>
      </c>
      <c r="CP11" s="1531">
        <v>0</v>
      </c>
      <c r="CQ11" s="1531">
        <v>0</v>
      </c>
      <c r="CR11" s="1531">
        <v>0</v>
      </c>
      <c r="CS11" s="1531">
        <v>0</v>
      </c>
      <c r="CT11" s="1531">
        <v>0</v>
      </c>
      <c r="CU11" s="1531">
        <v>0</v>
      </c>
      <c r="CV11" s="1531">
        <v>0</v>
      </c>
      <c r="CX11" s="1157">
        <v>1.1000000000000001</v>
      </c>
      <c r="CY11" s="1161" t="s">
        <v>782</v>
      </c>
      <c r="CZ11" s="1158" t="s">
        <v>785</v>
      </c>
      <c r="DA11" s="1642">
        <v>1</v>
      </c>
      <c r="DB11" s="1520"/>
      <c r="DC11" s="1520"/>
      <c r="DD11" s="1520"/>
      <c r="DE11" s="1520"/>
      <c r="DF11" s="1520"/>
      <c r="DG11" s="1520"/>
      <c r="DH11" s="1520"/>
      <c r="DI11" s="1520"/>
      <c r="DJ11" s="1520"/>
      <c r="DK11" s="1520"/>
      <c r="DL11" s="1520"/>
      <c r="DM11" s="1520"/>
    </row>
    <row r="12" spans="2:117" hidden="1">
      <c r="B12" s="1136" t="str">
        <f t="shared" si="0"/>
        <v>1.1.1</v>
      </c>
      <c r="C12" s="1158">
        <f t="shared" si="1"/>
        <v>0</v>
      </c>
      <c r="D12" s="1155">
        <f>IF(I$11=0,0,G12/I$11)</f>
        <v>0</v>
      </c>
      <c r="E12" s="1155">
        <f>IF(J$11=0,0,H12/J$11)</f>
        <v>0</v>
      </c>
      <c r="G12" s="1156">
        <f t="shared" si="2"/>
        <v>0</v>
      </c>
      <c r="H12" s="1156">
        <f t="shared" si="3"/>
        <v>0</v>
      </c>
      <c r="I12" s="1146"/>
      <c r="J12" s="1146"/>
      <c r="K12" s="1156">
        <f>IF(スコア!Q12=0,0,1)</f>
        <v>0</v>
      </c>
      <c r="L12" s="1156">
        <f>IF(スコア!S12=0,0,1)</f>
        <v>0</v>
      </c>
      <c r="M12" s="1156">
        <f t="shared" si="4"/>
        <v>0</v>
      </c>
      <c r="N12" s="1156">
        <f t="shared" si="5"/>
        <v>0</v>
      </c>
      <c r="P12" s="1157" t="str">
        <f t="shared" si="6"/>
        <v>1.1.1</v>
      </c>
      <c r="Q12" s="1157" t="str">
        <f t="shared" si="7"/>
        <v xml:space="preserve"> Q1 1.1</v>
      </c>
      <c r="R12" s="1158">
        <f t="shared" si="8"/>
        <v>0</v>
      </c>
      <c r="S12" s="1585">
        <f t="shared" si="16"/>
        <v>0</v>
      </c>
      <c r="T12" s="1585">
        <f t="shared" si="9"/>
        <v>0</v>
      </c>
      <c r="U12" s="1585">
        <f t="shared" si="9"/>
        <v>0</v>
      </c>
      <c r="V12" s="1585">
        <f t="shared" si="9"/>
        <v>0</v>
      </c>
      <c r="W12" s="1585">
        <f t="shared" si="9"/>
        <v>0</v>
      </c>
      <c r="X12" s="1585">
        <f t="shared" si="9"/>
        <v>0</v>
      </c>
      <c r="Y12" s="1585">
        <f t="shared" si="9"/>
        <v>0</v>
      </c>
      <c r="Z12" s="1585">
        <f t="shared" si="9"/>
        <v>0</v>
      </c>
      <c r="AA12" s="1585">
        <f t="shared" si="17"/>
        <v>0</v>
      </c>
      <c r="AB12" s="1585">
        <f t="shared" si="10"/>
        <v>0</v>
      </c>
      <c r="AC12" s="1586">
        <f t="shared" si="11"/>
        <v>0</v>
      </c>
      <c r="AD12" s="1585">
        <f t="shared" si="12"/>
        <v>0</v>
      </c>
      <c r="AE12" s="1585">
        <f t="shared" si="18"/>
        <v>0</v>
      </c>
      <c r="AG12" s="1157" t="s">
        <v>783</v>
      </c>
      <c r="AH12" s="1161" t="s">
        <v>784</v>
      </c>
      <c r="AI12" s="1158" t="s">
        <v>785</v>
      </c>
      <c r="AJ12" s="1159">
        <v>0.4</v>
      </c>
      <c r="AK12" s="1159">
        <v>1</v>
      </c>
      <c r="AL12" s="1159">
        <v>1</v>
      </c>
      <c r="AM12" s="1159">
        <v>1</v>
      </c>
      <c r="AN12" s="1159">
        <v>0.4</v>
      </c>
      <c r="AO12" s="1159">
        <v>1</v>
      </c>
      <c r="AP12" s="1159">
        <v>1</v>
      </c>
      <c r="AQ12" s="1159">
        <v>1</v>
      </c>
      <c r="AR12" s="1159">
        <v>0.4</v>
      </c>
      <c r="AS12" s="1163">
        <v>1</v>
      </c>
      <c r="AT12" s="1164">
        <v>0.4</v>
      </c>
      <c r="AU12" s="1163">
        <v>1</v>
      </c>
      <c r="AV12" s="1163">
        <v>1</v>
      </c>
      <c r="AX12" s="1157" t="s">
        <v>783</v>
      </c>
      <c r="AY12" s="1161" t="s">
        <v>784</v>
      </c>
      <c r="AZ12" s="1158" t="s">
        <v>785</v>
      </c>
      <c r="BA12" s="1163"/>
      <c r="BB12" s="1163"/>
      <c r="BC12" s="1163"/>
      <c r="BD12" s="1163"/>
      <c r="BE12" s="1163"/>
      <c r="BF12" s="1163"/>
      <c r="BG12" s="1163"/>
      <c r="BH12" s="1165">
        <v>1</v>
      </c>
      <c r="BI12" s="1163"/>
      <c r="BJ12" s="1163"/>
      <c r="BK12" s="1164"/>
      <c r="BL12" s="1163"/>
      <c r="BM12" s="1163"/>
      <c r="BO12" s="1157" t="s">
        <v>783</v>
      </c>
      <c r="BP12" s="1161" t="s">
        <v>784</v>
      </c>
      <c r="BQ12" s="1158"/>
      <c r="BR12" s="1163"/>
      <c r="BS12" s="1163"/>
      <c r="BT12" s="1163"/>
      <c r="BU12" s="1163"/>
      <c r="BV12" s="1163"/>
      <c r="BW12" s="1163"/>
      <c r="BX12" s="1163"/>
      <c r="BY12" s="1475"/>
      <c r="BZ12" s="1163"/>
      <c r="CA12" s="1163"/>
      <c r="CB12" s="1164"/>
      <c r="CC12" s="1163"/>
      <c r="CD12" s="1163"/>
      <c r="CE12" s="1382"/>
      <c r="CG12" s="1157" t="s">
        <v>783</v>
      </c>
      <c r="CH12" s="1161" t="s">
        <v>784</v>
      </c>
      <c r="CI12" s="1158"/>
      <c r="CJ12" s="1531"/>
      <c r="CK12" s="1531"/>
      <c r="CL12" s="1531"/>
      <c r="CM12" s="1531"/>
      <c r="CN12" s="1531"/>
      <c r="CO12" s="1531"/>
      <c r="CP12" s="1531"/>
      <c r="CQ12" s="1532"/>
      <c r="CR12" s="1531"/>
      <c r="CS12" s="1531"/>
      <c r="CT12" s="1533"/>
      <c r="CU12" s="1531"/>
      <c r="CV12" s="1531"/>
      <c r="CX12" s="1157" t="s">
        <v>783</v>
      </c>
      <c r="CY12" s="1161" t="s">
        <v>784</v>
      </c>
      <c r="CZ12" s="1158"/>
      <c r="DA12" s="1642">
        <f t="shared" si="29"/>
        <v>0</v>
      </c>
      <c r="DB12" s="1520"/>
      <c r="DC12" s="1520"/>
      <c r="DD12" s="1520"/>
      <c r="DE12" s="1520"/>
      <c r="DF12" s="1520"/>
      <c r="DG12" s="1520"/>
      <c r="DH12" s="1622"/>
      <c r="DI12" s="1520"/>
      <c r="DJ12" s="1520"/>
      <c r="DK12" s="1623"/>
      <c r="DL12" s="1520"/>
      <c r="DM12" s="1520"/>
    </row>
    <row r="13" spans="2:117" hidden="1">
      <c r="B13" s="1136" t="str">
        <f t="shared" si="0"/>
        <v>1.1.2</v>
      </c>
      <c r="C13" s="1158">
        <f t="shared" si="1"/>
        <v>0</v>
      </c>
      <c r="D13" s="1155">
        <f>IF(I$11=0,0,G13/I$11)</f>
        <v>0</v>
      </c>
      <c r="E13" s="1155">
        <f>IF(J$11=0,0,H13/J$11)</f>
        <v>0</v>
      </c>
      <c r="G13" s="1156">
        <f t="shared" si="2"/>
        <v>0</v>
      </c>
      <c r="H13" s="1156">
        <f t="shared" si="3"/>
        <v>0</v>
      </c>
      <c r="I13" s="1146"/>
      <c r="J13" s="1146"/>
      <c r="K13" s="1156">
        <f>IF(スコア!Q13=0,0,1)</f>
        <v>0</v>
      </c>
      <c r="L13" s="1156">
        <f>IF(スコア!S13=0,0,1)</f>
        <v>0</v>
      </c>
      <c r="M13" s="1156">
        <f t="shared" si="4"/>
        <v>0</v>
      </c>
      <c r="N13" s="1156">
        <f t="shared" si="5"/>
        <v>0</v>
      </c>
      <c r="P13" s="1157" t="str">
        <f t="shared" si="6"/>
        <v>1.1.2</v>
      </c>
      <c r="Q13" s="1157" t="str">
        <f t="shared" si="7"/>
        <v xml:space="preserve"> Q1 1.1</v>
      </c>
      <c r="R13" s="1158">
        <f t="shared" si="8"/>
        <v>0</v>
      </c>
      <c r="S13" s="1585">
        <f t="shared" si="16"/>
        <v>0</v>
      </c>
      <c r="T13" s="1585">
        <f t="shared" si="9"/>
        <v>0</v>
      </c>
      <c r="U13" s="1585">
        <f t="shared" si="9"/>
        <v>0</v>
      </c>
      <c r="V13" s="1585">
        <f t="shared" si="9"/>
        <v>0</v>
      </c>
      <c r="W13" s="1585">
        <f t="shared" si="9"/>
        <v>0</v>
      </c>
      <c r="X13" s="1585">
        <f t="shared" si="9"/>
        <v>0</v>
      </c>
      <c r="Y13" s="1585">
        <f t="shared" si="9"/>
        <v>0</v>
      </c>
      <c r="Z13" s="1585">
        <f t="shared" si="9"/>
        <v>0</v>
      </c>
      <c r="AA13" s="1585">
        <f t="shared" si="17"/>
        <v>0</v>
      </c>
      <c r="AB13" s="1585">
        <f t="shared" si="10"/>
        <v>0</v>
      </c>
      <c r="AC13" s="1586">
        <f t="shared" si="11"/>
        <v>0</v>
      </c>
      <c r="AD13" s="1585">
        <f t="shared" si="12"/>
        <v>0</v>
      </c>
      <c r="AE13" s="1585">
        <f t="shared" si="18"/>
        <v>0</v>
      </c>
      <c r="AG13" s="1157" t="s">
        <v>786</v>
      </c>
      <c r="AH13" s="1161" t="s">
        <v>784</v>
      </c>
      <c r="AI13" s="1158" t="s">
        <v>787</v>
      </c>
      <c r="AJ13" s="1159">
        <v>0.6</v>
      </c>
      <c r="AK13" s="1159"/>
      <c r="AL13" s="1159"/>
      <c r="AM13" s="1159"/>
      <c r="AN13" s="1159">
        <v>0.6</v>
      </c>
      <c r="AO13" s="1159"/>
      <c r="AP13" s="1159"/>
      <c r="AQ13" s="1159"/>
      <c r="AR13" s="1159">
        <v>0.6</v>
      </c>
      <c r="AS13" s="1163"/>
      <c r="AT13" s="1164">
        <v>0.6</v>
      </c>
      <c r="AU13" s="1163"/>
      <c r="AV13" s="1163"/>
      <c r="AX13" s="1157" t="s">
        <v>786</v>
      </c>
      <c r="AY13" s="1161" t="s">
        <v>784</v>
      </c>
      <c r="AZ13" s="1158" t="s">
        <v>787</v>
      </c>
      <c r="BA13" s="1163"/>
      <c r="BB13" s="1163"/>
      <c r="BC13" s="1163"/>
      <c r="BD13" s="1163"/>
      <c r="BE13" s="1163"/>
      <c r="BF13" s="1163"/>
      <c r="BG13" s="1163"/>
      <c r="BH13" s="1165"/>
      <c r="BI13" s="1163"/>
      <c r="BJ13" s="1163"/>
      <c r="BK13" s="1164"/>
      <c r="BL13" s="1163"/>
      <c r="BM13" s="1163"/>
      <c r="BO13" s="1157" t="s">
        <v>786</v>
      </c>
      <c r="BP13" s="1161" t="s">
        <v>784</v>
      </c>
      <c r="BQ13" s="1158"/>
      <c r="BR13" s="1163"/>
      <c r="BS13" s="1163"/>
      <c r="BT13" s="1163"/>
      <c r="BU13" s="1163"/>
      <c r="BV13" s="1163"/>
      <c r="BW13" s="1163"/>
      <c r="BX13" s="1163"/>
      <c r="BY13" s="1475"/>
      <c r="BZ13" s="1163"/>
      <c r="CA13" s="1163"/>
      <c r="CB13" s="1164"/>
      <c r="CC13" s="1163"/>
      <c r="CD13" s="1163"/>
      <c r="CE13" s="1382"/>
      <c r="CG13" s="1157" t="s">
        <v>786</v>
      </c>
      <c r="CH13" s="1161" t="s">
        <v>784</v>
      </c>
      <c r="CI13" s="1158"/>
      <c r="CJ13" s="1531"/>
      <c r="CK13" s="1531"/>
      <c r="CL13" s="1531"/>
      <c r="CM13" s="1531"/>
      <c r="CN13" s="1531"/>
      <c r="CO13" s="1531"/>
      <c r="CP13" s="1531"/>
      <c r="CQ13" s="1532"/>
      <c r="CR13" s="1531"/>
      <c r="CS13" s="1531"/>
      <c r="CT13" s="1533"/>
      <c r="CU13" s="1531"/>
      <c r="CV13" s="1531"/>
      <c r="CX13" s="1157" t="s">
        <v>786</v>
      </c>
      <c r="CY13" s="1161" t="s">
        <v>784</v>
      </c>
      <c r="CZ13" s="1158"/>
      <c r="DA13" s="1642">
        <f t="shared" si="29"/>
        <v>0</v>
      </c>
      <c r="DB13" s="1520"/>
      <c r="DC13" s="1520"/>
      <c r="DD13" s="1520"/>
      <c r="DE13" s="1520"/>
      <c r="DF13" s="1520"/>
      <c r="DG13" s="1520"/>
      <c r="DH13" s="1622"/>
      <c r="DI13" s="1520"/>
      <c r="DJ13" s="1520"/>
      <c r="DK13" s="1623"/>
      <c r="DL13" s="1520"/>
      <c r="DM13" s="1520"/>
    </row>
    <row r="14" spans="2:117">
      <c r="B14" s="1136">
        <f t="shared" si="0"/>
        <v>1.2</v>
      </c>
      <c r="C14" s="780" t="str">
        <f t="shared" si="1"/>
        <v>遮音</v>
      </c>
      <c r="D14" s="1155">
        <f>IF(I$10=0,0,G14/I$10)</f>
        <v>0.5</v>
      </c>
      <c r="E14" s="1155">
        <f>IF(J$10=0,0,H14/J$10)</f>
        <v>0.5</v>
      </c>
      <c r="G14" s="1156">
        <f t="shared" si="2"/>
        <v>0.46666666666666667</v>
      </c>
      <c r="H14" s="1156">
        <f t="shared" si="3"/>
        <v>0.33333333333333331</v>
      </c>
      <c r="I14" s="1146">
        <f>SUM(G15:G18)</f>
        <v>0.86666666666666659</v>
      </c>
      <c r="J14" s="1146">
        <f>SUM(H15:H18)</f>
        <v>0.66666666666666663</v>
      </c>
      <c r="K14" s="1156">
        <f>IF(スコア!Q14=0,0,1)</f>
        <v>1</v>
      </c>
      <c r="L14" s="1156">
        <f>IF(スコア!S14=0,0,1)</f>
        <v>1</v>
      </c>
      <c r="M14" s="1156">
        <f t="shared" si="4"/>
        <v>0.46666666666666667</v>
      </c>
      <c r="N14" s="1156">
        <f t="shared" si="5"/>
        <v>0.33333333333333331</v>
      </c>
      <c r="P14" s="1157">
        <f t="shared" si="6"/>
        <v>1.2</v>
      </c>
      <c r="Q14" s="1157" t="str">
        <f t="shared" si="7"/>
        <v xml:space="preserve"> Q1 1</v>
      </c>
      <c r="R14" s="1158" t="str">
        <f t="shared" si="8"/>
        <v>遮音</v>
      </c>
      <c r="S14" s="1585">
        <f t="shared" si="16"/>
        <v>0.4</v>
      </c>
      <c r="T14" s="1585">
        <f t="shared" si="9"/>
        <v>0.4</v>
      </c>
      <c r="U14" s="1585">
        <f t="shared" si="9"/>
        <v>0.4</v>
      </c>
      <c r="V14" s="1585">
        <f t="shared" si="9"/>
        <v>0.4</v>
      </c>
      <c r="W14" s="1585">
        <f t="shared" si="9"/>
        <v>0.4</v>
      </c>
      <c r="X14" s="1585">
        <f t="shared" si="9"/>
        <v>0.4</v>
      </c>
      <c r="Y14" s="1585">
        <f t="shared" si="9"/>
        <v>0.5</v>
      </c>
      <c r="Z14" s="1585">
        <f t="shared" si="9"/>
        <v>0.4</v>
      </c>
      <c r="AA14" s="1585">
        <f t="shared" si="17"/>
        <v>0.4</v>
      </c>
      <c r="AB14" s="1585">
        <f t="shared" si="10"/>
        <v>0.4</v>
      </c>
      <c r="AC14" s="1586">
        <f t="shared" si="11"/>
        <v>0.4</v>
      </c>
      <c r="AD14" s="1585">
        <f t="shared" si="12"/>
        <v>0.4</v>
      </c>
      <c r="AE14" s="1585">
        <f t="shared" si="18"/>
        <v>0.5</v>
      </c>
      <c r="AG14" s="1157">
        <v>1.2</v>
      </c>
      <c r="AH14" s="1161" t="s">
        <v>782</v>
      </c>
      <c r="AI14" s="780" t="s">
        <v>2358</v>
      </c>
      <c r="AJ14" s="1162">
        <v>0.4</v>
      </c>
      <c r="AK14" s="1159">
        <v>0.4</v>
      </c>
      <c r="AL14" s="1159"/>
      <c r="AM14" s="1159">
        <v>0.4</v>
      </c>
      <c r="AN14" s="1162">
        <v>0.4</v>
      </c>
      <c r="AO14" s="1159"/>
      <c r="AP14" s="1159"/>
      <c r="AQ14" s="1159"/>
      <c r="AR14" s="1162">
        <v>0.5</v>
      </c>
      <c r="AS14" s="1163">
        <v>0.4</v>
      </c>
      <c r="AT14" s="1164">
        <v>0.5</v>
      </c>
      <c r="AU14" s="1163">
        <v>0.4</v>
      </c>
      <c r="AV14" s="1166">
        <v>0.4</v>
      </c>
      <c r="AX14" s="1157">
        <v>1.2</v>
      </c>
      <c r="AY14" s="1161" t="s">
        <v>782</v>
      </c>
      <c r="AZ14" s="780" t="s">
        <v>2358</v>
      </c>
      <c r="BA14" s="1163">
        <v>0.7</v>
      </c>
      <c r="BB14" s="1163">
        <v>0.7</v>
      </c>
      <c r="BC14" s="1163">
        <v>0.7</v>
      </c>
      <c r="BD14" s="1163">
        <v>0.7</v>
      </c>
      <c r="BE14" s="1163">
        <v>0.7</v>
      </c>
      <c r="BF14" s="1163">
        <v>0.7</v>
      </c>
      <c r="BG14" s="1163">
        <v>1</v>
      </c>
      <c r="BH14" s="1165">
        <v>0.4</v>
      </c>
      <c r="BI14" s="1163">
        <v>0.7</v>
      </c>
      <c r="BJ14" s="1163">
        <v>0.7</v>
      </c>
      <c r="BK14" s="1164">
        <v>0.7</v>
      </c>
      <c r="BL14" s="1163">
        <v>0.7</v>
      </c>
      <c r="BM14" s="1163">
        <v>1</v>
      </c>
      <c r="BO14" s="1157">
        <v>1.2</v>
      </c>
      <c r="BP14" s="1161" t="s">
        <v>782</v>
      </c>
      <c r="BQ14" s="780" t="s">
        <v>2358</v>
      </c>
      <c r="BR14" s="1163">
        <v>0.4</v>
      </c>
      <c r="BS14" s="1163">
        <v>0.4</v>
      </c>
      <c r="BT14" s="1163">
        <v>0.4</v>
      </c>
      <c r="BU14" s="1163">
        <v>0.4</v>
      </c>
      <c r="BV14" s="1163">
        <v>0.4</v>
      </c>
      <c r="BW14" s="1163">
        <v>0.4</v>
      </c>
      <c r="BX14" s="1163">
        <v>0.5</v>
      </c>
      <c r="BY14" s="1475">
        <v>0.4</v>
      </c>
      <c r="BZ14" s="1163">
        <v>0.4</v>
      </c>
      <c r="CA14" s="1163">
        <v>0.4</v>
      </c>
      <c r="CB14" s="1163">
        <v>0.4</v>
      </c>
      <c r="CC14" s="1163">
        <v>0.4</v>
      </c>
      <c r="CD14" s="1163">
        <v>0.5</v>
      </c>
      <c r="CE14" s="1382"/>
      <c r="CG14" s="1157">
        <v>1.2</v>
      </c>
      <c r="CH14" s="1161" t="s">
        <v>782</v>
      </c>
      <c r="CI14" s="780" t="s">
        <v>2358</v>
      </c>
      <c r="CJ14" s="1520">
        <v>0.67</v>
      </c>
      <c r="CK14" s="1520">
        <v>0.67</v>
      </c>
      <c r="CL14" s="1520">
        <v>0.67</v>
      </c>
      <c r="CM14" s="1520">
        <v>0.67</v>
      </c>
      <c r="CN14" s="1520">
        <v>0.67</v>
      </c>
      <c r="CO14" s="1520">
        <v>0.67</v>
      </c>
      <c r="CP14" s="1520">
        <v>1</v>
      </c>
      <c r="CQ14" s="1520">
        <v>0.67</v>
      </c>
      <c r="CR14" s="1520">
        <v>0.67</v>
      </c>
      <c r="CS14" s="1520">
        <v>0.67</v>
      </c>
      <c r="CT14" s="1520">
        <v>0.67</v>
      </c>
      <c r="CU14" s="1520">
        <v>0.67</v>
      </c>
      <c r="CV14" s="1520">
        <v>1</v>
      </c>
      <c r="CX14" s="1157">
        <v>1.2</v>
      </c>
      <c r="CY14" s="1161" t="s">
        <v>782</v>
      </c>
      <c r="CZ14" s="780" t="s">
        <v>2358</v>
      </c>
      <c r="DA14" s="1642">
        <v>0</v>
      </c>
      <c r="DB14" s="1520"/>
      <c r="DC14" s="1520"/>
      <c r="DD14" s="1520"/>
      <c r="DE14" s="1520"/>
      <c r="DF14" s="1520"/>
      <c r="DG14" s="1520"/>
      <c r="DH14" s="1520"/>
      <c r="DI14" s="1520"/>
      <c r="DJ14" s="1520"/>
      <c r="DK14" s="1520"/>
      <c r="DL14" s="1520"/>
      <c r="DM14" s="1520"/>
    </row>
    <row r="15" spans="2:117">
      <c r="B15" s="1136" t="str">
        <f t="shared" si="0"/>
        <v>1.2.1</v>
      </c>
      <c r="C15" s="780" t="str">
        <f t="shared" si="1"/>
        <v>開口部遮音性能</v>
      </c>
      <c r="D15" s="1155">
        <f>IF(I$14=0,0,G15/I$14)</f>
        <v>1</v>
      </c>
      <c r="E15" s="1155">
        <f>IF(J$14=0,0,H15/J$14)</f>
        <v>0.3</v>
      </c>
      <c r="G15" s="1156">
        <f t="shared" si="2"/>
        <v>0.86666666666666659</v>
      </c>
      <c r="H15" s="1156">
        <f t="shared" si="3"/>
        <v>0.19999999999999998</v>
      </c>
      <c r="I15" s="1146"/>
      <c r="J15" s="1146"/>
      <c r="K15" s="1156">
        <f>IF(スコア!Q15=0,0,1)</f>
        <v>1</v>
      </c>
      <c r="L15" s="1156">
        <f>IF(スコア!S15=0,0,1)</f>
        <v>1</v>
      </c>
      <c r="M15" s="1156">
        <f t="shared" si="4"/>
        <v>0.86666666666666659</v>
      </c>
      <c r="N15" s="1156">
        <f t="shared" si="5"/>
        <v>0.19999999999999998</v>
      </c>
      <c r="P15" s="1157" t="str">
        <f t="shared" si="6"/>
        <v>1.2.1</v>
      </c>
      <c r="Q15" s="1157" t="str">
        <f t="shared" si="7"/>
        <v xml:space="preserve"> Q1 1.2</v>
      </c>
      <c r="R15" s="1158" t="str">
        <f t="shared" si="8"/>
        <v>開口部遮音性能</v>
      </c>
      <c r="S15" s="1585">
        <f t="shared" si="16"/>
        <v>0.6</v>
      </c>
      <c r="T15" s="1585">
        <f t="shared" si="9"/>
        <v>0.3</v>
      </c>
      <c r="U15" s="1585">
        <f t="shared" si="9"/>
        <v>1</v>
      </c>
      <c r="V15" s="1585">
        <f t="shared" si="9"/>
        <v>0.6</v>
      </c>
      <c r="W15" s="1585">
        <f t="shared" si="9"/>
        <v>0.4</v>
      </c>
      <c r="X15" s="1585">
        <f t="shared" si="9"/>
        <v>1</v>
      </c>
      <c r="Y15" s="1585">
        <f t="shared" si="9"/>
        <v>1</v>
      </c>
      <c r="Z15" s="1587">
        <f t="shared" si="9"/>
        <v>1</v>
      </c>
      <c r="AA15" s="1585">
        <f t="shared" si="17"/>
        <v>0.6</v>
      </c>
      <c r="AB15" s="1585">
        <f t="shared" si="10"/>
        <v>0.3</v>
      </c>
      <c r="AC15" s="1586">
        <f t="shared" si="11"/>
        <v>0.3</v>
      </c>
      <c r="AD15" s="1585">
        <f t="shared" si="12"/>
        <v>0.3</v>
      </c>
      <c r="AE15" s="1585">
        <f t="shared" si="18"/>
        <v>0.3</v>
      </c>
      <c r="AG15" s="1157" t="s">
        <v>207</v>
      </c>
      <c r="AH15" s="1161" t="s">
        <v>788</v>
      </c>
      <c r="AI15" s="780" t="s">
        <v>208</v>
      </c>
      <c r="AJ15" s="1168"/>
      <c r="AK15" s="1168"/>
      <c r="AL15" s="1168"/>
      <c r="AM15" s="1168"/>
      <c r="AN15" s="1168"/>
      <c r="AO15" s="1168"/>
      <c r="AP15" s="1168"/>
      <c r="AQ15" s="1168"/>
      <c r="AR15" s="1168"/>
      <c r="AS15" s="1163"/>
      <c r="AT15" s="1164"/>
      <c r="AU15" s="1163"/>
      <c r="AV15" s="1163"/>
      <c r="AX15" s="1157" t="s">
        <v>207</v>
      </c>
      <c r="AY15" s="1161" t="s">
        <v>788</v>
      </c>
      <c r="AZ15" s="780" t="s">
        <v>208</v>
      </c>
      <c r="BA15" s="1163">
        <v>0.6</v>
      </c>
      <c r="BB15" s="1163">
        <v>0.4</v>
      </c>
      <c r="BC15" s="1163">
        <v>1</v>
      </c>
      <c r="BD15" s="1163">
        <v>0.6</v>
      </c>
      <c r="BE15" s="1163">
        <v>0.4</v>
      </c>
      <c r="BF15" s="1163">
        <v>1</v>
      </c>
      <c r="BG15" s="1163">
        <v>1</v>
      </c>
      <c r="BH15" s="1165">
        <v>1</v>
      </c>
      <c r="BI15" s="1163">
        <v>0.6</v>
      </c>
      <c r="BJ15" s="1163">
        <v>0.4</v>
      </c>
      <c r="BK15" s="1164">
        <v>0.3</v>
      </c>
      <c r="BL15" s="1163">
        <v>0.3</v>
      </c>
      <c r="BM15" s="1163">
        <v>0.3</v>
      </c>
      <c r="BO15" s="1157" t="s">
        <v>207</v>
      </c>
      <c r="BP15" s="1161" t="s">
        <v>788</v>
      </c>
      <c r="BQ15" s="780" t="s">
        <v>208</v>
      </c>
      <c r="BR15" s="1163">
        <v>0.6</v>
      </c>
      <c r="BS15" s="1163">
        <v>0.3</v>
      </c>
      <c r="BT15" s="1163">
        <v>1</v>
      </c>
      <c r="BU15" s="1163">
        <v>0.6</v>
      </c>
      <c r="BV15" s="1163">
        <v>0.4</v>
      </c>
      <c r="BW15" s="1163">
        <v>1</v>
      </c>
      <c r="BX15" s="1163">
        <v>1</v>
      </c>
      <c r="BY15" s="1476">
        <v>1</v>
      </c>
      <c r="BZ15" s="1163">
        <v>0.6</v>
      </c>
      <c r="CA15" s="1163">
        <v>0.3</v>
      </c>
      <c r="CB15" s="1163">
        <v>0.3</v>
      </c>
      <c r="CC15" s="1163">
        <v>0.3</v>
      </c>
      <c r="CD15" s="1163">
        <v>0.3</v>
      </c>
      <c r="CE15" s="1382"/>
      <c r="CG15" s="1157" t="s">
        <v>207</v>
      </c>
      <c r="CH15" s="1161" t="s">
        <v>788</v>
      </c>
      <c r="CI15" s="780" t="s">
        <v>208</v>
      </c>
      <c r="CJ15" s="1531">
        <f t="shared" si="19"/>
        <v>0.6</v>
      </c>
      <c r="CK15" s="1531">
        <f t="shared" si="20"/>
        <v>0.3</v>
      </c>
      <c r="CL15" s="1531">
        <f t="shared" si="21"/>
        <v>1</v>
      </c>
      <c r="CM15" s="1531">
        <f t="shared" si="22"/>
        <v>0.6</v>
      </c>
      <c r="CN15" s="1531">
        <f t="shared" si="23"/>
        <v>0.4</v>
      </c>
      <c r="CO15" s="1531">
        <f t="shared" si="24"/>
        <v>1</v>
      </c>
      <c r="CP15" s="1531">
        <f t="shared" si="25"/>
        <v>1</v>
      </c>
      <c r="CQ15" s="1532">
        <f t="shared" si="26"/>
        <v>1</v>
      </c>
      <c r="CR15" s="1531">
        <f t="shared" si="27"/>
        <v>0.6</v>
      </c>
      <c r="CS15" s="1531">
        <f t="shared" si="28"/>
        <v>0.3</v>
      </c>
      <c r="CT15" s="1531">
        <f t="shared" si="13"/>
        <v>0.3</v>
      </c>
      <c r="CU15" s="1531">
        <f t="shared" si="14"/>
        <v>0.3</v>
      </c>
      <c r="CV15" s="1531">
        <f t="shared" si="15"/>
        <v>0.3</v>
      </c>
      <c r="CX15" s="1157" t="s">
        <v>207</v>
      </c>
      <c r="CY15" s="1161" t="s">
        <v>788</v>
      </c>
      <c r="CZ15" s="780" t="s">
        <v>208</v>
      </c>
      <c r="DA15" s="1642">
        <v>0</v>
      </c>
      <c r="DB15" s="1520"/>
      <c r="DC15" s="1520"/>
      <c r="DD15" s="1520"/>
      <c r="DE15" s="1520"/>
      <c r="DF15" s="1520"/>
      <c r="DG15" s="1520"/>
      <c r="DH15" s="1622"/>
      <c r="DI15" s="1520"/>
      <c r="DJ15" s="1520"/>
      <c r="DK15" s="1520"/>
      <c r="DL15" s="1520"/>
      <c r="DM15" s="1520"/>
    </row>
    <row r="16" spans="2:117">
      <c r="B16" s="1136" t="str">
        <f t="shared" si="0"/>
        <v>1.2.2</v>
      </c>
      <c r="C16" s="780" t="str">
        <f t="shared" si="1"/>
        <v>界壁遮音性能</v>
      </c>
      <c r="D16" s="1155">
        <f t="shared" ref="D16:E18" si="30">IF(I$14=0,0,G16/I$14)</f>
        <v>0</v>
      </c>
      <c r="E16" s="1155">
        <f t="shared" si="30"/>
        <v>0.3</v>
      </c>
      <c r="G16" s="1156">
        <f t="shared" si="2"/>
        <v>0</v>
      </c>
      <c r="H16" s="1156">
        <f t="shared" si="3"/>
        <v>0.19999999999999998</v>
      </c>
      <c r="I16" s="1156"/>
      <c r="J16" s="1156"/>
      <c r="K16" s="1156">
        <f>IF(スコア!Q16=0,0,1)</f>
        <v>0</v>
      </c>
      <c r="L16" s="1156">
        <f>IF(スコア!S16=0,0,1)</f>
        <v>1</v>
      </c>
      <c r="M16" s="1156">
        <f t="shared" si="4"/>
        <v>0.13333333333333333</v>
      </c>
      <c r="N16" s="1156">
        <f t="shared" si="5"/>
        <v>0.19999999999999998</v>
      </c>
      <c r="P16" s="1157" t="str">
        <f t="shared" si="6"/>
        <v>1.2.2</v>
      </c>
      <c r="Q16" s="1157" t="str">
        <f t="shared" si="7"/>
        <v xml:space="preserve"> Q1 1.2</v>
      </c>
      <c r="R16" s="1158" t="str">
        <f t="shared" si="8"/>
        <v>界壁遮音性能</v>
      </c>
      <c r="S16" s="1585">
        <f t="shared" si="16"/>
        <v>0.4</v>
      </c>
      <c r="T16" s="1585">
        <f t="shared" si="9"/>
        <v>0.3</v>
      </c>
      <c r="U16" s="1585">
        <f t="shared" si="9"/>
        <v>0</v>
      </c>
      <c r="V16" s="1585">
        <f t="shared" si="9"/>
        <v>0.4</v>
      </c>
      <c r="W16" s="1585">
        <f t="shared" si="9"/>
        <v>0.6</v>
      </c>
      <c r="X16" s="1585">
        <f t="shared" si="9"/>
        <v>0</v>
      </c>
      <c r="Y16" s="1585">
        <f t="shared" si="9"/>
        <v>0</v>
      </c>
      <c r="Z16" s="1587">
        <f t="shared" si="9"/>
        <v>0</v>
      </c>
      <c r="AA16" s="1585">
        <f t="shared" si="17"/>
        <v>0.4</v>
      </c>
      <c r="AB16" s="1585">
        <f t="shared" si="10"/>
        <v>0.3</v>
      </c>
      <c r="AC16" s="1586">
        <f t="shared" si="11"/>
        <v>0.3</v>
      </c>
      <c r="AD16" s="1585">
        <f t="shared" si="12"/>
        <v>0.3</v>
      </c>
      <c r="AE16" s="1585">
        <f t="shared" si="18"/>
        <v>0.3</v>
      </c>
      <c r="AG16" s="1157" t="s">
        <v>209</v>
      </c>
      <c r="AH16" s="1161" t="s">
        <v>788</v>
      </c>
      <c r="AI16" s="780" t="s">
        <v>600</v>
      </c>
      <c r="AJ16" s="1169">
        <v>1</v>
      </c>
      <c r="AK16" s="1163">
        <v>0.4</v>
      </c>
      <c r="AL16" s="1163"/>
      <c r="AM16" s="1163">
        <v>1</v>
      </c>
      <c r="AN16" s="1169">
        <v>0.4</v>
      </c>
      <c r="AO16" s="1163"/>
      <c r="AP16" s="1163"/>
      <c r="AQ16" s="1170"/>
      <c r="AR16" s="1169">
        <v>1</v>
      </c>
      <c r="AS16" s="1163">
        <v>0.4</v>
      </c>
      <c r="AT16" s="1164">
        <v>1</v>
      </c>
      <c r="AU16" s="1163">
        <v>0.4</v>
      </c>
      <c r="AV16" s="1163">
        <v>0.4</v>
      </c>
      <c r="AX16" s="1157" t="s">
        <v>209</v>
      </c>
      <c r="AY16" s="1161" t="s">
        <v>788</v>
      </c>
      <c r="AZ16" s="780" t="s">
        <v>600</v>
      </c>
      <c r="BA16" s="1163">
        <v>0.4</v>
      </c>
      <c r="BB16" s="1163">
        <v>0.3</v>
      </c>
      <c r="BC16" s="1163"/>
      <c r="BD16" s="1163">
        <v>0.4</v>
      </c>
      <c r="BE16" s="1163">
        <v>0.6</v>
      </c>
      <c r="BF16" s="1163"/>
      <c r="BG16" s="1163"/>
      <c r="BH16" s="1165"/>
      <c r="BI16" s="1163">
        <v>0.4</v>
      </c>
      <c r="BJ16" s="1163">
        <v>0.3</v>
      </c>
      <c r="BK16" s="1164">
        <v>0.3</v>
      </c>
      <c r="BL16" s="1163">
        <v>0.3</v>
      </c>
      <c r="BM16" s="1163">
        <v>0.3</v>
      </c>
      <c r="BO16" s="1157" t="s">
        <v>209</v>
      </c>
      <c r="BP16" s="1161" t="s">
        <v>788</v>
      </c>
      <c r="BQ16" s="780" t="s">
        <v>600</v>
      </c>
      <c r="BR16" s="1163">
        <v>0.4</v>
      </c>
      <c r="BS16" s="1163">
        <v>0.3</v>
      </c>
      <c r="BT16" s="1163"/>
      <c r="BU16" s="1163">
        <v>0.4</v>
      </c>
      <c r="BV16" s="1163">
        <v>0.6</v>
      </c>
      <c r="BW16" s="1163"/>
      <c r="BX16" s="1163"/>
      <c r="BY16" s="1475"/>
      <c r="BZ16" s="1163">
        <v>0.4</v>
      </c>
      <c r="CA16" s="1163">
        <v>0.3</v>
      </c>
      <c r="CB16" s="1163">
        <v>0.3</v>
      </c>
      <c r="CC16" s="1163">
        <v>0.3</v>
      </c>
      <c r="CD16" s="1163">
        <v>0.3</v>
      </c>
      <c r="CE16" s="1382"/>
      <c r="CG16" s="1157" t="s">
        <v>209</v>
      </c>
      <c r="CH16" s="1161" t="s">
        <v>788</v>
      </c>
      <c r="CI16" s="780" t="s">
        <v>600</v>
      </c>
      <c r="CJ16" s="1531">
        <f t="shared" si="19"/>
        <v>0.4</v>
      </c>
      <c r="CK16" s="1531">
        <f t="shared" si="20"/>
        <v>0.3</v>
      </c>
      <c r="CL16" s="1531">
        <f t="shared" si="21"/>
        <v>0</v>
      </c>
      <c r="CM16" s="1531">
        <f t="shared" si="22"/>
        <v>0.4</v>
      </c>
      <c r="CN16" s="1531">
        <f t="shared" si="23"/>
        <v>0.6</v>
      </c>
      <c r="CO16" s="1531">
        <f t="shared" si="24"/>
        <v>0</v>
      </c>
      <c r="CP16" s="1531">
        <f t="shared" si="25"/>
        <v>0</v>
      </c>
      <c r="CQ16" s="1532">
        <f t="shared" si="26"/>
        <v>0</v>
      </c>
      <c r="CR16" s="1531">
        <f t="shared" si="27"/>
        <v>0.4</v>
      </c>
      <c r="CS16" s="1531">
        <f t="shared" si="28"/>
        <v>0.3</v>
      </c>
      <c r="CT16" s="1531">
        <f t="shared" si="13"/>
        <v>0.3</v>
      </c>
      <c r="CU16" s="1531">
        <f t="shared" si="14"/>
        <v>0.3</v>
      </c>
      <c r="CV16" s="1531">
        <f t="shared" si="15"/>
        <v>0.3</v>
      </c>
      <c r="CX16" s="1157" t="s">
        <v>209</v>
      </c>
      <c r="CY16" s="1161" t="s">
        <v>788</v>
      </c>
      <c r="CZ16" s="780" t="s">
        <v>600</v>
      </c>
      <c r="DA16" s="1642">
        <v>0</v>
      </c>
      <c r="DB16" s="1520"/>
      <c r="DC16" s="1520"/>
      <c r="DD16" s="1520"/>
      <c r="DE16" s="1520"/>
      <c r="DF16" s="1520"/>
      <c r="DG16" s="1520"/>
      <c r="DH16" s="1622"/>
      <c r="DI16" s="1520"/>
      <c r="DJ16" s="1520"/>
      <c r="DK16" s="1520"/>
      <c r="DL16" s="1520"/>
      <c r="DM16" s="1520"/>
    </row>
    <row r="17" spans="2:117">
      <c r="B17" s="1136" t="str">
        <f t="shared" si="0"/>
        <v>1.2.3</v>
      </c>
      <c r="C17" s="780" t="str">
        <f t="shared" si="1"/>
        <v>界床遮音性能（軽量衝撃源）</v>
      </c>
      <c r="D17" s="1155">
        <f t="shared" si="30"/>
        <v>0</v>
      </c>
      <c r="E17" s="1155">
        <f t="shared" si="30"/>
        <v>0.2</v>
      </c>
      <c r="G17" s="1156">
        <f t="shared" si="2"/>
        <v>0</v>
      </c>
      <c r="H17" s="1156">
        <f t="shared" si="3"/>
        <v>0.13333333333333333</v>
      </c>
      <c r="I17" s="1156"/>
      <c r="J17" s="1156"/>
      <c r="K17" s="1156">
        <f>IF(スコア!Q17=0,0,1)</f>
        <v>0</v>
      </c>
      <c r="L17" s="1156">
        <f>IF(スコア!S17=0,0,1)</f>
        <v>1</v>
      </c>
      <c r="M17" s="1156">
        <f t="shared" si="4"/>
        <v>0</v>
      </c>
      <c r="N17" s="1156">
        <f t="shared" si="5"/>
        <v>0.13333333333333333</v>
      </c>
      <c r="P17" s="1157" t="str">
        <f t="shared" si="6"/>
        <v>1.2.3</v>
      </c>
      <c r="Q17" s="1157" t="str">
        <f t="shared" si="7"/>
        <v xml:space="preserve"> Q1 1.2</v>
      </c>
      <c r="R17" s="1158" t="str">
        <f t="shared" si="8"/>
        <v>界床遮音性能（軽量衝撃源）</v>
      </c>
      <c r="S17" s="1585">
        <f t="shared" si="16"/>
        <v>0</v>
      </c>
      <c r="T17" s="1585">
        <f t="shared" si="9"/>
        <v>0.2</v>
      </c>
      <c r="U17" s="1585">
        <f t="shared" si="9"/>
        <v>0</v>
      </c>
      <c r="V17" s="1585">
        <f t="shared" si="9"/>
        <v>0</v>
      </c>
      <c r="W17" s="1585">
        <f t="shared" si="9"/>
        <v>0</v>
      </c>
      <c r="X17" s="1585">
        <f t="shared" si="9"/>
        <v>0</v>
      </c>
      <c r="Y17" s="1585">
        <f t="shared" si="9"/>
        <v>0</v>
      </c>
      <c r="Z17" s="1587">
        <f t="shared" si="9"/>
        <v>0</v>
      </c>
      <c r="AA17" s="1585">
        <f t="shared" si="17"/>
        <v>0</v>
      </c>
      <c r="AB17" s="1585">
        <f t="shared" si="10"/>
        <v>0.2</v>
      </c>
      <c r="AC17" s="1586">
        <f t="shared" si="11"/>
        <v>0.2</v>
      </c>
      <c r="AD17" s="1585">
        <f t="shared" si="12"/>
        <v>0.2</v>
      </c>
      <c r="AE17" s="1585">
        <f t="shared" si="18"/>
        <v>0.2</v>
      </c>
      <c r="AG17" s="1157" t="s">
        <v>210</v>
      </c>
      <c r="AH17" s="1161" t="s">
        <v>788</v>
      </c>
      <c r="AI17" s="780" t="s">
        <v>601</v>
      </c>
      <c r="AJ17" s="1163"/>
      <c r="AK17" s="1163">
        <v>0.3</v>
      </c>
      <c r="AL17" s="1163"/>
      <c r="AM17" s="1163"/>
      <c r="AN17" s="1169">
        <v>0.6</v>
      </c>
      <c r="AO17" s="1163"/>
      <c r="AP17" s="1163"/>
      <c r="AQ17" s="1170"/>
      <c r="AR17" s="1163"/>
      <c r="AS17" s="1163">
        <v>0.3</v>
      </c>
      <c r="AT17" s="1164"/>
      <c r="AU17" s="1163">
        <v>0.3</v>
      </c>
      <c r="AV17" s="1163">
        <v>0.3</v>
      </c>
      <c r="AX17" s="1157" t="s">
        <v>210</v>
      </c>
      <c r="AY17" s="1161" t="s">
        <v>788</v>
      </c>
      <c r="AZ17" s="780" t="s">
        <v>601</v>
      </c>
      <c r="BA17" s="1163"/>
      <c r="BB17" s="1163">
        <v>0.15</v>
      </c>
      <c r="BC17" s="1163"/>
      <c r="BD17" s="1163"/>
      <c r="BE17" s="1163"/>
      <c r="BF17" s="1163"/>
      <c r="BG17" s="1163"/>
      <c r="BH17" s="1165"/>
      <c r="BI17" s="1163"/>
      <c r="BJ17" s="1163">
        <v>0.15</v>
      </c>
      <c r="BK17" s="1164">
        <v>0.2</v>
      </c>
      <c r="BL17" s="1163">
        <v>0.2</v>
      </c>
      <c r="BM17" s="1163">
        <v>0.2</v>
      </c>
      <c r="BO17" s="1157" t="s">
        <v>210</v>
      </c>
      <c r="BP17" s="1161" t="s">
        <v>788</v>
      </c>
      <c r="BQ17" s="780" t="s">
        <v>601</v>
      </c>
      <c r="BR17" s="1163"/>
      <c r="BS17" s="1163">
        <v>0.2</v>
      </c>
      <c r="BT17" s="1163"/>
      <c r="BU17" s="1163"/>
      <c r="BV17" s="1163"/>
      <c r="BW17" s="1163"/>
      <c r="BX17" s="1163"/>
      <c r="BY17" s="1477"/>
      <c r="BZ17" s="1163"/>
      <c r="CA17" s="1163">
        <v>0.2</v>
      </c>
      <c r="CB17" s="1164">
        <v>0.2</v>
      </c>
      <c r="CC17" s="1163">
        <v>0.2</v>
      </c>
      <c r="CD17" s="1163">
        <v>0.2</v>
      </c>
      <c r="CE17" s="1382"/>
      <c r="CG17" s="1157" t="s">
        <v>210</v>
      </c>
      <c r="CH17" s="1161" t="s">
        <v>788</v>
      </c>
      <c r="CI17" s="780" t="s">
        <v>601</v>
      </c>
      <c r="CJ17" s="1531">
        <f t="shared" si="19"/>
        <v>0</v>
      </c>
      <c r="CK17" s="1531">
        <f t="shared" si="20"/>
        <v>0.2</v>
      </c>
      <c r="CL17" s="1531">
        <f t="shared" si="21"/>
        <v>0</v>
      </c>
      <c r="CM17" s="1531">
        <f t="shared" si="22"/>
        <v>0</v>
      </c>
      <c r="CN17" s="1531">
        <f t="shared" si="23"/>
        <v>0</v>
      </c>
      <c r="CO17" s="1531">
        <f t="shared" si="24"/>
        <v>0</v>
      </c>
      <c r="CP17" s="1531">
        <f t="shared" si="25"/>
        <v>0</v>
      </c>
      <c r="CQ17" s="1532">
        <f t="shared" si="26"/>
        <v>0</v>
      </c>
      <c r="CR17" s="1531">
        <f t="shared" si="27"/>
        <v>0</v>
      </c>
      <c r="CS17" s="1531">
        <f t="shared" si="28"/>
        <v>0.2</v>
      </c>
      <c r="CT17" s="1533">
        <f t="shared" si="13"/>
        <v>0.2</v>
      </c>
      <c r="CU17" s="1531">
        <f t="shared" si="14"/>
        <v>0.2</v>
      </c>
      <c r="CV17" s="1531">
        <f t="shared" si="15"/>
        <v>0.2</v>
      </c>
      <c r="CX17" s="1157" t="s">
        <v>210</v>
      </c>
      <c r="CY17" s="1161" t="s">
        <v>788</v>
      </c>
      <c r="CZ17" s="780" t="s">
        <v>601</v>
      </c>
      <c r="DA17" s="1642">
        <v>0</v>
      </c>
      <c r="DB17" s="1520"/>
      <c r="DC17" s="1520"/>
      <c r="DD17" s="1520"/>
      <c r="DE17" s="1520"/>
      <c r="DF17" s="1520"/>
      <c r="DG17" s="1520"/>
      <c r="DH17" s="1622"/>
      <c r="DI17" s="1520"/>
      <c r="DJ17" s="1520"/>
      <c r="DK17" s="1623"/>
      <c r="DL17" s="1520"/>
      <c r="DM17" s="1520"/>
    </row>
    <row r="18" spans="2:117">
      <c r="B18" s="1136" t="str">
        <f t="shared" si="0"/>
        <v>1.2.4</v>
      </c>
      <c r="C18" s="780" t="str">
        <f t="shared" si="1"/>
        <v>界床遮音性能（重量衝撃源）</v>
      </c>
      <c r="D18" s="1155">
        <f t="shared" si="30"/>
        <v>0</v>
      </c>
      <c r="E18" s="1155">
        <f t="shared" si="30"/>
        <v>0.2</v>
      </c>
      <c r="G18" s="1156">
        <f t="shared" si="2"/>
        <v>0</v>
      </c>
      <c r="H18" s="1156">
        <f t="shared" si="3"/>
        <v>0.13333333333333333</v>
      </c>
      <c r="I18" s="1156"/>
      <c r="J18" s="1156"/>
      <c r="K18" s="1156">
        <f>IF(スコア!Q18=0,0,1)</f>
        <v>0</v>
      </c>
      <c r="L18" s="1156">
        <f>IF(スコア!S18=0,0,1)</f>
        <v>1</v>
      </c>
      <c r="M18" s="1156">
        <f t="shared" si="4"/>
        <v>0</v>
      </c>
      <c r="N18" s="1156">
        <f t="shared" si="5"/>
        <v>0.13333333333333333</v>
      </c>
      <c r="P18" s="1157" t="str">
        <f t="shared" si="6"/>
        <v>1.2.4</v>
      </c>
      <c r="Q18" s="1157" t="str">
        <f t="shared" si="7"/>
        <v xml:space="preserve"> Q1 1.2</v>
      </c>
      <c r="R18" s="1158" t="str">
        <f t="shared" si="8"/>
        <v>界床遮音性能（重量衝撃源）</v>
      </c>
      <c r="S18" s="1585">
        <f t="shared" si="16"/>
        <v>0</v>
      </c>
      <c r="T18" s="1585">
        <f t="shared" si="9"/>
        <v>0.2</v>
      </c>
      <c r="U18" s="1585">
        <f t="shared" si="9"/>
        <v>0</v>
      </c>
      <c r="V18" s="1585">
        <f t="shared" si="9"/>
        <v>0</v>
      </c>
      <c r="W18" s="1585">
        <f t="shared" si="9"/>
        <v>0</v>
      </c>
      <c r="X18" s="1585">
        <f t="shared" si="9"/>
        <v>0</v>
      </c>
      <c r="Y18" s="1585">
        <f t="shared" si="9"/>
        <v>0</v>
      </c>
      <c r="Z18" s="1587">
        <f t="shared" si="9"/>
        <v>0</v>
      </c>
      <c r="AA18" s="1585">
        <f t="shared" si="17"/>
        <v>0</v>
      </c>
      <c r="AB18" s="1585">
        <f t="shared" si="10"/>
        <v>0.2</v>
      </c>
      <c r="AC18" s="1586">
        <f t="shared" si="11"/>
        <v>0.2</v>
      </c>
      <c r="AD18" s="1585">
        <f t="shared" si="12"/>
        <v>0.2</v>
      </c>
      <c r="AE18" s="1585">
        <f t="shared" si="18"/>
        <v>0.2</v>
      </c>
      <c r="AG18" s="1157" t="s">
        <v>211</v>
      </c>
      <c r="AH18" s="1161" t="s">
        <v>788</v>
      </c>
      <c r="AI18" s="780" t="s">
        <v>602</v>
      </c>
      <c r="AJ18" s="1163"/>
      <c r="AK18" s="1163">
        <v>0.3</v>
      </c>
      <c r="AL18" s="1163"/>
      <c r="AM18" s="1163"/>
      <c r="AN18" s="1163"/>
      <c r="AO18" s="1163"/>
      <c r="AP18" s="1163"/>
      <c r="AQ18" s="1170"/>
      <c r="AR18" s="1163"/>
      <c r="AS18" s="1163">
        <v>0.3</v>
      </c>
      <c r="AT18" s="1164"/>
      <c r="AU18" s="1163">
        <v>0.3</v>
      </c>
      <c r="AV18" s="1163">
        <v>0.3</v>
      </c>
      <c r="AX18" s="1157" t="s">
        <v>211</v>
      </c>
      <c r="AY18" s="1161" t="s">
        <v>788</v>
      </c>
      <c r="AZ18" s="780" t="s">
        <v>602</v>
      </c>
      <c r="BA18" s="1163"/>
      <c r="BB18" s="1163">
        <v>0.15</v>
      </c>
      <c r="BC18" s="1163"/>
      <c r="BD18" s="1163"/>
      <c r="BE18" s="1163"/>
      <c r="BF18" s="1163"/>
      <c r="BG18" s="1163"/>
      <c r="BH18" s="1165"/>
      <c r="BI18" s="1163"/>
      <c r="BJ18" s="1163">
        <v>0.15</v>
      </c>
      <c r="BK18" s="1164">
        <v>0.2</v>
      </c>
      <c r="BL18" s="1163">
        <v>0.2</v>
      </c>
      <c r="BM18" s="1163">
        <v>0.2</v>
      </c>
      <c r="BO18" s="1157" t="s">
        <v>211</v>
      </c>
      <c r="BP18" s="1161" t="s">
        <v>788</v>
      </c>
      <c r="BQ18" s="780" t="s">
        <v>602</v>
      </c>
      <c r="BR18" s="1163"/>
      <c r="BS18" s="1163">
        <v>0.2</v>
      </c>
      <c r="BT18" s="1163"/>
      <c r="BU18" s="1163"/>
      <c r="BV18" s="1163"/>
      <c r="BW18" s="1163"/>
      <c r="BX18" s="1163"/>
      <c r="BY18" s="1477"/>
      <c r="BZ18" s="1163"/>
      <c r="CA18" s="1163">
        <v>0.2</v>
      </c>
      <c r="CB18" s="1164">
        <v>0.2</v>
      </c>
      <c r="CC18" s="1163">
        <v>0.2</v>
      </c>
      <c r="CD18" s="1163">
        <v>0.2</v>
      </c>
      <c r="CE18" s="1382"/>
      <c r="CG18" s="1157" t="s">
        <v>211</v>
      </c>
      <c r="CH18" s="1161" t="s">
        <v>788</v>
      </c>
      <c r="CI18" s="780" t="s">
        <v>602</v>
      </c>
      <c r="CJ18" s="1531">
        <f t="shared" si="19"/>
        <v>0</v>
      </c>
      <c r="CK18" s="1531">
        <f t="shared" si="20"/>
        <v>0.2</v>
      </c>
      <c r="CL18" s="1531">
        <f t="shared" si="21"/>
        <v>0</v>
      </c>
      <c r="CM18" s="1531">
        <f t="shared" si="22"/>
        <v>0</v>
      </c>
      <c r="CN18" s="1531">
        <f t="shared" si="23"/>
        <v>0</v>
      </c>
      <c r="CO18" s="1531">
        <f t="shared" si="24"/>
        <v>0</v>
      </c>
      <c r="CP18" s="1531">
        <f t="shared" si="25"/>
        <v>0</v>
      </c>
      <c r="CQ18" s="1532">
        <f t="shared" si="26"/>
        <v>0</v>
      </c>
      <c r="CR18" s="1531">
        <f t="shared" si="27"/>
        <v>0</v>
      </c>
      <c r="CS18" s="1531">
        <f t="shared" si="28"/>
        <v>0.2</v>
      </c>
      <c r="CT18" s="1533">
        <f t="shared" si="13"/>
        <v>0.2</v>
      </c>
      <c r="CU18" s="1531">
        <f t="shared" si="14"/>
        <v>0.2</v>
      </c>
      <c r="CV18" s="1531">
        <f t="shared" si="15"/>
        <v>0.2</v>
      </c>
      <c r="CX18" s="1157" t="s">
        <v>211</v>
      </c>
      <c r="CY18" s="1161" t="s">
        <v>788</v>
      </c>
      <c r="CZ18" s="780" t="s">
        <v>602</v>
      </c>
      <c r="DA18" s="1642">
        <v>0</v>
      </c>
      <c r="DB18" s="1520"/>
      <c r="DC18" s="1520"/>
      <c r="DD18" s="1520"/>
      <c r="DE18" s="1520"/>
      <c r="DF18" s="1520"/>
      <c r="DG18" s="1520"/>
      <c r="DH18" s="1622"/>
      <c r="DI18" s="1520"/>
      <c r="DJ18" s="1520"/>
      <c r="DK18" s="1623"/>
      <c r="DL18" s="1520"/>
      <c r="DM18" s="1520"/>
    </row>
    <row r="19" spans="2:117">
      <c r="B19" s="1136">
        <f t="shared" si="0"/>
        <v>1.3</v>
      </c>
      <c r="C19" s="780" t="str">
        <f t="shared" si="1"/>
        <v>吸音</v>
      </c>
      <c r="D19" s="1155">
        <f>IF(I$10=0,0,G19/I$10)</f>
        <v>0</v>
      </c>
      <c r="E19" s="1155">
        <f>IF(J$10=0,0,H19/J$10)</f>
        <v>0</v>
      </c>
      <c r="G19" s="1156">
        <f t="shared" si="2"/>
        <v>0</v>
      </c>
      <c r="H19" s="1156">
        <f t="shared" si="3"/>
        <v>0</v>
      </c>
      <c r="I19" s="1156"/>
      <c r="J19" s="1156"/>
      <c r="K19" s="1156">
        <f>IF(スコア!Q19=0,0,1)</f>
        <v>0</v>
      </c>
      <c r="L19" s="1156">
        <f>IF(スコア!S19=0,0,1)</f>
        <v>0</v>
      </c>
      <c r="M19" s="1156">
        <f t="shared" si="4"/>
        <v>6.6666666666666666E-2</v>
      </c>
      <c r="N19" s="1156">
        <f t="shared" si="5"/>
        <v>0</v>
      </c>
      <c r="P19" s="1157">
        <f t="shared" si="6"/>
        <v>1.3</v>
      </c>
      <c r="Q19" s="1157" t="str">
        <f t="shared" si="7"/>
        <v xml:space="preserve"> Q1 1</v>
      </c>
      <c r="R19" s="1158" t="str">
        <f t="shared" si="8"/>
        <v>吸音</v>
      </c>
      <c r="S19" s="1585">
        <f t="shared" si="16"/>
        <v>0.2</v>
      </c>
      <c r="T19" s="1585">
        <f t="shared" si="9"/>
        <v>0.2</v>
      </c>
      <c r="U19" s="1585">
        <f t="shared" si="9"/>
        <v>0.2</v>
      </c>
      <c r="V19" s="1585">
        <f t="shared" si="9"/>
        <v>0.2</v>
      </c>
      <c r="W19" s="1585">
        <f t="shared" si="9"/>
        <v>0.2</v>
      </c>
      <c r="X19" s="1585">
        <f t="shared" si="9"/>
        <v>0.2</v>
      </c>
      <c r="Y19" s="1585">
        <f t="shared" si="9"/>
        <v>0</v>
      </c>
      <c r="Z19" s="1587">
        <f t="shared" si="9"/>
        <v>0.2</v>
      </c>
      <c r="AA19" s="1585">
        <f t="shared" si="17"/>
        <v>0.2</v>
      </c>
      <c r="AB19" s="1585">
        <f t="shared" si="10"/>
        <v>0.2</v>
      </c>
      <c r="AC19" s="1586">
        <f t="shared" si="11"/>
        <v>0.2</v>
      </c>
      <c r="AD19" s="1585">
        <f t="shared" si="12"/>
        <v>0.2</v>
      </c>
      <c r="AE19" s="1585">
        <f t="shared" si="18"/>
        <v>0</v>
      </c>
      <c r="AG19" s="1157">
        <v>1.3</v>
      </c>
      <c r="AH19" s="1161" t="s">
        <v>782</v>
      </c>
      <c r="AI19" s="780" t="s">
        <v>603</v>
      </c>
      <c r="AJ19" s="1169">
        <v>0.2</v>
      </c>
      <c r="AK19" s="1159">
        <v>0.2</v>
      </c>
      <c r="AL19" s="1159">
        <v>0.2</v>
      </c>
      <c r="AM19" s="1159">
        <v>0.2</v>
      </c>
      <c r="AN19" s="1169">
        <v>0.2</v>
      </c>
      <c r="AO19" s="1159">
        <v>0.2</v>
      </c>
      <c r="AP19" s="1159">
        <v>0.2</v>
      </c>
      <c r="AQ19" s="1169">
        <v>0.2</v>
      </c>
      <c r="AR19" s="1159"/>
      <c r="AS19" s="1163">
        <v>0.2</v>
      </c>
      <c r="AT19" s="1164"/>
      <c r="AU19" s="1163">
        <v>0.2</v>
      </c>
      <c r="AV19" s="1169">
        <v>0.2</v>
      </c>
      <c r="AX19" s="1157">
        <v>1.3</v>
      </c>
      <c r="AY19" s="1161" t="s">
        <v>782</v>
      </c>
      <c r="AZ19" s="780" t="s">
        <v>603</v>
      </c>
      <c r="BA19" s="1163">
        <v>0.3</v>
      </c>
      <c r="BB19" s="1163">
        <v>0.3</v>
      </c>
      <c r="BC19" s="1163">
        <v>0.3</v>
      </c>
      <c r="BD19" s="1163">
        <v>0.3</v>
      </c>
      <c r="BE19" s="1163">
        <v>0.3</v>
      </c>
      <c r="BF19" s="1163">
        <v>0.3</v>
      </c>
      <c r="BG19" s="1163">
        <v>0</v>
      </c>
      <c r="BH19" s="1165">
        <v>0.2</v>
      </c>
      <c r="BI19" s="1163">
        <v>0.3</v>
      </c>
      <c r="BJ19" s="1163">
        <v>0.3</v>
      </c>
      <c r="BK19" s="1164">
        <v>0.3</v>
      </c>
      <c r="BL19" s="1163">
        <v>0.3</v>
      </c>
      <c r="BM19" s="1163">
        <v>0</v>
      </c>
      <c r="BO19" s="1157">
        <v>1.3</v>
      </c>
      <c r="BP19" s="1161" t="s">
        <v>782</v>
      </c>
      <c r="BQ19" s="780" t="s">
        <v>603</v>
      </c>
      <c r="BR19" s="1163">
        <v>0.2</v>
      </c>
      <c r="BS19" s="1163">
        <v>0.2</v>
      </c>
      <c r="BT19" s="1163">
        <v>0.2</v>
      </c>
      <c r="BU19" s="1163">
        <v>0.2</v>
      </c>
      <c r="BV19" s="1163">
        <v>0.2</v>
      </c>
      <c r="BW19" s="1163">
        <v>0.2</v>
      </c>
      <c r="BX19" s="1163">
        <v>0</v>
      </c>
      <c r="BY19" s="1477">
        <v>0.2</v>
      </c>
      <c r="BZ19" s="1163">
        <v>0.2</v>
      </c>
      <c r="CA19" s="1163">
        <v>0.2</v>
      </c>
      <c r="CB19" s="1164">
        <v>0.2</v>
      </c>
      <c r="CC19" s="1163">
        <v>0.2</v>
      </c>
      <c r="CD19" s="1163">
        <v>0</v>
      </c>
      <c r="CE19" s="1382"/>
      <c r="CG19" s="1157">
        <v>1.3</v>
      </c>
      <c r="CH19" s="1161" t="s">
        <v>782</v>
      </c>
      <c r="CI19" s="780" t="s">
        <v>603</v>
      </c>
      <c r="CJ19" s="1520">
        <v>0.33</v>
      </c>
      <c r="CK19" s="1520">
        <v>0.33</v>
      </c>
      <c r="CL19" s="1520">
        <v>0.33</v>
      </c>
      <c r="CM19" s="1520">
        <v>0.33</v>
      </c>
      <c r="CN19" s="1520">
        <v>0.33</v>
      </c>
      <c r="CO19" s="1520">
        <v>0.33</v>
      </c>
      <c r="CP19" s="1531">
        <f t="shared" si="25"/>
        <v>0</v>
      </c>
      <c r="CQ19" s="1520">
        <v>0.33</v>
      </c>
      <c r="CR19" s="1520">
        <v>0.33</v>
      </c>
      <c r="CS19" s="1520">
        <v>0.33</v>
      </c>
      <c r="CT19" s="1520">
        <v>0.33</v>
      </c>
      <c r="CU19" s="1520">
        <v>0.33</v>
      </c>
      <c r="CV19" s="1531">
        <f t="shared" si="15"/>
        <v>0</v>
      </c>
      <c r="CX19" s="1157">
        <v>1.3</v>
      </c>
      <c r="CY19" s="1161" t="s">
        <v>782</v>
      </c>
      <c r="CZ19" s="780" t="s">
        <v>603</v>
      </c>
      <c r="DA19" s="1642">
        <v>0</v>
      </c>
      <c r="DB19" s="1520"/>
      <c r="DC19" s="1520"/>
      <c r="DD19" s="1520"/>
      <c r="DE19" s="1520"/>
      <c r="DF19" s="1520"/>
      <c r="DG19" s="1520"/>
      <c r="DH19" s="1520"/>
      <c r="DI19" s="1520"/>
      <c r="DJ19" s="1520"/>
      <c r="DK19" s="1520"/>
      <c r="DL19" s="1520"/>
      <c r="DM19" s="1520"/>
    </row>
    <row r="20" spans="2:117">
      <c r="B20" s="1136">
        <f t="shared" si="0"/>
        <v>2</v>
      </c>
      <c r="C20" s="1148" t="str">
        <f t="shared" si="1"/>
        <v>温熱環境</v>
      </c>
      <c r="D20" s="1144">
        <f>IF(I$9=0,0,G20/I$9)</f>
        <v>0.35</v>
      </c>
      <c r="E20" s="1145">
        <f>IF(J$9=0,0,H20/J$9)</f>
        <v>0</v>
      </c>
      <c r="G20" s="1145">
        <f t="shared" si="2"/>
        <v>0.35</v>
      </c>
      <c r="H20" s="1145">
        <f t="shared" si="3"/>
        <v>0</v>
      </c>
      <c r="I20" s="1145">
        <f>G21+G30+G31+G32</f>
        <v>0.5</v>
      </c>
      <c r="J20" s="1145">
        <f>H21+H30+H31+H32</f>
        <v>0.33333333333333331</v>
      </c>
      <c r="K20" s="1145">
        <f>IF(L20&gt;0,1,IF(スコア!Q20=0,0,1))</f>
        <v>1</v>
      </c>
      <c r="L20" s="1145">
        <f>IF(スコア!S20=0,0,1)</f>
        <v>1</v>
      </c>
      <c r="M20" s="1145">
        <f t="shared" si="4"/>
        <v>0.35</v>
      </c>
      <c r="N20" s="1145">
        <f t="shared" si="5"/>
        <v>0</v>
      </c>
      <c r="P20" s="1147">
        <f t="shared" si="6"/>
        <v>2</v>
      </c>
      <c r="Q20" s="1147" t="str">
        <f t="shared" si="7"/>
        <v xml:space="preserve"> Q1</v>
      </c>
      <c r="R20" s="1148" t="str">
        <f t="shared" si="8"/>
        <v>温熱環境</v>
      </c>
      <c r="S20" s="1582">
        <f t="shared" si="16"/>
        <v>0.35</v>
      </c>
      <c r="T20" s="1582">
        <f t="shared" si="9"/>
        <v>0.35</v>
      </c>
      <c r="U20" s="1582">
        <f t="shared" si="9"/>
        <v>0.35</v>
      </c>
      <c r="V20" s="1582">
        <f t="shared" si="9"/>
        <v>0.35</v>
      </c>
      <c r="W20" s="1582">
        <f t="shared" si="9"/>
        <v>0.35</v>
      </c>
      <c r="X20" s="1582">
        <f t="shared" si="9"/>
        <v>0.35</v>
      </c>
      <c r="Y20" s="1582">
        <f t="shared" si="9"/>
        <v>0.35</v>
      </c>
      <c r="Z20" s="1588">
        <f t="shared" si="9"/>
        <v>0.35</v>
      </c>
      <c r="AA20" s="1582">
        <f t="shared" si="17"/>
        <v>0.35</v>
      </c>
      <c r="AB20" s="1582">
        <f t="shared" si="10"/>
        <v>0.35</v>
      </c>
      <c r="AC20" s="1584">
        <f t="shared" si="11"/>
        <v>0</v>
      </c>
      <c r="AD20" s="1582">
        <f t="shared" si="12"/>
        <v>0</v>
      </c>
      <c r="AE20" s="1582">
        <f t="shared" si="18"/>
        <v>0</v>
      </c>
      <c r="AG20" s="1147">
        <v>2</v>
      </c>
      <c r="AH20" s="1151" t="s">
        <v>781</v>
      </c>
      <c r="AI20" s="1148" t="s">
        <v>774</v>
      </c>
      <c r="AJ20" s="1149">
        <v>0.35</v>
      </c>
      <c r="AK20" s="1149">
        <v>0.35</v>
      </c>
      <c r="AL20" s="1149">
        <v>0.35</v>
      </c>
      <c r="AM20" s="1149">
        <v>0.35</v>
      </c>
      <c r="AN20" s="1149">
        <v>0.35</v>
      </c>
      <c r="AO20" s="1149">
        <v>0.35</v>
      </c>
      <c r="AP20" s="1149">
        <v>0.35</v>
      </c>
      <c r="AQ20" s="1149">
        <v>0.44</v>
      </c>
      <c r="AR20" s="1149">
        <v>0.35</v>
      </c>
      <c r="AS20" s="1152">
        <v>0.35</v>
      </c>
      <c r="AT20" s="1153"/>
      <c r="AU20" s="1152"/>
      <c r="AV20" s="1152"/>
      <c r="AX20" s="1147">
        <v>2</v>
      </c>
      <c r="AY20" s="1151" t="s">
        <v>781</v>
      </c>
      <c r="AZ20" s="1148" t="s">
        <v>774</v>
      </c>
      <c r="BA20" s="1152">
        <v>0.35</v>
      </c>
      <c r="BB20" s="1152">
        <v>0.35</v>
      </c>
      <c r="BC20" s="1152">
        <v>0.35</v>
      </c>
      <c r="BD20" s="1152">
        <v>0.35</v>
      </c>
      <c r="BE20" s="1152">
        <v>0.35</v>
      </c>
      <c r="BF20" s="1152">
        <v>0.35</v>
      </c>
      <c r="BG20" s="1152">
        <v>0.35</v>
      </c>
      <c r="BH20" s="1172">
        <v>0.44</v>
      </c>
      <c r="BI20" s="1152">
        <v>0.35</v>
      </c>
      <c r="BJ20" s="1152">
        <v>0.35</v>
      </c>
      <c r="BK20" s="1153"/>
      <c r="BL20" s="1152"/>
      <c r="BM20" s="1152"/>
      <c r="BO20" s="1147">
        <v>2</v>
      </c>
      <c r="BP20" s="1151" t="s">
        <v>781</v>
      </c>
      <c r="BQ20" s="1148" t="s">
        <v>774</v>
      </c>
      <c r="BR20" s="1152">
        <v>0.35</v>
      </c>
      <c r="BS20" s="1152">
        <v>0.35</v>
      </c>
      <c r="BT20" s="1152">
        <v>0.35</v>
      </c>
      <c r="BU20" s="1152">
        <v>0.35</v>
      </c>
      <c r="BV20" s="1152">
        <v>0.35</v>
      </c>
      <c r="BW20" s="1152">
        <v>0.35</v>
      </c>
      <c r="BX20" s="1152">
        <v>0.35</v>
      </c>
      <c r="BY20" s="1478">
        <v>0.35</v>
      </c>
      <c r="BZ20" s="1152">
        <v>0.35</v>
      </c>
      <c r="CA20" s="1152">
        <v>0.35</v>
      </c>
      <c r="CB20" s="1153"/>
      <c r="CC20" s="1152"/>
      <c r="CD20" s="1152"/>
      <c r="CE20" s="1381"/>
      <c r="CG20" s="1147">
        <v>2</v>
      </c>
      <c r="CH20" s="1151" t="s">
        <v>781</v>
      </c>
      <c r="CI20" s="1148" t="s">
        <v>774</v>
      </c>
      <c r="CJ20" s="1528">
        <f t="shared" si="19"/>
        <v>0.35</v>
      </c>
      <c r="CK20" s="1528">
        <f t="shared" si="20"/>
        <v>0.35</v>
      </c>
      <c r="CL20" s="1528">
        <f t="shared" si="21"/>
        <v>0.35</v>
      </c>
      <c r="CM20" s="1528">
        <f t="shared" si="22"/>
        <v>0.35</v>
      </c>
      <c r="CN20" s="1528">
        <f t="shared" si="23"/>
        <v>0.35</v>
      </c>
      <c r="CO20" s="1528">
        <f t="shared" si="24"/>
        <v>0.35</v>
      </c>
      <c r="CP20" s="1528">
        <f t="shared" si="25"/>
        <v>0.35</v>
      </c>
      <c r="CQ20" s="1535">
        <f t="shared" si="26"/>
        <v>0.35</v>
      </c>
      <c r="CR20" s="1528">
        <f t="shared" si="27"/>
        <v>0.35</v>
      </c>
      <c r="CS20" s="1528">
        <f t="shared" si="28"/>
        <v>0.35</v>
      </c>
      <c r="CT20" s="1530">
        <f t="shared" si="13"/>
        <v>0</v>
      </c>
      <c r="CU20" s="1528">
        <f t="shared" si="14"/>
        <v>0</v>
      </c>
      <c r="CV20" s="1528">
        <f t="shared" si="15"/>
        <v>0</v>
      </c>
      <c r="CX20" s="1147">
        <v>2</v>
      </c>
      <c r="CY20" s="1151" t="s">
        <v>781</v>
      </c>
      <c r="CZ20" s="1148" t="s">
        <v>774</v>
      </c>
      <c r="DA20" s="1518">
        <f t="shared" si="29"/>
        <v>0.35</v>
      </c>
      <c r="DB20" s="1518"/>
      <c r="DC20" s="1518"/>
      <c r="DD20" s="1518"/>
      <c r="DE20" s="1518"/>
      <c r="DF20" s="1518"/>
      <c r="DG20" s="1518"/>
      <c r="DH20" s="1624"/>
      <c r="DI20" s="1518"/>
      <c r="DJ20" s="1518"/>
      <c r="DK20" s="1519"/>
      <c r="DL20" s="1518"/>
      <c r="DM20" s="1518"/>
    </row>
    <row r="21" spans="2:117">
      <c r="B21" s="1136">
        <f t="shared" si="0"/>
        <v>2.1</v>
      </c>
      <c r="C21" s="1158" t="str">
        <f t="shared" si="1"/>
        <v>室温制御</v>
      </c>
      <c r="D21" s="1155">
        <f>IF(I$20=0,0,G21/I$20)</f>
        <v>1</v>
      </c>
      <c r="E21" s="1156">
        <f>IF(J$20=0,0,H21/J$20)</f>
        <v>1</v>
      </c>
      <c r="G21" s="1156">
        <f t="shared" si="2"/>
        <v>0.5</v>
      </c>
      <c r="H21" s="1156">
        <f t="shared" si="3"/>
        <v>0.33333333333333331</v>
      </c>
      <c r="I21" s="1156">
        <f>SUM(G22:G29)</f>
        <v>0.33333333333333326</v>
      </c>
      <c r="J21" s="1156">
        <f>SUM(H22:H29)</f>
        <v>0.24999999999999994</v>
      </c>
      <c r="K21" s="1156">
        <f>IF(スコア!Q21=0,0,1)</f>
        <v>1</v>
      </c>
      <c r="L21" s="1156">
        <f>IF(スコア!S21=0,0,1)</f>
        <v>1</v>
      </c>
      <c r="M21" s="1156">
        <f t="shared" si="4"/>
        <v>0.5</v>
      </c>
      <c r="N21" s="1156">
        <f t="shared" si="5"/>
        <v>0.33333333333333331</v>
      </c>
      <c r="P21" s="1157">
        <f t="shared" si="6"/>
        <v>2.1</v>
      </c>
      <c r="Q21" s="1157" t="str">
        <f t="shared" si="7"/>
        <v xml:space="preserve"> Q1 2</v>
      </c>
      <c r="R21" s="1158" t="str">
        <f t="shared" si="8"/>
        <v>室温制御</v>
      </c>
      <c r="S21" s="1585">
        <f t="shared" si="16"/>
        <v>0.5</v>
      </c>
      <c r="T21" s="1585">
        <f t="shared" si="9"/>
        <v>0.5</v>
      </c>
      <c r="U21" s="1585">
        <f t="shared" si="9"/>
        <v>0.5</v>
      </c>
      <c r="V21" s="1585">
        <f t="shared" si="9"/>
        <v>0.5</v>
      </c>
      <c r="W21" s="1585">
        <f t="shared" si="9"/>
        <v>0.5</v>
      </c>
      <c r="X21" s="1585">
        <f t="shared" si="9"/>
        <v>0.5</v>
      </c>
      <c r="Y21" s="1585">
        <f t="shared" si="9"/>
        <v>0.5</v>
      </c>
      <c r="Z21" s="1589">
        <f t="shared" si="9"/>
        <v>0.5</v>
      </c>
      <c r="AA21" s="1585">
        <f t="shared" si="17"/>
        <v>0.5</v>
      </c>
      <c r="AB21" s="1585">
        <f t="shared" si="10"/>
        <v>0.5</v>
      </c>
      <c r="AC21" s="1586">
        <f t="shared" si="11"/>
        <v>0.5</v>
      </c>
      <c r="AD21" s="1585">
        <f t="shared" si="12"/>
        <v>0.5</v>
      </c>
      <c r="AE21" s="1585">
        <f t="shared" si="18"/>
        <v>0.5</v>
      </c>
      <c r="AG21" s="1157">
        <v>2.1</v>
      </c>
      <c r="AH21" s="1161" t="s">
        <v>789</v>
      </c>
      <c r="AI21" s="1158" t="s">
        <v>605</v>
      </c>
      <c r="AJ21" s="1159">
        <v>0.5</v>
      </c>
      <c r="AK21" s="1159">
        <v>0.5</v>
      </c>
      <c r="AL21" s="1159">
        <v>0.5</v>
      </c>
      <c r="AM21" s="1159">
        <v>0.5</v>
      </c>
      <c r="AN21" s="1159">
        <v>0.5</v>
      </c>
      <c r="AO21" s="1159">
        <v>0.5</v>
      </c>
      <c r="AP21" s="1159">
        <v>0.5</v>
      </c>
      <c r="AQ21" s="1159">
        <v>0.5</v>
      </c>
      <c r="AR21" s="1159">
        <v>0.5</v>
      </c>
      <c r="AS21" s="1163">
        <v>0.5</v>
      </c>
      <c r="AT21" s="1164">
        <v>1</v>
      </c>
      <c r="AU21" s="1163">
        <v>1</v>
      </c>
      <c r="AV21" s="1163">
        <v>1</v>
      </c>
      <c r="AX21" s="1157">
        <v>2.1</v>
      </c>
      <c r="AY21" s="1161" t="s">
        <v>789</v>
      </c>
      <c r="AZ21" s="1158" t="s">
        <v>605</v>
      </c>
      <c r="BA21" s="1163">
        <v>0.5</v>
      </c>
      <c r="BB21" s="1163">
        <v>0.5</v>
      </c>
      <c r="BC21" s="1163">
        <v>0.5</v>
      </c>
      <c r="BD21" s="1163">
        <v>0.5</v>
      </c>
      <c r="BE21" s="1163">
        <v>0.5</v>
      </c>
      <c r="BF21" s="1163">
        <v>0.5</v>
      </c>
      <c r="BG21" s="1163">
        <v>0.5</v>
      </c>
      <c r="BH21" s="1165">
        <v>0.5</v>
      </c>
      <c r="BI21" s="1163">
        <v>0.5</v>
      </c>
      <c r="BJ21" s="1163">
        <v>0.5</v>
      </c>
      <c r="BK21" s="1164">
        <v>0.5</v>
      </c>
      <c r="BL21" s="1163">
        <v>0.5</v>
      </c>
      <c r="BM21" s="1163">
        <v>0.5</v>
      </c>
      <c r="BO21" s="1157">
        <v>2.1</v>
      </c>
      <c r="BP21" s="1161" t="s">
        <v>789</v>
      </c>
      <c r="BQ21" s="1158" t="s">
        <v>605</v>
      </c>
      <c r="BR21" s="1163">
        <v>0.5</v>
      </c>
      <c r="BS21" s="1163">
        <v>0.5</v>
      </c>
      <c r="BT21" s="1163">
        <v>0.5</v>
      </c>
      <c r="BU21" s="1163">
        <v>0.5</v>
      </c>
      <c r="BV21" s="1163">
        <v>0.5</v>
      </c>
      <c r="BW21" s="1163">
        <v>0.5</v>
      </c>
      <c r="BX21" s="1163">
        <v>0.5</v>
      </c>
      <c r="BY21" s="1479">
        <v>0.5</v>
      </c>
      <c r="BZ21" s="1163">
        <v>0.5</v>
      </c>
      <c r="CA21" s="1163">
        <v>0.5</v>
      </c>
      <c r="CB21" s="1164">
        <v>0.5</v>
      </c>
      <c r="CC21" s="1163">
        <v>0.5</v>
      </c>
      <c r="CD21" s="1163">
        <v>0.5</v>
      </c>
      <c r="CE21" s="1382"/>
      <c r="CG21" s="1157">
        <v>2.1</v>
      </c>
      <c r="CH21" s="1161" t="s">
        <v>789</v>
      </c>
      <c r="CI21" s="1158" t="s">
        <v>605</v>
      </c>
      <c r="CJ21" s="1531">
        <f t="shared" si="19"/>
        <v>0.5</v>
      </c>
      <c r="CK21" s="1531">
        <f t="shared" si="20"/>
        <v>0.5</v>
      </c>
      <c r="CL21" s="1531">
        <f t="shared" si="21"/>
        <v>0.5</v>
      </c>
      <c r="CM21" s="1531">
        <f t="shared" si="22"/>
        <v>0.5</v>
      </c>
      <c r="CN21" s="1531">
        <f t="shared" si="23"/>
        <v>0.5</v>
      </c>
      <c r="CO21" s="1531">
        <f t="shared" si="24"/>
        <v>0.5</v>
      </c>
      <c r="CP21" s="1531">
        <f t="shared" si="25"/>
        <v>0.5</v>
      </c>
      <c r="CQ21" s="1536">
        <f t="shared" si="26"/>
        <v>0.5</v>
      </c>
      <c r="CR21" s="1531">
        <f t="shared" si="27"/>
        <v>0.5</v>
      </c>
      <c r="CS21" s="1531">
        <f t="shared" si="28"/>
        <v>0.5</v>
      </c>
      <c r="CT21" s="1533">
        <f t="shared" si="13"/>
        <v>0.5</v>
      </c>
      <c r="CU21" s="1531">
        <f t="shared" si="14"/>
        <v>0.5</v>
      </c>
      <c r="CV21" s="1531">
        <f t="shared" si="15"/>
        <v>0.5</v>
      </c>
      <c r="CX21" s="1157">
        <v>2.1</v>
      </c>
      <c r="CY21" s="1161" t="s">
        <v>789</v>
      </c>
      <c r="CZ21" s="1158" t="s">
        <v>605</v>
      </c>
      <c r="DA21" s="1520">
        <f t="shared" si="29"/>
        <v>0.5</v>
      </c>
      <c r="DB21" s="1520"/>
      <c r="DC21" s="1520"/>
      <c r="DD21" s="1520"/>
      <c r="DE21" s="1520"/>
      <c r="DF21" s="1520"/>
      <c r="DG21" s="1520"/>
      <c r="DH21" s="1625"/>
      <c r="DI21" s="1520"/>
      <c r="DJ21" s="1520"/>
      <c r="DK21" s="1623"/>
      <c r="DL21" s="1520"/>
      <c r="DM21" s="1520"/>
    </row>
    <row r="22" spans="2:117">
      <c r="B22" s="1136" t="str">
        <f t="shared" si="0"/>
        <v>2.1.1</v>
      </c>
      <c r="C22" s="1158" t="str">
        <f t="shared" si="1"/>
        <v>室温</v>
      </c>
      <c r="D22" s="1146">
        <f>IF(I$21&gt;0,G22/I$21,0)</f>
        <v>0</v>
      </c>
      <c r="E22" s="1156">
        <f t="shared" ref="D22:E29" si="31">IF(J$21&gt;0,H22/J$21,0)</f>
        <v>0</v>
      </c>
      <c r="G22" s="1156">
        <f t="shared" si="2"/>
        <v>0</v>
      </c>
      <c r="H22" s="1156">
        <f t="shared" si="3"/>
        <v>0</v>
      </c>
      <c r="I22" s="1156"/>
      <c r="J22" s="1156"/>
      <c r="K22" s="1156">
        <f>IF(スコア!Q22=0,0,1)</f>
        <v>0</v>
      </c>
      <c r="L22" s="1156">
        <f>IF(スコア!S22=0,0,1)</f>
        <v>0</v>
      </c>
      <c r="M22" s="1156">
        <f t="shared" si="4"/>
        <v>0.54166666666666663</v>
      </c>
      <c r="N22" s="1156">
        <f t="shared" si="5"/>
        <v>0.41666666666666663</v>
      </c>
      <c r="P22" s="1157" t="str">
        <f t="shared" si="6"/>
        <v>2.1.1</v>
      </c>
      <c r="Q22" s="1157" t="str">
        <f t="shared" si="7"/>
        <v xml:space="preserve"> Q1 2.1</v>
      </c>
      <c r="R22" s="1158" t="str">
        <f t="shared" si="8"/>
        <v>室温</v>
      </c>
      <c r="S22" s="1585">
        <f t="shared" si="16"/>
        <v>0.37499999999999994</v>
      </c>
      <c r="T22" s="1585">
        <f t="shared" si="9"/>
        <v>0.6</v>
      </c>
      <c r="U22" s="1585">
        <f t="shared" si="9"/>
        <v>0.49999999999999989</v>
      </c>
      <c r="V22" s="1585">
        <f t="shared" si="9"/>
        <v>0.49999999999999989</v>
      </c>
      <c r="W22" s="1585">
        <f t="shared" si="9"/>
        <v>0.37499999999999994</v>
      </c>
      <c r="X22" s="1585">
        <f t="shared" si="9"/>
        <v>0.37499999999999994</v>
      </c>
      <c r="Y22" s="1585">
        <f t="shared" si="9"/>
        <v>0.625</v>
      </c>
      <c r="Z22" s="1589">
        <f t="shared" si="9"/>
        <v>0.37499999999999994</v>
      </c>
      <c r="AA22" s="1585">
        <f t="shared" si="17"/>
        <v>0.37499999999999994</v>
      </c>
      <c r="AB22" s="1585">
        <f t="shared" si="10"/>
        <v>0.6</v>
      </c>
      <c r="AC22" s="1586">
        <f t="shared" si="11"/>
        <v>0.57142857142857151</v>
      </c>
      <c r="AD22" s="1585">
        <f t="shared" si="12"/>
        <v>0.57142857142857151</v>
      </c>
      <c r="AE22" s="1585">
        <f t="shared" si="18"/>
        <v>0.625</v>
      </c>
      <c r="AG22" s="1157" t="s">
        <v>212</v>
      </c>
      <c r="AH22" s="1161" t="s">
        <v>413</v>
      </c>
      <c r="AI22" s="1158" t="s">
        <v>414</v>
      </c>
      <c r="AJ22" s="1159">
        <v>0.3</v>
      </c>
      <c r="AK22" s="1159">
        <v>0.3</v>
      </c>
      <c r="AL22" s="1159">
        <v>0.3</v>
      </c>
      <c r="AM22" s="1159">
        <v>0.3</v>
      </c>
      <c r="AN22" s="1159">
        <v>0.3</v>
      </c>
      <c r="AO22" s="1159">
        <v>0.3</v>
      </c>
      <c r="AP22" s="1159">
        <v>0.5</v>
      </c>
      <c r="AQ22" s="1173">
        <v>0.3</v>
      </c>
      <c r="AR22" s="1159">
        <v>0.3</v>
      </c>
      <c r="AS22" s="1163">
        <v>0.3</v>
      </c>
      <c r="AT22" s="1164"/>
      <c r="AU22" s="1163"/>
      <c r="AV22" s="1163"/>
      <c r="AX22" s="1157" t="s">
        <v>212</v>
      </c>
      <c r="AY22" s="1161" t="s">
        <v>413</v>
      </c>
      <c r="AZ22" s="1158" t="s">
        <v>749</v>
      </c>
      <c r="BA22" s="1163">
        <v>0.3</v>
      </c>
      <c r="BB22" s="1163">
        <v>0.6</v>
      </c>
      <c r="BC22" s="1163">
        <v>0.3</v>
      </c>
      <c r="BD22" s="1163">
        <v>0.3</v>
      </c>
      <c r="BE22" s="1163">
        <v>0.3</v>
      </c>
      <c r="BF22" s="1163">
        <v>0.3</v>
      </c>
      <c r="BG22" s="1163">
        <v>0.6</v>
      </c>
      <c r="BH22" s="1165">
        <v>0.3</v>
      </c>
      <c r="BI22" s="1163">
        <v>0.3</v>
      </c>
      <c r="BJ22" s="1163">
        <v>0.6</v>
      </c>
      <c r="BK22" s="1164">
        <v>0.6</v>
      </c>
      <c r="BL22" s="1163">
        <v>0.6</v>
      </c>
      <c r="BM22" s="1163">
        <v>0.6</v>
      </c>
      <c r="BO22" s="1157" t="s">
        <v>212</v>
      </c>
      <c r="BP22" s="1161" t="s">
        <v>413</v>
      </c>
      <c r="BQ22" s="1158" t="s">
        <v>749</v>
      </c>
      <c r="BR22" s="1643">
        <f>0.3/(0.3+0.2+0.3)</f>
        <v>0.37499999999999994</v>
      </c>
      <c r="BS22" s="1643">
        <f>0.3/(0.3+0.2)</f>
        <v>0.6</v>
      </c>
      <c r="BT22" s="1643">
        <f>0.3/(0.3+0.1+0.2)</f>
        <v>0.49999999999999989</v>
      </c>
      <c r="BU22" s="1643">
        <f>0.3/(0.3+0.1+0.2)</f>
        <v>0.49999999999999989</v>
      </c>
      <c r="BV22" s="1643">
        <f>0.3/(0.3+0.2+0.3)</f>
        <v>0.37499999999999994</v>
      </c>
      <c r="BW22" s="1643">
        <f>0.3/(0.3+0.2+0.3)</f>
        <v>0.37499999999999994</v>
      </c>
      <c r="BX22" s="1643">
        <f>0.5/(0.5+0.3)</f>
        <v>0.625</v>
      </c>
      <c r="BY22" s="1643">
        <f>0.3/(0.3+0.2+0.3)</f>
        <v>0.37499999999999994</v>
      </c>
      <c r="BZ22" s="1643">
        <f>0.3/(0.3+0.2+0.3)</f>
        <v>0.37499999999999994</v>
      </c>
      <c r="CA22" s="1643">
        <f>0.3/(0.3+0.2)</f>
        <v>0.6</v>
      </c>
      <c r="CB22" s="1643">
        <f>0.4/(0.4+0.3)</f>
        <v>0.57142857142857151</v>
      </c>
      <c r="CC22" s="1643">
        <f>0.4/(0.4+0.3)</f>
        <v>0.57142857142857151</v>
      </c>
      <c r="CD22" s="1643">
        <f>0.5/(0.5+0.3)</f>
        <v>0.625</v>
      </c>
      <c r="CE22" s="1382"/>
      <c r="CG22" s="1157" t="s">
        <v>212</v>
      </c>
      <c r="CH22" s="1161" t="s">
        <v>413</v>
      </c>
      <c r="CI22" s="1158" t="s">
        <v>749</v>
      </c>
      <c r="CJ22" s="1531">
        <f t="shared" si="19"/>
        <v>0.37499999999999994</v>
      </c>
      <c r="CK22" s="1531">
        <f t="shared" si="20"/>
        <v>0.6</v>
      </c>
      <c r="CL22" s="1531">
        <f t="shared" si="21"/>
        <v>0.49999999999999989</v>
      </c>
      <c r="CM22" s="1531">
        <f t="shared" si="22"/>
        <v>0.49999999999999989</v>
      </c>
      <c r="CN22" s="1531">
        <f t="shared" si="23"/>
        <v>0.37499999999999994</v>
      </c>
      <c r="CO22" s="1531">
        <f t="shared" si="24"/>
        <v>0.37499999999999994</v>
      </c>
      <c r="CP22" s="1531">
        <f t="shared" si="25"/>
        <v>0.625</v>
      </c>
      <c r="CQ22" s="1536">
        <f t="shared" si="26"/>
        <v>0.37499999999999994</v>
      </c>
      <c r="CR22" s="1531">
        <f t="shared" si="27"/>
        <v>0.37499999999999994</v>
      </c>
      <c r="CS22" s="1531">
        <f t="shared" si="28"/>
        <v>0.6</v>
      </c>
      <c r="CT22" s="1533">
        <f t="shared" si="13"/>
        <v>0.57142857142857151</v>
      </c>
      <c r="CU22" s="1531">
        <f t="shared" si="14"/>
        <v>0.57142857142857151</v>
      </c>
      <c r="CV22" s="1531">
        <f t="shared" si="15"/>
        <v>0.625</v>
      </c>
      <c r="CX22" s="1157" t="s">
        <v>212</v>
      </c>
      <c r="CY22" s="1161" t="s">
        <v>413</v>
      </c>
      <c r="CZ22" s="1158" t="s">
        <v>749</v>
      </c>
      <c r="DA22" s="1520">
        <f t="shared" si="29"/>
        <v>0.37499999999999994</v>
      </c>
      <c r="DB22" s="1520"/>
      <c r="DC22" s="1520"/>
      <c r="DD22" s="1520"/>
      <c r="DE22" s="1520"/>
      <c r="DF22" s="1520"/>
      <c r="DG22" s="1520"/>
      <c r="DH22" s="1625"/>
      <c r="DI22" s="1520"/>
      <c r="DJ22" s="1520"/>
      <c r="DK22" s="1623"/>
      <c r="DL22" s="1520"/>
      <c r="DM22" s="1520"/>
    </row>
    <row r="23" spans="2:117" hidden="1">
      <c r="B23" s="1136" t="str">
        <f t="shared" si="0"/>
        <v>2.1.2</v>
      </c>
      <c r="C23" s="1158">
        <f t="shared" si="1"/>
        <v>0</v>
      </c>
      <c r="D23" s="1146">
        <f t="shared" si="31"/>
        <v>0</v>
      </c>
      <c r="E23" s="1156">
        <f t="shared" si="31"/>
        <v>0</v>
      </c>
      <c r="G23" s="1156">
        <f t="shared" si="2"/>
        <v>0</v>
      </c>
      <c r="H23" s="1156">
        <f t="shared" si="3"/>
        <v>0</v>
      </c>
      <c r="I23" s="1156"/>
      <c r="J23" s="1156"/>
      <c r="K23" s="1156">
        <f>IF(スコア!Q23=0,0,1)</f>
        <v>0</v>
      </c>
      <c r="L23" s="1156">
        <f>IF(スコア!S23=0,0,1)</f>
        <v>0</v>
      </c>
      <c r="M23" s="1156">
        <f t="shared" si="4"/>
        <v>0</v>
      </c>
      <c r="N23" s="1156">
        <f t="shared" si="5"/>
        <v>0</v>
      </c>
      <c r="P23" s="1157" t="str">
        <f t="shared" si="6"/>
        <v>2.1.2</v>
      </c>
      <c r="Q23" s="1157" t="str">
        <f t="shared" si="7"/>
        <v xml:space="preserve"> Q1 2.1</v>
      </c>
      <c r="R23" s="1158">
        <f t="shared" si="8"/>
        <v>0</v>
      </c>
      <c r="S23" s="1590">
        <f t="shared" si="16"/>
        <v>0</v>
      </c>
      <c r="T23" s="1585">
        <f t="shared" si="9"/>
        <v>0</v>
      </c>
      <c r="U23" s="1585">
        <f t="shared" si="9"/>
        <v>0</v>
      </c>
      <c r="V23" s="1585">
        <f t="shared" si="9"/>
        <v>0</v>
      </c>
      <c r="W23" s="1585">
        <f t="shared" si="9"/>
        <v>0</v>
      </c>
      <c r="X23" s="1585">
        <f t="shared" si="9"/>
        <v>0</v>
      </c>
      <c r="Y23" s="1585">
        <f t="shared" si="9"/>
        <v>0</v>
      </c>
      <c r="Z23" s="1589">
        <f t="shared" si="9"/>
        <v>0</v>
      </c>
      <c r="AA23" s="1590">
        <f t="shared" si="17"/>
        <v>0</v>
      </c>
      <c r="AB23" s="1585">
        <f t="shared" si="10"/>
        <v>0</v>
      </c>
      <c r="AC23" s="1586">
        <f t="shared" si="11"/>
        <v>0</v>
      </c>
      <c r="AD23" s="1585">
        <f t="shared" si="12"/>
        <v>0</v>
      </c>
      <c r="AE23" s="1585">
        <f t="shared" si="18"/>
        <v>0</v>
      </c>
      <c r="AG23" s="1157" t="s">
        <v>415</v>
      </c>
      <c r="AH23" s="1161" t="s">
        <v>413</v>
      </c>
      <c r="AI23" s="1158" t="s">
        <v>416</v>
      </c>
      <c r="AJ23" s="1168"/>
      <c r="AK23" s="1168">
        <v>0.2</v>
      </c>
      <c r="AL23" s="1168">
        <v>0.2</v>
      </c>
      <c r="AM23" s="1168">
        <v>0.2</v>
      </c>
      <c r="AN23" s="1168"/>
      <c r="AO23" s="1168"/>
      <c r="AP23" s="1168"/>
      <c r="AQ23" s="1174">
        <v>0.3</v>
      </c>
      <c r="AR23" s="1168"/>
      <c r="AS23" s="1163">
        <v>0.2</v>
      </c>
      <c r="AT23" s="1164"/>
      <c r="AU23" s="1163"/>
      <c r="AV23" s="1163"/>
      <c r="AX23" s="1157" t="s">
        <v>415</v>
      </c>
      <c r="AY23" s="1161" t="s">
        <v>413</v>
      </c>
      <c r="AZ23" s="1158" t="s">
        <v>416</v>
      </c>
      <c r="BA23" s="1175"/>
      <c r="BB23" s="1163"/>
      <c r="BC23" s="1163"/>
      <c r="BD23" s="1163"/>
      <c r="BE23" s="1163"/>
      <c r="BF23" s="1163"/>
      <c r="BG23" s="1163"/>
      <c r="BH23" s="1165"/>
      <c r="BI23" s="1175"/>
      <c r="BJ23" s="1163"/>
      <c r="BK23" s="1164"/>
      <c r="BL23" s="1163"/>
      <c r="BM23" s="1163"/>
      <c r="BO23" s="1157" t="s">
        <v>415</v>
      </c>
      <c r="BP23" s="1161" t="s">
        <v>413</v>
      </c>
      <c r="BQ23" s="1158"/>
      <c r="BR23" s="1175"/>
      <c r="BS23" s="1163"/>
      <c r="BT23" s="1163"/>
      <c r="BU23" s="1163"/>
      <c r="BV23" s="1175"/>
      <c r="BW23" s="1175"/>
      <c r="BX23" s="1163"/>
      <c r="BY23" s="1175"/>
      <c r="BZ23" s="1175"/>
      <c r="CA23" s="1163"/>
      <c r="CB23" s="1164"/>
      <c r="CC23" s="1164"/>
      <c r="CD23" s="1163"/>
      <c r="CE23" s="1382"/>
      <c r="CG23" s="1157" t="s">
        <v>415</v>
      </c>
      <c r="CH23" s="1161" t="s">
        <v>413</v>
      </c>
      <c r="CI23" s="1158"/>
      <c r="CJ23" s="1537">
        <f t="shared" si="19"/>
        <v>0</v>
      </c>
      <c r="CK23" s="1531">
        <f t="shared" si="20"/>
        <v>0</v>
      </c>
      <c r="CL23" s="1531">
        <f t="shared" si="21"/>
        <v>0</v>
      </c>
      <c r="CM23" s="1531">
        <f t="shared" si="22"/>
        <v>0</v>
      </c>
      <c r="CN23" s="1531">
        <f t="shared" si="23"/>
        <v>0</v>
      </c>
      <c r="CO23" s="1531">
        <f t="shared" si="24"/>
        <v>0</v>
      </c>
      <c r="CP23" s="1531">
        <f t="shared" si="25"/>
        <v>0</v>
      </c>
      <c r="CQ23" s="1536">
        <f t="shared" si="26"/>
        <v>0</v>
      </c>
      <c r="CR23" s="1537">
        <f t="shared" si="27"/>
        <v>0</v>
      </c>
      <c r="CS23" s="1531">
        <f t="shared" si="28"/>
        <v>0</v>
      </c>
      <c r="CT23" s="1533">
        <f t="shared" si="13"/>
        <v>0</v>
      </c>
      <c r="CU23" s="1531">
        <f t="shared" si="14"/>
        <v>0</v>
      </c>
      <c r="CV23" s="1531">
        <f t="shared" si="15"/>
        <v>0</v>
      </c>
      <c r="CX23" s="1157" t="s">
        <v>415</v>
      </c>
      <c r="CY23" s="1161" t="s">
        <v>413</v>
      </c>
      <c r="CZ23" s="1158"/>
      <c r="DA23" s="1520">
        <f t="shared" si="29"/>
        <v>0</v>
      </c>
      <c r="DB23" s="1520"/>
      <c r="DC23" s="1520"/>
      <c r="DD23" s="1520"/>
      <c r="DE23" s="1520"/>
      <c r="DF23" s="1520"/>
      <c r="DG23" s="1520"/>
      <c r="DH23" s="1625"/>
      <c r="DI23" s="1626"/>
      <c r="DJ23" s="1520"/>
      <c r="DK23" s="1623"/>
      <c r="DL23" s="1520"/>
      <c r="DM23" s="1520"/>
    </row>
    <row r="24" spans="2:117">
      <c r="B24" s="1136" t="str">
        <f t="shared" si="0"/>
        <v>2.1.3</v>
      </c>
      <c r="C24" s="1158" t="str">
        <f t="shared" si="1"/>
        <v>外皮性能</v>
      </c>
      <c r="D24" s="1146">
        <f t="shared" si="31"/>
        <v>1</v>
      </c>
      <c r="E24" s="1156">
        <f t="shared" si="31"/>
        <v>1</v>
      </c>
      <c r="G24" s="1156">
        <f t="shared" si="2"/>
        <v>0.33333333333333326</v>
      </c>
      <c r="H24" s="1156">
        <f t="shared" si="3"/>
        <v>0.24999999999999994</v>
      </c>
      <c r="I24" s="1156"/>
      <c r="J24" s="1156"/>
      <c r="K24" s="1156">
        <f>IF(スコア!Q24=0,0,1)</f>
        <v>1</v>
      </c>
      <c r="L24" s="1156">
        <f>IF(スコア!S24=0,0,1)</f>
        <v>1</v>
      </c>
      <c r="M24" s="1156">
        <f t="shared" si="4"/>
        <v>0.33333333333333326</v>
      </c>
      <c r="N24" s="1156">
        <f t="shared" si="5"/>
        <v>0.24999999999999994</v>
      </c>
      <c r="P24" s="1157" t="str">
        <f t="shared" si="6"/>
        <v>2.1.3</v>
      </c>
      <c r="Q24" s="1157" t="str">
        <f t="shared" si="7"/>
        <v xml:space="preserve"> Q1 2.1</v>
      </c>
      <c r="R24" s="1158" t="str">
        <f t="shared" si="8"/>
        <v>外皮性能</v>
      </c>
      <c r="S24" s="1585">
        <f t="shared" si="16"/>
        <v>0.25</v>
      </c>
      <c r="T24" s="1585">
        <f t="shared" si="9"/>
        <v>0.4</v>
      </c>
      <c r="U24" s="1585">
        <f t="shared" si="9"/>
        <v>0.16666666666666666</v>
      </c>
      <c r="V24" s="1585">
        <f t="shared" si="9"/>
        <v>0.16666666666666666</v>
      </c>
      <c r="W24" s="1585">
        <f t="shared" si="9"/>
        <v>0.25</v>
      </c>
      <c r="X24" s="1585">
        <f t="shared" si="9"/>
        <v>0.25</v>
      </c>
      <c r="Y24" s="1585">
        <f t="shared" si="9"/>
        <v>0.37499999999999994</v>
      </c>
      <c r="Z24" s="1589">
        <f t="shared" si="9"/>
        <v>0.25</v>
      </c>
      <c r="AA24" s="1585">
        <f t="shared" si="17"/>
        <v>0.25</v>
      </c>
      <c r="AB24" s="1585">
        <f t="shared" si="10"/>
        <v>0.4</v>
      </c>
      <c r="AC24" s="1586">
        <f t="shared" si="11"/>
        <v>0.4285714285714286</v>
      </c>
      <c r="AD24" s="1585">
        <f t="shared" si="12"/>
        <v>0.4285714285714286</v>
      </c>
      <c r="AE24" s="1585">
        <f t="shared" si="18"/>
        <v>0.37499999999999994</v>
      </c>
      <c r="AG24" s="1157" t="s">
        <v>417</v>
      </c>
      <c r="AH24" s="1161" t="s">
        <v>413</v>
      </c>
      <c r="AI24" s="1158" t="s">
        <v>418</v>
      </c>
      <c r="AJ24" s="1159">
        <v>0.2</v>
      </c>
      <c r="AK24" s="1159">
        <v>0.2</v>
      </c>
      <c r="AL24" s="1159">
        <v>0.1</v>
      </c>
      <c r="AM24" s="1159">
        <v>0.1</v>
      </c>
      <c r="AN24" s="1159">
        <v>0.2</v>
      </c>
      <c r="AO24" s="1159">
        <v>0.2</v>
      </c>
      <c r="AP24" s="1159">
        <v>0.3</v>
      </c>
      <c r="AQ24" s="1173">
        <v>0.1</v>
      </c>
      <c r="AR24" s="1159">
        <v>0.2</v>
      </c>
      <c r="AS24" s="1163">
        <v>0.2</v>
      </c>
      <c r="AT24" s="1164">
        <v>0.5</v>
      </c>
      <c r="AU24" s="1163">
        <v>0.5</v>
      </c>
      <c r="AV24" s="1163">
        <v>0.6</v>
      </c>
      <c r="AX24" s="1157" t="s">
        <v>417</v>
      </c>
      <c r="AY24" s="1161" t="s">
        <v>413</v>
      </c>
      <c r="AZ24" s="1158" t="s">
        <v>418</v>
      </c>
      <c r="BA24" s="1163">
        <v>0.2</v>
      </c>
      <c r="BB24" s="1163">
        <v>0.4</v>
      </c>
      <c r="BC24" s="1163">
        <v>0.2</v>
      </c>
      <c r="BD24" s="1163">
        <v>0.2</v>
      </c>
      <c r="BE24" s="1163">
        <v>0.2</v>
      </c>
      <c r="BF24" s="1163">
        <v>0.2</v>
      </c>
      <c r="BG24" s="1163">
        <v>0.4</v>
      </c>
      <c r="BH24" s="1165">
        <v>0.2</v>
      </c>
      <c r="BI24" s="1163">
        <v>0.2</v>
      </c>
      <c r="BJ24" s="1163">
        <v>0.4</v>
      </c>
      <c r="BK24" s="1164">
        <v>0.4</v>
      </c>
      <c r="BL24" s="1163">
        <v>0.4</v>
      </c>
      <c r="BM24" s="1163">
        <v>0.4</v>
      </c>
      <c r="BO24" s="1157" t="s">
        <v>417</v>
      </c>
      <c r="BP24" s="1161" t="s">
        <v>413</v>
      </c>
      <c r="BQ24" s="1158" t="s">
        <v>418</v>
      </c>
      <c r="BR24" s="1643">
        <f>0.2/(0.3+0.2+0.3)</f>
        <v>0.25</v>
      </c>
      <c r="BS24" s="1643">
        <f>0.2/(0.3+0.2)</f>
        <v>0.4</v>
      </c>
      <c r="BT24" s="1643">
        <f>0.1/(0.3+0.1+0.2)</f>
        <v>0.16666666666666666</v>
      </c>
      <c r="BU24" s="1643">
        <f>0.1/(0.3+0.1+0.2)</f>
        <v>0.16666666666666666</v>
      </c>
      <c r="BV24" s="1643">
        <f>0.2/(0.3+0.2+0.3)</f>
        <v>0.25</v>
      </c>
      <c r="BW24" s="1643">
        <f>0.2/(0.3+0.2+0.3)</f>
        <v>0.25</v>
      </c>
      <c r="BX24" s="1643">
        <f>0.3/(0.5+0.3)</f>
        <v>0.37499999999999994</v>
      </c>
      <c r="BY24" s="1643">
        <f>0.2/(0.3+0.2+0.3)</f>
        <v>0.25</v>
      </c>
      <c r="BZ24" s="1643">
        <f>0.2/(0.3+0.2+0.3)</f>
        <v>0.25</v>
      </c>
      <c r="CA24" s="1643">
        <f>0.2/(0.3+0.2)</f>
        <v>0.4</v>
      </c>
      <c r="CB24" s="1643">
        <f>0.3/(0.4+0.3)</f>
        <v>0.4285714285714286</v>
      </c>
      <c r="CC24" s="1643">
        <f>0.3/(0.4+0.3)</f>
        <v>0.4285714285714286</v>
      </c>
      <c r="CD24" s="1643">
        <f>0.3/(0.5+0.3)</f>
        <v>0.37499999999999994</v>
      </c>
      <c r="CE24" s="1382"/>
      <c r="CG24" s="1157" t="s">
        <v>417</v>
      </c>
      <c r="CH24" s="1161" t="s">
        <v>413</v>
      </c>
      <c r="CI24" s="1158" t="s">
        <v>418</v>
      </c>
      <c r="CJ24" s="1531">
        <f t="shared" si="19"/>
        <v>0.25</v>
      </c>
      <c r="CK24" s="1531">
        <f t="shared" si="20"/>
        <v>0.4</v>
      </c>
      <c r="CL24" s="1531">
        <f t="shared" si="21"/>
        <v>0.16666666666666666</v>
      </c>
      <c r="CM24" s="1531">
        <f t="shared" si="22"/>
        <v>0.16666666666666666</v>
      </c>
      <c r="CN24" s="1531">
        <f t="shared" si="23"/>
        <v>0.25</v>
      </c>
      <c r="CO24" s="1531">
        <f t="shared" si="24"/>
        <v>0.25</v>
      </c>
      <c r="CP24" s="1531">
        <f t="shared" si="25"/>
        <v>0.37499999999999994</v>
      </c>
      <c r="CQ24" s="1536">
        <f t="shared" si="26"/>
        <v>0.25</v>
      </c>
      <c r="CR24" s="1531">
        <f t="shared" si="27"/>
        <v>0.25</v>
      </c>
      <c r="CS24" s="1531">
        <f t="shared" si="28"/>
        <v>0.4</v>
      </c>
      <c r="CT24" s="1533">
        <f t="shared" si="13"/>
        <v>0.4285714285714286</v>
      </c>
      <c r="CU24" s="1531">
        <f t="shared" si="14"/>
        <v>0.4285714285714286</v>
      </c>
      <c r="CV24" s="1531">
        <f t="shared" si="15"/>
        <v>0.37499999999999994</v>
      </c>
      <c r="CX24" s="1157" t="s">
        <v>417</v>
      </c>
      <c r="CY24" s="1161" t="s">
        <v>413</v>
      </c>
      <c r="CZ24" s="1158" t="s">
        <v>418</v>
      </c>
      <c r="DA24" s="1520">
        <f t="shared" si="29"/>
        <v>0.25</v>
      </c>
      <c r="DB24" s="1520"/>
      <c r="DC24" s="1520"/>
      <c r="DD24" s="1520"/>
      <c r="DE24" s="1520"/>
      <c r="DF24" s="1520"/>
      <c r="DG24" s="1520"/>
      <c r="DH24" s="1625"/>
      <c r="DI24" s="1520"/>
      <c r="DJ24" s="1520"/>
      <c r="DK24" s="1623"/>
      <c r="DL24" s="1520"/>
      <c r="DM24" s="1520"/>
    </row>
    <row r="25" spans="2:117">
      <c r="B25" s="1136" t="str">
        <f t="shared" si="0"/>
        <v>2.1.4</v>
      </c>
      <c r="C25" s="1158" t="str">
        <f t="shared" si="1"/>
        <v>ゾーン別制御性</v>
      </c>
      <c r="D25" s="1146">
        <f t="shared" si="31"/>
        <v>0</v>
      </c>
      <c r="E25" s="1156">
        <f t="shared" si="31"/>
        <v>0</v>
      </c>
      <c r="G25" s="1156">
        <f t="shared" si="2"/>
        <v>0</v>
      </c>
      <c r="H25" s="1156">
        <f t="shared" si="3"/>
        <v>0</v>
      </c>
      <c r="I25" s="1156"/>
      <c r="J25" s="1156"/>
      <c r="K25" s="1156">
        <f>IF(スコア!Q25=0,0,1)</f>
        <v>0</v>
      </c>
      <c r="L25" s="1156">
        <f>IF(スコア!S25=0,0,1)</f>
        <v>0</v>
      </c>
      <c r="M25" s="1156">
        <f t="shared" si="4"/>
        <v>0.12499999999999997</v>
      </c>
      <c r="N25" s="1156">
        <f t="shared" si="5"/>
        <v>0</v>
      </c>
      <c r="P25" s="1157" t="str">
        <f t="shared" si="6"/>
        <v>2.1.4</v>
      </c>
      <c r="Q25" s="1157" t="str">
        <f t="shared" si="7"/>
        <v xml:space="preserve"> Q1 2.1</v>
      </c>
      <c r="R25" s="1158" t="str">
        <f t="shared" si="8"/>
        <v>ゾーン別制御性</v>
      </c>
      <c r="S25" s="1585">
        <f t="shared" si="16"/>
        <v>0.37499999999999994</v>
      </c>
      <c r="T25" s="1585">
        <f t="shared" ref="T25:T63" si="32">IF($P$3=1,BB25,IF($P$3=2,BS25,IF($P$3=3,CK25,IF($P$3=4,DB25,AK25))))</f>
        <v>0</v>
      </c>
      <c r="U25" s="1585">
        <f t="shared" ref="U25:U63" si="33">IF($P$3=1,BC25,IF($P$3=2,BT25,IF($P$3=3,CL25,IF($P$3=4,DC25,AL25))))</f>
        <v>0.33333333333333331</v>
      </c>
      <c r="V25" s="1585">
        <f t="shared" ref="V25:V63" si="34">IF($P$3=1,BD25,IF($P$3=2,BU25,IF($P$3=3,CM25,IF($P$3=4,DD25,AM25))))</f>
        <v>0.33333333333333331</v>
      </c>
      <c r="W25" s="1585">
        <f t="shared" ref="W25:W63" si="35">IF($P$3=1,BE25,IF($P$3=2,BV25,IF($P$3=3,CN25,IF($P$3=4,DE25,AN25))))</f>
        <v>0.37499999999999994</v>
      </c>
      <c r="X25" s="1585">
        <f t="shared" ref="X25:X63" si="36">IF($P$3=1,BF25,IF($P$3=2,BW25,IF($P$3=3,CO25,IF($P$3=4,DF25,AO25))))</f>
        <v>0.37499999999999994</v>
      </c>
      <c r="Y25" s="1585">
        <f t="shared" ref="Y25:Y63" si="37">IF($P$3=1,BG25,IF($P$3=2,BX25,IF($P$3=3,CP25,IF($P$3=4,DG25,AP25))))</f>
        <v>0</v>
      </c>
      <c r="Z25" s="1589">
        <f t="shared" ref="Z25:Z63" si="38">IF($P$3=1,BH25,IF($P$3=2,BY25,IF($P$3=3,CQ25,IF($P$3=4,DH25,AQ25))))</f>
        <v>0.37499999999999994</v>
      </c>
      <c r="AA25" s="1585">
        <f t="shared" si="17"/>
        <v>0.37499999999999994</v>
      </c>
      <c r="AB25" s="1585">
        <f t="shared" si="10"/>
        <v>0</v>
      </c>
      <c r="AC25" s="1586">
        <f t="shared" si="11"/>
        <v>0</v>
      </c>
      <c r="AD25" s="1585">
        <f t="shared" si="12"/>
        <v>0</v>
      </c>
      <c r="AE25" s="1585">
        <f t="shared" si="18"/>
        <v>0</v>
      </c>
      <c r="AG25" s="1157" t="s">
        <v>2088</v>
      </c>
      <c r="AH25" s="1161" t="s">
        <v>413</v>
      </c>
      <c r="AI25" s="1158" t="s">
        <v>2089</v>
      </c>
      <c r="AJ25" s="1159">
        <v>0.3</v>
      </c>
      <c r="AK25" s="1159"/>
      <c r="AL25" s="1159">
        <v>0.2</v>
      </c>
      <c r="AM25" s="1159">
        <v>0.2</v>
      </c>
      <c r="AN25" s="1159">
        <v>0.3</v>
      </c>
      <c r="AO25" s="1159">
        <v>0.3</v>
      </c>
      <c r="AP25" s="1159"/>
      <c r="AQ25" s="1173">
        <v>0.2</v>
      </c>
      <c r="AR25" s="1159">
        <v>0.3</v>
      </c>
      <c r="AS25" s="1163">
        <v>0</v>
      </c>
      <c r="AT25" s="1164"/>
      <c r="AU25" s="1163"/>
      <c r="AV25" s="1163"/>
      <c r="AX25" s="1157" t="s">
        <v>2088</v>
      </c>
      <c r="AY25" s="1161" t="s">
        <v>413</v>
      </c>
      <c r="AZ25" s="1158" t="s">
        <v>2089</v>
      </c>
      <c r="BA25" s="1163">
        <v>0.5</v>
      </c>
      <c r="BB25" s="1163"/>
      <c r="BC25" s="1163">
        <v>0.5</v>
      </c>
      <c r="BD25" s="1163">
        <v>0.5</v>
      </c>
      <c r="BE25" s="1163">
        <v>0.5</v>
      </c>
      <c r="BF25" s="1163">
        <v>0.5</v>
      </c>
      <c r="BG25" s="1163"/>
      <c r="BH25" s="1165">
        <v>0.5</v>
      </c>
      <c r="BI25" s="1163">
        <v>0.5</v>
      </c>
      <c r="BJ25" s="1163"/>
      <c r="BK25" s="1164"/>
      <c r="BL25" s="1163"/>
      <c r="BM25" s="1163"/>
      <c r="BO25" s="1157" t="s">
        <v>2088</v>
      </c>
      <c r="BP25" s="1161" t="s">
        <v>413</v>
      </c>
      <c r="BQ25" s="1158" t="s">
        <v>2089</v>
      </c>
      <c r="BR25" s="1643">
        <f>0.3/(0.3+0.2+0.3)</f>
        <v>0.37499999999999994</v>
      </c>
      <c r="BS25" s="1163"/>
      <c r="BT25" s="1643">
        <f>0.2/(0.3+0.1+0.2)</f>
        <v>0.33333333333333331</v>
      </c>
      <c r="BU25" s="1643">
        <f>0.2/(0.3+0.1+0.2)</f>
        <v>0.33333333333333331</v>
      </c>
      <c r="BV25" s="1643">
        <f>0.3/(0.3+0.2+0.3)</f>
        <v>0.37499999999999994</v>
      </c>
      <c r="BW25" s="1643">
        <f>0.3/(0.3+0.2+0.3)</f>
        <v>0.37499999999999994</v>
      </c>
      <c r="BX25" s="1163"/>
      <c r="BY25" s="1643">
        <f>0.3/(0.3+0.2+0.3)</f>
        <v>0.37499999999999994</v>
      </c>
      <c r="BZ25" s="1643">
        <f>0.3/(0.3+0.2+0.3)</f>
        <v>0.37499999999999994</v>
      </c>
      <c r="CA25" s="1163"/>
      <c r="CB25" s="1164"/>
      <c r="CC25" s="1163"/>
      <c r="CD25" s="1163"/>
      <c r="CE25" s="1382"/>
      <c r="CG25" s="1157" t="s">
        <v>2088</v>
      </c>
      <c r="CH25" s="1161" t="s">
        <v>413</v>
      </c>
      <c r="CI25" s="1158" t="s">
        <v>2089</v>
      </c>
      <c r="CJ25" s="1531">
        <f t="shared" si="19"/>
        <v>0.37499999999999994</v>
      </c>
      <c r="CK25" s="1531">
        <f t="shared" si="20"/>
        <v>0</v>
      </c>
      <c r="CL25" s="1531">
        <f t="shared" si="21"/>
        <v>0.33333333333333331</v>
      </c>
      <c r="CM25" s="1531">
        <f t="shared" si="22"/>
        <v>0.33333333333333331</v>
      </c>
      <c r="CN25" s="1531">
        <f t="shared" si="23"/>
        <v>0.37499999999999994</v>
      </c>
      <c r="CO25" s="1531">
        <f t="shared" si="24"/>
        <v>0.37499999999999994</v>
      </c>
      <c r="CP25" s="1531">
        <f t="shared" si="25"/>
        <v>0</v>
      </c>
      <c r="CQ25" s="1536">
        <f t="shared" si="26"/>
        <v>0.37499999999999994</v>
      </c>
      <c r="CR25" s="1531">
        <f t="shared" si="27"/>
        <v>0.37499999999999994</v>
      </c>
      <c r="CS25" s="1531">
        <f t="shared" si="28"/>
        <v>0</v>
      </c>
      <c r="CT25" s="1533">
        <f t="shared" si="13"/>
        <v>0</v>
      </c>
      <c r="CU25" s="1531">
        <f t="shared" si="14"/>
        <v>0</v>
      </c>
      <c r="CV25" s="1531">
        <f t="shared" si="15"/>
        <v>0</v>
      </c>
      <c r="CX25" s="1157" t="s">
        <v>2088</v>
      </c>
      <c r="CY25" s="1161" t="s">
        <v>413</v>
      </c>
      <c r="CZ25" s="1158" t="s">
        <v>2089</v>
      </c>
      <c r="DA25" s="1520">
        <f t="shared" si="29"/>
        <v>0.37499999999999994</v>
      </c>
      <c r="DB25" s="1520"/>
      <c r="DC25" s="1520"/>
      <c r="DD25" s="1520"/>
      <c r="DE25" s="1520"/>
      <c r="DF25" s="1520"/>
      <c r="DG25" s="1520"/>
      <c r="DH25" s="1625"/>
      <c r="DI25" s="1520"/>
      <c r="DJ25" s="1520"/>
      <c r="DK25" s="1623"/>
      <c r="DL25" s="1520"/>
      <c r="DM25" s="1520"/>
    </row>
    <row r="26" spans="2:117" hidden="1">
      <c r="B26" s="1136" t="str">
        <f t="shared" si="0"/>
        <v>2.1.5</v>
      </c>
      <c r="C26" s="1158">
        <f t="shared" si="1"/>
        <v>0</v>
      </c>
      <c r="D26" s="1146">
        <f t="shared" si="31"/>
        <v>0</v>
      </c>
      <c r="E26" s="1156">
        <f t="shared" si="31"/>
        <v>0</v>
      </c>
      <c r="G26" s="1156">
        <f t="shared" si="2"/>
        <v>0</v>
      </c>
      <c r="H26" s="1156">
        <f t="shared" si="3"/>
        <v>0</v>
      </c>
      <c r="I26" s="1156"/>
      <c r="J26" s="1156"/>
      <c r="K26" s="1156">
        <f>IF(スコア!Q26=0,0,1)</f>
        <v>0</v>
      </c>
      <c r="L26" s="1156">
        <f>IF(スコア!S26=0,0,1)</f>
        <v>0</v>
      </c>
      <c r="M26" s="1156">
        <f t="shared" si="4"/>
        <v>0</v>
      </c>
      <c r="N26" s="1156">
        <f t="shared" si="5"/>
        <v>0</v>
      </c>
      <c r="P26" s="1157" t="str">
        <f t="shared" si="6"/>
        <v>2.1.5</v>
      </c>
      <c r="Q26" s="1157" t="str">
        <f t="shared" si="7"/>
        <v xml:space="preserve"> Q1 2.1</v>
      </c>
      <c r="R26" s="1158">
        <f t="shared" si="8"/>
        <v>0</v>
      </c>
      <c r="S26" s="1585">
        <f t="shared" si="16"/>
        <v>0</v>
      </c>
      <c r="T26" s="1585">
        <f t="shared" si="32"/>
        <v>0</v>
      </c>
      <c r="U26" s="1585">
        <f t="shared" si="33"/>
        <v>0</v>
      </c>
      <c r="V26" s="1585">
        <f t="shared" si="34"/>
        <v>0</v>
      </c>
      <c r="W26" s="1585">
        <f t="shared" si="35"/>
        <v>0</v>
      </c>
      <c r="X26" s="1585">
        <f t="shared" si="36"/>
        <v>0</v>
      </c>
      <c r="Y26" s="1585">
        <f t="shared" si="37"/>
        <v>0</v>
      </c>
      <c r="Z26" s="1589">
        <f t="shared" si="38"/>
        <v>0</v>
      </c>
      <c r="AA26" s="1585">
        <f t="shared" si="17"/>
        <v>0</v>
      </c>
      <c r="AB26" s="1585">
        <f t="shared" si="10"/>
        <v>0</v>
      </c>
      <c r="AC26" s="1586">
        <f t="shared" si="11"/>
        <v>0</v>
      </c>
      <c r="AD26" s="1585">
        <f t="shared" si="12"/>
        <v>0</v>
      </c>
      <c r="AE26" s="1585">
        <f t="shared" si="18"/>
        <v>0</v>
      </c>
      <c r="AG26" s="1157" t="s">
        <v>2090</v>
      </c>
      <c r="AH26" s="1161" t="s">
        <v>413</v>
      </c>
      <c r="AI26" s="1158" t="s">
        <v>2091</v>
      </c>
      <c r="AJ26" s="1168">
        <v>0.1</v>
      </c>
      <c r="AK26" s="1168">
        <v>0.1</v>
      </c>
      <c r="AL26" s="1168">
        <v>0.1</v>
      </c>
      <c r="AM26" s="1168">
        <v>0.1</v>
      </c>
      <c r="AN26" s="1168">
        <v>0.1</v>
      </c>
      <c r="AO26" s="1168">
        <v>0.1</v>
      </c>
      <c r="AP26" s="1168">
        <v>0.2</v>
      </c>
      <c r="AQ26" s="1174">
        <v>0.1</v>
      </c>
      <c r="AR26" s="1168">
        <v>0.1</v>
      </c>
      <c r="AS26" s="1163">
        <v>0.1</v>
      </c>
      <c r="AT26" s="1164">
        <v>0.3</v>
      </c>
      <c r="AU26" s="1163">
        <v>0.3</v>
      </c>
      <c r="AV26" s="1163"/>
      <c r="AX26" s="1157" t="s">
        <v>2090</v>
      </c>
      <c r="AY26" s="1161" t="s">
        <v>413</v>
      </c>
      <c r="AZ26" s="1158" t="s">
        <v>2091</v>
      </c>
      <c r="BA26" s="1163"/>
      <c r="BB26" s="1163"/>
      <c r="BC26" s="1163"/>
      <c r="BD26" s="1163"/>
      <c r="BE26" s="1163"/>
      <c r="BF26" s="1163"/>
      <c r="BG26" s="1163"/>
      <c r="BH26" s="1165"/>
      <c r="BI26" s="1163"/>
      <c r="BJ26" s="1163"/>
      <c r="BK26" s="1164"/>
      <c r="BL26" s="1163"/>
      <c r="BM26" s="1163"/>
      <c r="BO26" s="1157" t="s">
        <v>2090</v>
      </c>
      <c r="BP26" s="1161" t="s">
        <v>413</v>
      </c>
      <c r="BQ26" s="1158"/>
      <c r="BR26" s="1163"/>
      <c r="BS26" s="1163"/>
      <c r="BT26" s="1163"/>
      <c r="BU26" s="1163"/>
      <c r="BV26" s="1163"/>
      <c r="BW26" s="1163"/>
      <c r="BX26" s="1163"/>
      <c r="BY26" s="1479"/>
      <c r="BZ26" s="1163"/>
      <c r="CA26" s="1163"/>
      <c r="CB26" s="1164"/>
      <c r="CC26" s="1163"/>
      <c r="CD26" s="1163"/>
      <c r="CE26" s="1382"/>
      <c r="CG26" s="1157" t="s">
        <v>2090</v>
      </c>
      <c r="CH26" s="1161" t="s">
        <v>413</v>
      </c>
      <c r="CI26" s="1158"/>
      <c r="CJ26" s="1531">
        <f t="shared" si="19"/>
        <v>0</v>
      </c>
      <c r="CK26" s="1531">
        <f t="shared" si="20"/>
        <v>0</v>
      </c>
      <c r="CL26" s="1531">
        <f t="shared" si="21"/>
        <v>0</v>
      </c>
      <c r="CM26" s="1531">
        <f t="shared" si="22"/>
        <v>0</v>
      </c>
      <c r="CN26" s="1531">
        <f t="shared" si="23"/>
        <v>0</v>
      </c>
      <c r="CO26" s="1531">
        <f t="shared" si="24"/>
        <v>0</v>
      </c>
      <c r="CP26" s="1531">
        <f t="shared" si="25"/>
        <v>0</v>
      </c>
      <c r="CQ26" s="1536">
        <f t="shared" si="26"/>
        <v>0</v>
      </c>
      <c r="CR26" s="1531">
        <f t="shared" si="27"/>
        <v>0</v>
      </c>
      <c r="CS26" s="1531">
        <f t="shared" si="28"/>
        <v>0</v>
      </c>
      <c r="CT26" s="1533">
        <f t="shared" si="13"/>
        <v>0</v>
      </c>
      <c r="CU26" s="1531">
        <f t="shared" si="14"/>
        <v>0</v>
      </c>
      <c r="CV26" s="1531">
        <f t="shared" si="15"/>
        <v>0</v>
      </c>
      <c r="CX26" s="1157" t="s">
        <v>2090</v>
      </c>
      <c r="CY26" s="1161" t="s">
        <v>413</v>
      </c>
      <c r="CZ26" s="1158"/>
      <c r="DA26" s="1520">
        <f t="shared" si="29"/>
        <v>0</v>
      </c>
      <c r="DB26" s="1520"/>
      <c r="DC26" s="1520"/>
      <c r="DD26" s="1520"/>
      <c r="DE26" s="1520"/>
      <c r="DF26" s="1520"/>
      <c r="DG26" s="1520"/>
      <c r="DH26" s="1625"/>
      <c r="DI26" s="1520"/>
      <c r="DJ26" s="1520"/>
      <c r="DK26" s="1623"/>
      <c r="DL26" s="1520"/>
      <c r="DM26" s="1520"/>
    </row>
    <row r="27" spans="2:117" hidden="1">
      <c r="B27" s="1136" t="str">
        <f t="shared" si="0"/>
        <v>2.1.6</v>
      </c>
      <c r="C27" s="1158">
        <f t="shared" si="1"/>
        <v>0</v>
      </c>
      <c r="D27" s="1146">
        <f t="shared" si="31"/>
        <v>0</v>
      </c>
      <c r="E27" s="1156">
        <f t="shared" si="31"/>
        <v>0</v>
      </c>
      <c r="G27" s="1156">
        <f t="shared" si="2"/>
        <v>0</v>
      </c>
      <c r="H27" s="1156">
        <f t="shared" si="3"/>
        <v>0</v>
      </c>
      <c r="I27" s="1156"/>
      <c r="J27" s="1156"/>
      <c r="K27" s="1156">
        <f>IF(スコア!Q27=0,0,1)</f>
        <v>0</v>
      </c>
      <c r="L27" s="1156">
        <f>IF(スコア!S27=0,0,1)</f>
        <v>0</v>
      </c>
      <c r="M27" s="1156">
        <f t="shared" si="4"/>
        <v>0</v>
      </c>
      <c r="N27" s="1156">
        <f t="shared" si="5"/>
        <v>0</v>
      </c>
      <c r="P27" s="1157" t="str">
        <f t="shared" si="6"/>
        <v>2.1.6</v>
      </c>
      <c r="Q27" s="1157" t="str">
        <f t="shared" si="7"/>
        <v xml:space="preserve"> Q1 2.1</v>
      </c>
      <c r="R27" s="1158">
        <f t="shared" si="8"/>
        <v>0</v>
      </c>
      <c r="S27" s="1585">
        <f t="shared" si="16"/>
        <v>0</v>
      </c>
      <c r="T27" s="1585">
        <f t="shared" si="32"/>
        <v>0</v>
      </c>
      <c r="U27" s="1585">
        <f t="shared" si="33"/>
        <v>0</v>
      </c>
      <c r="V27" s="1585">
        <f t="shared" si="34"/>
        <v>0</v>
      </c>
      <c r="W27" s="1585">
        <f t="shared" si="35"/>
        <v>0</v>
      </c>
      <c r="X27" s="1585">
        <f t="shared" si="36"/>
        <v>0</v>
      </c>
      <c r="Y27" s="1585">
        <f t="shared" si="37"/>
        <v>0</v>
      </c>
      <c r="Z27" s="1589">
        <f t="shared" si="38"/>
        <v>0</v>
      </c>
      <c r="AA27" s="1585">
        <f t="shared" si="17"/>
        <v>0</v>
      </c>
      <c r="AB27" s="1585">
        <f t="shared" si="10"/>
        <v>0</v>
      </c>
      <c r="AC27" s="1586">
        <f t="shared" si="11"/>
        <v>0</v>
      </c>
      <c r="AD27" s="1585">
        <f t="shared" si="12"/>
        <v>0</v>
      </c>
      <c r="AE27" s="1585">
        <f t="shared" si="18"/>
        <v>0</v>
      </c>
      <c r="AG27" s="1157" t="s">
        <v>2092</v>
      </c>
      <c r="AH27" s="1161" t="s">
        <v>413</v>
      </c>
      <c r="AI27" s="1158" t="s">
        <v>2093</v>
      </c>
      <c r="AJ27" s="1168"/>
      <c r="AK27" s="1168"/>
      <c r="AL27" s="1168"/>
      <c r="AM27" s="1168"/>
      <c r="AN27" s="1168"/>
      <c r="AO27" s="1168"/>
      <c r="AP27" s="1168"/>
      <c r="AQ27" s="1174"/>
      <c r="AR27" s="1168"/>
      <c r="AS27" s="1163">
        <v>0</v>
      </c>
      <c r="AT27" s="1164">
        <v>0.2</v>
      </c>
      <c r="AU27" s="1163">
        <v>0.2</v>
      </c>
      <c r="AV27" s="1163">
        <v>0.4</v>
      </c>
      <c r="AX27" s="1157" t="s">
        <v>2092</v>
      </c>
      <c r="AY27" s="1161" t="s">
        <v>413</v>
      </c>
      <c r="AZ27" s="1158" t="s">
        <v>2093</v>
      </c>
      <c r="BA27" s="1163"/>
      <c r="BB27" s="1163"/>
      <c r="BC27" s="1163"/>
      <c r="BD27" s="1163"/>
      <c r="BE27" s="1163"/>
      <c r="BF27" s="1163"/>
      <c r="BG27" s="1163"/>
      <c r="BH27" s="1165"/>
      <c r="BI27" s="1163"/>
      <c r="BJ27" s="1163"/>
      <c r="BK27" s="1164"/>
      <c r="BL27" s="1163"/>
      <c r="BM27" s="1163"/>
      <c r="BO27" s="1157" t="s">
        <v>2092</v>
      </c>
      <c r="BP27" s="1161" t="s">
        <v>413</v>
      </c>
      <c r="BQ27" s="1158"/>
      <c r="BR27" s="1163"/>
      <c r="BS27" s="1163"/>
      <c r="BT27" s="1163"/>
      <c r="BU27" s="1163"/>
      <c r="BV27" s="1163"/>
      <c r="BW27" s="1163"/>
      <c r="BX27" s="1163"/>
      <c r="BY27" s="1479"/>
      <c r="BZ27" s="1163"/>
      <c r="CA27" s="1163"/>
      <c r="CB27" s="1164"/>
      <c r="CC27" s="1163"/>
      <c r="CD27" s="1163"/>
      <c r="CE27" s="1382"/>
      <c r="CG27" s="1157" t="s">
        <v>2092</v>
      </c>
      <c r="CH27" s="1161" t="s">
        <v>413</v>
      </c>
      <c r="CI27" s="1158"/>
      <c r="CJ27" s="1531">
        <f t="shared" si="19"/>
        <v>0</v>
      </c>
      <c r="CK27" s="1531">
        <f t="shared" si="20"/>
        <v>0</v>
      </c>
      <c r="CL27" s="1531">
        <f t="shared" si="21"/>
        <v>0</v>
      </c>
      <c r="CM27" s="1531">
        <f t="shared" si="22"/>
        <v>0</v>
      </c>
      <c r="CN27" s="1531">
        <f t="shared" si="23"/>
        <v>0</v>
      </c>
      <c r="CO27" s="1531">
        <f t="shared" si="24"/>
        <v>0</v>
      </c>
      <c r="CP27" s="1531">
        <f t="shared" si="25"/>
        <v>0</v>
      </c>
      <c r="CQ27" s="1536">
        <f t="shared" si="26"/>
        <v>0</v>
      </c>
      <c r="CR27" s="1531">
        <f t="shared" si="27"/>
        <v>0</v>
      </c>
      <c r="CS27" s="1531">
        <f t="shared" si="28"/>
        <v>0</v>
      </c>
      <c r="CT27" s="1533">
        <f t="shared" si="13"/>
        <v>0</v>
      </c>
      <c r="CU27" s="1531">
        <f t="shared" si="14"/>
        <v>0</v>
      </c>
      <c r="CV27" s="1531">
        <f t="shared" si="15"/>
        <v>0</v>
      </c>
      <c r="CX27" s="1157" t="s">
        <v>2092</v>
      </c>
      <c r="CY27" s="1161" t="s">
        <v>413</v>
      </c>
      <c r="CZ27" s="1158"/>
      <c r="DA27" s="1520">
        <f t="shared" si="29"/>
        <v>0</v>
      </c>
      <c r="DB27" s="1520"/>
      <c r="DC27" s="1520"/>
      <c r="DD27" s="1520"/>
      <c r="DE27" s="1520"/>
      <c r="DF27" s="1520"/>
      <c r="DG27" s="1520"/>
      <c r="DH27" s="1625"/>
      <c r="DI27" s="1520"/>
      <c r="DJ27" s="1520"/>
      <c r="DK27" s="1623"/>
      <c r="DL27" s="1520"/>
      <c r="DM27" s="1520"/>
    </row>
    <row r="28" spans="2:117" hidden="1">
      <c r="B28" s="1136" t="str">
        <f t="shared" si="0"/>
        <v>2.1.7</v>
      </c>
      <c r="C28" s="1158">
        <f t="shared" si="1"/>
        <v>0</v>
      </c>
      <c r="D28" s="1146">
        <f t="shared" si="31"/>
        <v>0</v>
      </c>
      <c r="E28" s="1156">
        <f t="shared" si="31"/>
        <v>0</v>
      </c>
      <c r="G28" s="1156">
        <f t="shared" si="2"/>
        <v>0</v>
      </c>
      <c r="H28" s="1156">
        <f t="shared" si="3"/>
        <v>0</v>
      </c>
      <c r="I28" s="1156"/>
      <c r="J28" s="1156"/>
      <c r="K28" s="1156">
        <f>IF(スコア!Q28=0,0,1)</f>
        <v>0</v>
      </c>
      <c r="L28" s="1156">
        <f>IF(スコア!S28=0,0,1)</f>
        <v>0</v>
      </c>
      <c r="M28" s="1156">
        <f t="shared" si="4"/>
        <v>0</v>
      </c>
      <c r="N28" s="1156">
        <f t="shared" si="5"/>
        <v>0</v>
      </c>
      <c r="P28" s="1157" t="str">
        <f t="shared" si="6"/>
        <v>2.1.7</v>
      </c>
      <c r="Q28" s="1157" t="str">
        <f t="shared" si="7"/>
        <v xml:space="preserve"> Q1 2.1</v>
      </c>
      <c r="R28" s="1158">
        <f t="shared" si="8"/>
        <v>0</v>
      </c>
      <c r="S28" s="1585">
        <f t="shared" si="16"/>
        <v>0</v>
      </c>
      <c r="T28" s="1585">
        <f t="shared" si="32"/>
        <v>0</v>
      </c>
      <c r="U28" s="1585">
        <f t="shared" si="33"/>
        <v>0</v>
      </c>
      <c r="V28" s="1585">
        <f t="shared" si="34"/>
        <v>0</v>
      </c>
      <c r="W28" s="1585">
        <f t="shared" si="35"/>
        <v>0</v>
      </c>
      <c r="X28" s="1585">
        <f t="shared" si="36"/>
        <v>0</v>
      </c>
      <c r="Y28" s="1585">
        <f t="shared" si="37"/>
        <v>0</v>
      </c>
      <c r="Z28" s="1589">
        <f t="shared" si="38"/>
        <v>0</v>
      </c>
      <c r="AA28" s="1585">
        <f t="shared" si="17"/>
        <v>0</v>
      </c>
      <c r="AB28" s="1585">
        <f t="shared" si="10"/>
        <v>0</v>
      </c>
      <c r="AC28" s="1586">
        <f t="shared" si="11"/>
        <v>0</v>
      </c>
      <c r="AD28" s="1585">
        <f t="shared" si="12"/>
        <v>0</v>
      </c>
      <c r="AE28" s="1585">
        <f t="shared" si="18"/>
        <v>0</v>
      </c>
      <c r="AG28" s="1157" t="s">
        <v>2094</v>
      </c>
      <c r="AH28" s="1161" t="s">
        <v>413</v>
      </c>
      <c r="AI28" s="1158" t="s">
        <v>2095</v>
      </c>
      <c r="AJ28" s="1168">
        <v>0.1</v>
      </c>
      <c r="AK28" s="1168">
        <v>0.2</v>
      </c>
      <c r="AL28" s="1168"/>
      <c r="AM28" s="1168"/>
      <c r="AN28" s="1168">
        <v>0.1</v>
      </c>
      <c r="AO28" s="1168">
        <v>0.1</v>
      </c>
      <c r="AP28" s="1168"/>
      <c r="AQ28" s="1174"/>
      <c r="AR28" s="1168">
        <v>0.1</v>
      </c>
      <c r="AS28" s="1163">
        <v>0.2</v>
      </c>
      <c r="AT28" s="1164"/>
      <c r="AU28" s="1163"/>
      <c r="AV28" s="1163"/>
      <c r="AX28" s="1157" t="s">
        <v>2094</v>
      </c>
      <c r="AY28" s="1161" t="s">
        <v>413</v>
      </c>
      <c r="AZ28" s="1158" t="s">
        <v>2095</v>
      </c>
      <c r="BA28" s="1163"/>
      <c r="BB28" s="1163"/>
      <c r="BC28" s="1163"/>
      <c r="BD28" s="1163"/>
      <c r="BE28" s="1163"/>
      <c r="BF28" s="1163"/>
      <c r="BG28" s="1163"/>
      <c r="BH28" s="1165"/>
      <c r="BI28" s="1163"/>
      <c r="BJ28" s="1163"/>
      <c r="BK28" s="1164"/>
      <c r="BL28" s="1163"/>
      <c r="BM28" s="1163"/>
      <c r="BO28" s="1157" t="s">
        <v>2094</v>
      </c>
      <c r="BP28" s="1161" t="s">
        <v>413</v>
      </c>
      <c r="BQ28" s="1158"/>
      <c r="BR28" s="1163"/>
      <c r="BS28" s="1163"/>
      <c r="BT28" s="1163"/>
      <c r="BU28" s="1163"/>
      <c r="BV28" s="1163"/>
      <c r="BW28" s="1163"/>
      <c r="BX28" s="1163"/>
      <c r="BY28" s="1479"/>
      <c r="BZ28" s="1163"/>
      <c r="CA28" s="1163"/>
      <c r="CB28" s="1164"/>
      <c r="CC28" s="1163"/>
      <c r="CD28" s="1163"/>
      <c r="CE28" s="1382"/>
      <c r="CG28" s="1157" t="s">
        <v>2094</v>
      </c>
      <c r="CH28" s="1161" t="s">
        <v>413</v>
      </c>
      <c r="CI28" s="1158"/>
      <c r="CJ28" s="1531">
        <f t="shared" si="19"/>
        <v>0</v>
      </c>
      <c r="CK28" s="1531">
        <f t="shared" si="20"/>
        <v>0</v>
      </c>
      <c r="CL28" s="1531">
        <f t="shared" si="21"/>
        <v>0</v>
      </c>
      <c r="CM28" s="1531">
        <f t="shared" si="22"/>
        <v>0</v>
      </c>
      <c r="CN28" s="1531">
        <f t="shared" si="23"/>
        <v>0</v>
      </c>
      <c r="CO28" s="1531">
        <f t="shared" si="24"/>
        <v>0</v>
      </c>
      <c r="CP28" s="1531">
        <f t="shared" si="25"/>
        <v>0</v>
      </c>
      <c r="CQ28" s="1536">
        <f t="shared" si="26"/>
        <v>0</v>
      </c>
      <c r="CR28" s="1531">
        <f t="shared" si="27"/>
        <v>0</v>
      </c>
      <c r="CS28" s="1531">
        <f t="shared" si="28"/>
        <v>0</v>
      </c>
      <c r="CT28" s="1533">
        <f t="shared" si="13"/>
        <v>0</v>
      </c>
      <c r="CU28" s="1531">
        <f t="shared" si="14"/>
        <v>0</v>
      </c>
      <c r="CV28" s="1531">
        <f t="shared" si="15"/>
        <v>0</v>
      </c>
      <c r="CX28" s="1157" t="s">
        <v>2094</v>
      </c>
      <c r="CY28" s="1161" t="s">
        <v>413</v>
      </c>
      <c r="CZ28" s="1158"/>
      <c r="DA28" s="1520">
        <f t="shared" si="29"/>
        <v>0</v>
      </c>
      <c r="DB28" s="1520"/>
      <c r="DC28" s="1520"/>
      <c r="DD28" s="1520"/>
      <c r="DE28" s="1520"/>
      <c r="DF28" s="1520"/>
      <c r="DG28" s="1520"/>
      <c r="DH28" s="1625"/>
      <c r="DI28" s="1520"/>
      <c r="DJ28" s="1520"/>
      <c r="DK28" s="1623"/>
      <c r="DL28" s="1520"/>
      <c r="DM28" s="1520"/>
    </row>
    <row r="29" spans="2:117" hidden="1">
      <c r="B29" s="1136" t="str">
        <f t="shared" si="0"/>
        <v>2.1.8</v>
      </c>
      <c r="C29" s="1158">
        <f t="shared" si="1"/>
        <v>0</v>
      </c>
      <c r="D29" s="1146">
        <f t="shared" si="31"/>
        <v>0</v>
      </c>
      <c r="E29" s="1156">
        <f t="shared" si="31"/>
        <v>0</v>
      </c>
      <c r="G29" s="1156">
        <f t="shared" si="2"/>
        <v>0</v>
      </c>
      <c r="H29" s="1156">
        <f t="shared" si="3"/>
        <v>0</v>
      </c>
      <c r="I29" s="1156"/>
      <c r="J29" s="1156"/>
      <c r="K29" s="1156">
        <f>IF(スコア!Q29=0,0,1)</f>
        <v>0</v>
      </c>
      <c r="L29" s="1156">
        <f>IF(スコア!S29=0,0,1)</f>
        <v>0</v>
      </c>
      <c r="M29" s="1156">
        <f t="shared" si="4"/>
        <v>0</v>
      </c>
      <c r="N29" s="1156">
        <f t="shared" si="5"/>
        <v>0</v>
      </c>
      <c r="P29" s="1157" t="str">
        <f t="shared" si="6"/>
        <v>2.1.8</v>
      </c>
      <c r="Q29" s="1157" t="str">
        <f t="shared" si="7"/>
        <v xml:space="preserve"> Q1 2.1</v>
      </c>
      <c r="R29" s="1158">
        <f t="shared" si="8"/>
        <v>0</v>
      </c>
      <c r="S29" s="1585">
        <f t="shared" si="16"/>
        <v>0</v>
      </c>
      <c r="T29" s="1585">
        <f t="shared" si="32"/>
        <v>0</v>
      </c>
      <c r="U29" s="1585">
        <f t="shared" si="33"/>
        <v>0</v>
      </c>
      <c r="V29" s="1585">
        <f t="shared" si="34"/>
        <v>0</v>
      </c>
      <c r="W29" s="1585">
        <f t="shared" si="35"/>
        <v>0</v>
      </c>
      <c r="X29" s="1585">
        <f t="shared" si="36"/>
        <v>0</v>
      </c>
      <c r="Y29" s="1585">
        <f t="shared" si="37"/>
        <v>0</v>
      </c>
      <c r="Z29" s="1589">
        <f t="shared" si="38"/>
        <v>0</v>
      </c>
      <c r="AA29" s="1585">
        <f t="shared" si="17"/>
        <v>0</v>
      </c>
      <c r="AB29" s="1585">
        <f t="shared" si="10"/>
        <v>0</v>
      </c>
      <c r="AC29" s="1586">
        <f t="shared" si="11"/>
        <v>0</v>
      </c>
      <c r="AD29" s="1585">
        <f t="shared" si="12"/>
        <v>0</v>
      </c>
      <c r="AE29" s="1585">
        <f t="shared" si="18"/>
        <v>0</v>
      </c>
      <c r="AG29" s="1157" t="s">
        <v>2096</v>
      </c>
      <c r="AH29" s="1161" t="s">
        <v>413</v>
      </c>
      <c r="AI29" s="1158" t="s">
        <v>2097</v>
      </c>
      <c r="AJ29" s="1168"/>
      <c r="AK29" s="1168"/>
      <c r="AL29" s="1168">
        <v>0.1</v>
      </c>
      <c r="AM29" s="1168">
        <v>0.1</v>
      </c>
      <c r="AN29" s="1168"/>
      <c r="AO29" s="1168"/>
      <c r="AP29" s="1168"/>
      <c r="AQ29" s="1174"/>
      <c r="AR29" s="1168"/>
      <c r="AS29" s="1163">
        <v>0</v>
      </c>
      <c r="AT29" s="1164"/>
      <c r="AU29" s="1163"/>
      <c r="AV29" s="1163"/>
      <c r="AX29" s="1157" t="s">
        <v>2096</v>
      </c>
      <c r="AY29" s="1161" t="s">
        <v>413</v>
      </c>
      <c r="AZ29" s="1158" t="s">
        <v>2097</v>
      </c>
      <c r="BA29" s="1163"/>
      <c r="BB29" s="1163"/>
      <c r="BC29" s="1163"/>
      <c r="BD29" s="1163"/>
      <c r="BE29" s="1163"/>
      <c r="BF29" s="1163"/>
      <c r="BG29" s="1163"/>
      <c r="BH29" s="1165"/>
      <c r="BI29" s="1163"/>
      <c r="BJ29" s="1163"/>
      <c r="BK29" s="1164"/>
      <c r="BL29" s="1163"/>
      <c r="BM29" s="1163"/>
      <c r="BO29" s="1157" t="s">
        <v>2096</v>
      </c>
      <c r="BP29" s="1161" t="s">
        <v>413</v>
      </c>
      <c r="BQ29" s="1158"/>
      <c r="BR29" s="1163"/>
      <c r="BS29" s="1163"/>
      <c r="BT29" s="1163"/>
      <c r="BU29" s="1163"/>
      <c r="BV29" s="1163"/>
      <c r="BW29" s="1163"/>
      <c r="BX29" s="1163"/>
      <c r="BY29" s="1479"/>
      <c r="BZ29" s="1163"/>
      <c r="CA29" s="1163"/>
      <c r="CB29" s="1164"/>
      <c r="CC29" s="1163"/>
      <c r="CD29" s="1163"/>
      <c r="CE29" s="1382"/>
      <c r="CG29" s="1157" t="s">
        <v>2096</v>
      </c>
      <c r="CH29" s="1161" t="s">
        <v>413</v>
      </c>
      <c r="CI29" s="1158"/>
      <c r="CJ29" s="1531">
        <f t="shared" si="19"/>
        <v>0</v>
      </c>
      <c r="CK29" s="1531">
        <f t="shared" si="20"/>
        <v>0</v>
      </c>
      <c r="CL29" s="1531">
        <f t="shared" si="21"/>
        <v>0</v>
      </c>
      <c r="CM29" s="1531">
        <f t="shared" si="22"/>
        <v>0</v>
      </c>
      <c r="CN29" s="1531">
        <f t="shared" si="23"/>
        <v>0</v>
      </c>
      <c r="CO29" s="1531">
        <f t="shared" si="24"/>
        <v>0</v>
      </c>
      <c r="CP29" s="1531">
        <f t="shared" si="25"/>
        <v>0</v>
      </c>
      <c r="CQ29" s="1536">
        <f t="shared" si="26"/>
        <v>0</v>
      </c>
      <c r="CR29" s="1531">
        <f t="shared" si="27"/>
        <v>0</v>
      </c>
      <c r="CS29" s="1531">
        <f t="shared" si="28"/>
        <v>0</v>
      </c>
      <c r="CT29" s="1533">
        <f t="shared" si="13"/>
        <v>0</v>
      </c>
      <c r="CU29" s="1531">
        <f t="shared" si="14"/>
        <v>0</v>
      </c>
      <c r="CV29" s="1531">
        <f t="shared" si="15"/>
        <v>0</v>
      </c>
      <c r="CX29" s="1157" t="s">
        <v>2096</v>
      </c>
      <c r="CY29" s="1161" t="s">
        <v>413</v>
      </c>
      <c r="CZ29" s="1158"/>
      <c r="DA29" s="1520">
        <f t="shared" si="29"/>
        <v>0</v>
      </c>
      <c r="DB29" s="1520"/>
      <c r="DC29" s="1520"/>
      <c r="DD29" s="1520"/>
      <c r="DE29" s="1520"/>
      <c r="DF29" s="1520"/>
      <c r="DG29" s="1520"/>
      <c r="DH29" s="1625"/>
      <c r="DI29" s="1520"/>
      <c r="DJ29" s="1520"/>
      <c r="DK29" s="1623"/>
      <c r="DL29" s="1520"/>
      <c r="DM29" s="1520"/>
    </row>
    <row r="30" spans="2:117">
      <c r="B30" s="1136">
        <f t="shared" si="0"/>
        <v>2.2000000000000002</v>
      </c>
      <c r="C30" s="1158" t="str">
        <f t="shared" si="1"/>
        <v>湿度制御</v>
      </c>
      <c r="D30" s="1155">
        <f t="shared" ref="D30:E32" si="39">IF(I$20=0,0,G30/I$20)</f>
        <v>0</v>
      </c>
      <c r="E30" s="1156">
        <f t="shared" si="39"/>
        <v>0</v>
      </c>
      <c r="G30" s="1156">
        <f t="shared" si="2"/>
        <v>0</v>
      </c>
      <c r="H30" s="1156">
        <f t="shared" si="3"/>
        <v>0</v>
      </c>
      <c r="I30" s="1156"/>
      <c r="J30" s="1156"/>
      <c r="K30" s="1156">
        <f>IF(スコア!Q30=0,0,1)</f>
        <v>0</v>
      </c>
      <c r="L30" s="1156">
        <f>IF(スコア!S30=0,0,1)</f>
        <v>0</v>
      </c>
      <c r="M30" s="1156">
        <f t="shared" si="4"/>
        <v>0.2</v>
      </c>
      <c r="N30" s="1156">
        <f t="shared" si="5"/>
        <v>0.13333333333333333</v>
      </c>
      <c r="P30" s="1157">
        <f t="shared" si="6"/>
        <v>2.2000000000000002</v>
      </c>
      <c r="Q30" s="1157" t="str">
        <f t="shared" si="7"/>
        <v xml:space="preserve"> Q1 2</v>
      </c>
      <c r="R30" s="1158" t="str">
        <f t="shared" si="8"/>
        <v>湿度制御</v>
      </c>
      <c r="S30" s="1585">
        <f t="shared" si="16"/>
        <v>0.2</v>
      </c>
      <c r="T30" s="1585">
        <f t="shared" si="32"/>
        <v>0.2</v>
      </c>
      <c r="U30" s="1585">
        <f t="shared" si="33"/>
        <v>0.2</v>
      </c>
      <c r="V30" s="1585">
        <f t="shared" si="34"/>
        <v>0.2</v>
      </c>
      <c r="W30" s="1585">
        <f t="shared" si="35"/>
        <v>0.2</v>
      </c>
      <c r="X30" s="1585">
        <f t="shared" si="36"/>
        <v>0.2</v>
      </c>
      <c r="Y30" s="1585">
        <f t="shared" si="37"/>
        <v>0.2</v>
      </c>
      <c r="Z30" s="1589">
        <f t="shared" si="38"/>
        <v>0.2</v>
      </c>
      <c r="AA30" s="1585">
        <f t="shared" si="17"/>
        <v>0.2</v>
      </c>
      <c r="AB30" s="1585">
        <f t="shared" si="10"/>
        <v>0.2</v>
      </c>
      <c r="AC30" s="1586">
        <f t="shared" si="11"/>
        <v>0.2</v>
      </c>
      <c r="AD30" s="1585">
        <f t="shared" si="12"/>
        <v>0.2</v>
      </c>
      <c r="AE30" s="1585">
        <f t="shared" si="18"/>
        <v>0.2</v>
      </c>
      <c r="AG30" s="1157">
        <v>2.2000000000000002</v>
      </c>
      <c r="AH30" s="1161" t="s">
        <v>789</v>
      </c>
      <c r="AI30" s="1158" t="s">
        <v>219</v>
      </c>
      <c r="AJ30" s="1159">
        <v>0.2</v>
      </c>
      <c r="AK30" s="1159">
        <v>0.2</v>
      </c>
      <c r="AL30" s="1159">
        <v>0.2</v>
      </c>
      <c r="AM30" s="1159">
        <v>0.2</v>
      </c>
      <c r="AN30" s="1159">
        <v>0.2</v>
      </c>
      <c r="AO30" s="1159">
        <v>0.2</v>
      </c>
      <c r="AP30" s="1159">
        <v>0.2</v>
      </c>
      <c r="AQ30" s="1173">
        <v>0.2</v>
      </c>
      <c r="AR30" s="1159">
        <v>0.2</v>
      </c>
      <c r="AS30" s="1163">
        <v>0.2</v>
      </c>
      <c r="AT30" s="1164"/>
      <c r="AU30" s="1163"/>
      <c r="AV30" s="1163"/>
      <c r="AX30" s="1157">
        <v>2.2000000000000002</v>
      </c>
      <c r="AY30" s="1161" t="s">
        <v>789</v>
      </c>
      <c r="AZ30" s="1158" t="s">
        <v>219</v>
      </c>
      <c r="BA30" s="1163">
        <v>0.2</v>
      </c>
      <c r="BB30" s="1163">
        <v>0.2</v>
      </c>
      <c r="BC30" s="1163">
        <v>0.2</v>
      </c>
      <c r="BD30" s="1163">
        <v>0.2</v>
      </c>
      <c r="BE30" s="1163">
        <v>0.2</v>
      </c>
      <c r="BF30" s="1163">
        <v>0.2</v>
      </c>
      <c r="BG30" s="1163">
        <v>0.2</v>
      </c>
      <c r="BH30" s="1165">
        <v>0.2</v>
      </c>
      <c r="BI30" s="1163">
        <v>0.2</v>
      </c>
      <c r="BJ30" s="1163">
        <v>0.2</v>
      </c>
      <c r="BK30" s="1164">
        <v>0.2</v>
      </c>
      <c r="BL30" s="1163">
        <v>0.2</v>
      </c>
      <c r="BM30" s="1163">
        <v>0.2</v>
      </c>
      <c r="BO30" s="1157">
        <v>2.2000000000000002</v>
      </c>
      <c r="BP30" s="1161" t="s">
        <v>789</v>
      </c>
      <c r="BQ30" s="1158" t="s">
        <v>219</v>
      </c>
      <c r="BR30" s="1163">
        <v>0.2</v>
      </c>
      <c r="BS30" s="1163">
        <v>0.2</v>
      </c>
      <c r="BT30" s="1163">
        <v>0.2</v>
      </c>
      <c r="BU30" s="1163">
        <v>0.2</v>
      </c>
      <c r="BV30" s="1163">
        <v>0.2</v>
      </c>
      <c r="BW30" s="1163">
        <v>0.2</v>
      </c>
      <c r="BX30" s="1163">
        <v>0.2</v>
      </c>
      <c r="BY30" s="1479">
        <v>0.2</v>
      </c>
      <c r="BZ30" s="1163">
        <v>0.2</v>
      </c>
      <c r="CA30" s="1163">
        <v>0.2</v>
      </c>
      <c r="CB30" s="1164">
        <v>0.2</v>
      </c>
      <c r="CC30" s="1163">
        <v>0.2</v>
      </c>
      <c r="CD30" s="1163">
        <v>0.2</v>
      </c>
      <c r="CE30" s="1382"/>
      <c r="CG30" s="1157">
        <v>2.2000000000000002</v>
      </c>
      <c r="CH30" s="1161" t="s">
        <v>789</v>
      </c>
      <c r="CI30" s="1158" t="s">
        <v>219</v>
      </c>
      <c r="CJ30" s="1531">
        <f t="shared" si="19"/>
        <v>0.2</v>
      </c>
      <c r="CK30" s="1531">
        <f t="shared" si="20"/>
        <v>0.2</v>
      </c>
      <c r="CL30" s="1531">
        <f t="shared" si="21"/>
        <v>0.2</v>
      </c>
      <c r="CM30" s="1531">
        <f t="shared" si="22"/>
        <v>0.2</v>
      </c>
      <c r="CN30" s="1531">
        <f t="shared" si="23"/>
        <v>0.2</v>
      </c>
      <c r="CO30" s="1531">
        <f t="shared" si="24"/>
        <v>0.2</v>
      </c>
      <c r="CP30" s="1531">
        <f t="shared" si="25"/>
        <v>0.2</v>
      </c>
      <c r="CQ30" s="1536">
        <f t="shared" si="26"/>
        <v>0.2</v>
      </c>
      <c r="CR30" s="1531">
        <f t="shared" si="27"/>
        <v>0.2</v>
      </c>
      <c r="CS30" s="1531">
        <f t="shared" si="28"/>
        <v>0.2</v>
      </c>
      <c r="CT30" s="1533">
        <f t="shared" si="13"/>
        <v>0.2</v>
      </c>
      <c r="CU30" s="1531">
        <f t="shared" si="14"/>
        <v>0.2</v>
      </c>
      <c r="CV30" s="1531">
        <f t="shared" si="15"/>
        <v>0.2</v>
      </c>
      <c r="CX30" s="1157">
        <v>2.2000000000000002</v>
      </c>
      <c r="CY30" s="1161" t="s">
        <v>789</v>
      </c>
      <c r="CZ30" s="1158" t="s">
        <v>219</v>
      </c>
      <c r="DA30" s="1520">
        <f t="shared" si="29"/>
        <v>0.2</v>
      </c>
      <c r="DB30" s="1520"/>
      <c r="DC30" s="1520"/>
      <c r="DD30" s="1520"/>
      <c r="DE30" s="1520"/>
      <c r="DF30" s="1520"/>
      <c r="DG30" s="1520"/>
      <c r="DH30" s="1625"/>
      <c r="DI30" s="1520"/>
      <c r="DJ30" s="1520"/>
      <c r="DK30" s="1623"/>
      <c r="DL30" s="1520"/>
      <c r="DM30" s="1520"/>
    </row>
    <row r="31" spans="2:117">
      <c r="B31" s="1136">
        <f t="shared" si="0"/>
        <v>2.2999999999999998</v>
      </c>
      <c r="C31" s="1158" t="str">
        <f t="shared" si="1"/>
        <v>空調方式（新築）</v>
      </c>
      <c r="D31" s="1155">
        <f t="shared" si="39"/>
        <v>0</v>
      </c>
      <c r="E31" s="1156">
        <f t="shared" si="39"/>
        <v>0</v>
      </c>
      <c r="G31" s="1156">
        <f t="shared" si="2"/>
        <v>0</v>
      </c>
      <c r="H31" s="1156">
        <f t="shared" si="3"/>
        <v>0</v>
      </c>
      <c r="I31" s="1156"/>
      <c r="J31" s="1156"/>
      <c r="K31" s="1156">
        <f>IF(スコア!Q31=0,0,1)</f>
        <v>0</v>
      </c>
      <c r="L31" s="1156">
        <f>IF(スコア!S31=0,0,1)</f>
        <v>0</v>
      </c>
      <c r="M31" s="1156">
        <f t="shared" si="4"/>
        <v>0.3</v>
      </c>
      <c r="N31" s="1156">
        <f t="shared" si="5"/>
        <v>0.19999999999999998</v>
      </c>
      <c r="P31" s="1157">
        <f t="shared" si="6"/>
        <v>2.2999999999999998</v>
      </c>
      <c r="Q31" s="1157" t="str">
        <f t="shared" si="7"/>
        <v xml:space="preserve"> Q1 2</v>
      </c>
      <c r="R31" s="1158" t="str">
        <f t="shared" si="8"/>
        <v>空調方式（新築）</v>
      </c>
      <c r="S31" s="1585">
        <f t="shared" si="16"/>
        <v>0.3</v>
      </c>
      <c r="T31" s="1585">
        <f t="shared" si="32"/>
        <v>0.3</v>
      </c>
      <c r="U31" s="1585">
        <f t="shared" si="33"/>
        <v>0.3</v>
      </c>
      <c r="V31" s="1585">
        <f t="shared" si="34"/>
        <v>0.3</v>
      </c>
      <c r="W31" s="1585">
        <f t="shared" si="35"/>
        <v>0.3</v>
      </c>
      <c r="X31" s="1585">
        <f t="shared" si="36"/>
        <v>0.3</v>
      </c>
      <c r="Y31" s="1585">
        <f t="shared" si="37"/>
        <v>0.3</v>
      </c>
      <c r="Z31" s="1589">
        <f t="shared" si="38"/>
        <v>0.3</v>
      </c>
      <c r="AA31" s="1585">
        <f t="shared" si="17"/>
        <v>0.3</v>
      </c>
      <c r="AB31" s="1585">
        <f t="shared" si="10"/>
        <v>0.3</v>
      </c>
      <c r="AC31" s="1586">
        <f t="shared" si="11"/>
        <v>0.3</v>
      </c>
      <c r="AD31" s="1585">
        <f t="shared" si="12"/>
        <v>0.3</v>
      </c>
      <c r="AE31" s="1585">
        <f t="shared" si="18"/>
        <v>0.3</v>
      </c>
      <c r="AG31" s="1157">
        <v>2.2999999999999998</v>
      </c>
      <c r="AH31" s="1161" t="s">
        <v>789</v>
      </c>
      <c r="AI31" s="1158"/>
      <c r="AJ31" s="1159"/>
      <c r="AK31" s="1159"/>
      <c r="AL31" s="1159"/>
      <c r="AM31" s="1159"/>
      <c r="AN31" s="1159"/>
      <c r="AO31" s="1159"/>
      <c r="AP31" s="1159"/>
      <c r="AQ31" s="1173"/>
      <c r="AR31" s="1159"/>
      <c r="AS31" s="1176"/>
      <c r="AT31" s="1164"/>
      <c r="AU31" s="1163"/>
      <c r="AV31" s="1163"/>
      <c r="AX31" s="1157">
        <v>2.2999999999999998</v>
      </c>
      <c r="AY31" s="1161" t="s">
        <v>789</v>
      </c>
      <c r="AZ31" s="1158" t="s">
        <v>220</v>
      </c>
      <c r="BA31" s="1163">
        <v>0.3</v>
      </c>
      <c r="BB31" s="1163">
        <v>0.3</v>
      </c>
      <c r="BC31" s="1163">
        <v>0.3</v>
      </c>
      <c r="BD31" s="1163">
        <v>0.3</v>
      </c>
      <c r="BE31" s="1163">
        <v>0.3</v>
      </c>
      <c r="BF31" s="1163">
        <v>0.3</v>
      </c>
      <c r="BG31" s="1163">
        <v>0.3</v>
      </c>
      <c r="BH31" s="1165">
        <v>0.3</v>
      </c>
      <c r="BI31" s="1163">
        <v>0.3</v>
      </c>
      <c r="BJ31" s="1163">
        <v>0.3</v>
      </c>
      <c r="BK31" s="1164">
        <v>0.3</v>
      </c>
      <c r="BL31" s="1163">
        <v>0.3</v>
      </c>
      <c r="BM31" s="1163">
        <v>0.3</v>
      </c>
      <c r="BO31" s="1157">
        <v>2.2999999999999998</v>
      </c>
      <c r="BP31" s="1161" t="s">
        <v>789</v>
      </c>
      <c r="BQ31" s="1158" t="s">
        <v>2774</v>
      </c>
      <c r="BR31" s="1163">
        <v>0.3</v>
      </c>
      <c r="BS31" s="1163">
        <v>0.3</v>
      </c>
      <c r="BT31" s="1163">
        <v>0.3</v>
      </c>
      <c r="BU31" s="1163">
        <v>0.3</v>
      </c>
      <c r="BV31" s="1163">
        <v>0.3</v>
      </c>
      <c r="BW31" s="1163">
        <v>0.3</v>
      </c>
      <c r="BX31" s="1163">
        <v>0.3</v>
      </c>
      <c r="BY31" s="1479">
        <v>0.3</v>
      </c>
      <c r="BZ31" s="1163">
        <v>0.3</v>
      </c>
      <c r="CA31" s="1163">
        <v>0.3</v>
      </c>
      <c r="CB31" s="1164">
        <v>0.3</v>
      </c>
      <c r="CC31" s="1163">
        <v>0.3</v>
      </c>
      <c r="CD31" s="1163">
        <v>0.3</v>
      </c>
      <c r="CE31" s="1382"/>
      <c r="CG31" s="1157">
        <v>2.2999999999999998</v>
      </c>
      <c r="CH31" s="1161" t="s">
        <v>789</v>
      </c>
      <c r="CI31" s="1158" t="s">
        <v>220</v>
      </c>
      <c r="CJ31" s="1531">
        <f t="shared" si="19"/>
        <v>0.3</v>
      </c>
      <c r="CK31" s="1531">
        <f t="shared" si="20"/>
        <v>0.3</v>
      </c>
      <c r="CL31" s="1531">
        <f t="shared" si="21"/>
        <v>0.3</v>
      </c>
      <c r="CM31" s="1531">
        <f t="shared" si="22"/>
        <v>0.3</v>
      </c>
      <c r="CN31" s="1531">
        <f t="shared" si="23"/>
        <v>0.3</v>
      </c>
      <c r="CO31" s="1531">
        <f t="shared" si="24"/>
        <v>0.3</v>
      </c>
      <c r="CP31" s="1531">
        <f t="shared" si="25"/>
        <v>0.3</v>
      </c>
      <c r="CQ31" s="1536">
        <f t="shared" si="26"/>
        <v>0.3</v>
      </c>
      <c r="CR31" s="1531">
        <f t="shared" si="27"/>
        <v>0.3</v>
      </c>
      <c r="CS31" s="1531">
        <f t="shared" si="28"/>
        <v>0.3</v>
      </c>
      <c r="CT31" s="1533">
        <f t="shared" si="13"/>
        <v>0.3</v>
      </c>
      <c r="CU31" s="1531">
        <f t="shared" si="14"/>
        <v>0.3</v>
      </c>
      <c r="CV31" s="1531">
        <f t="shared" si="15"/>
        <v>0.3</v>
      </c>
      <c r="CX31" s="1157">
        <v>2.2999999999999998</v>
      </c>
      <c r="CY31" s="1161" t="s">
        <v>789</v>
      </c>
      <c r="CZ31" s="1158" t="s">
        <v>220</v>
      </c>
      <c r="DA31" s="1520">
        <f t="shared" si="29"/>
        <v>0.3</v>
      </c>
      <c r="DB31" s="1520"/>
      <c r="DC31" s="1520"/>
      <c r="DD31" s="1520"/>
      <c r="DE31" s="1520"/>
      <c r="DF31" s="1520"/>
      <c r="DG31" s="1520"/>
      <c r="DH31" s="1625"/>
      <c r="DI31" s="1520"/>
      <c r="DJ31" s="1520"/>
      <c r="DK31" s="1623"/>
      <c r="DL31" s="1520"/>
      <c r="DM31" s="1520"/>
    </row>
    <row r="32" spans="2:117" hidden="1">
      <c r="B32" s="1136">
        <f>P32</f>
        <v>2.2999999999999998</v>
      </c>
      <c r="C32" s="1158">
        <f t="shared" si="1"/>
        <v>0</v>
      </c>
      <c r="D32" s="1155">
        <f t="shared" si="39"/>
        <v>0</v>
      </c>
      <c r="E32" s="1156">
        <f t="shared" si="39"/>
        <v>0</v>
      </c>
      <c r="G32" s="1156">
        <f>K32*M32</f>
        <v>0</v>
      </c>
      <c r="H32" s="1156">
        <f>L32*N32</f>
        <v>0</v>
      </c>
      <c r="I32" s="1156">
        <f>SUM(G33:G34)</f>
        <v>0</v>
      </c>
      <c r="J32" s="1156">
        <f>SUM(H33:H34)</f>
        <v>0</v>
      </c>
      <c r="K32" s="1156">
        <f>IF(スコア!Q32=0,0,1)</f>
        <v>0</v>
      </c>
      <c r="L32" s="1156">
        <f>IF(スコア!S32=0,0,1)</f>
        <v>0</v>
      </c>
      <c r="M32" s="1156">
        <f>SUMPRODUCT($S$7:$AB$7,S32:AB32)</f>
        <v>0</v>
      </c>
      <c r="N32" s="1156">
        <f>(AC$7*AC32)+(AD$7*AD32)+(AE$7*AE32)</f>
        <v>0</v>
      </c>
      <c r="P32" s="1157">
        <f t="shared" ref="P32:AE32" si="40">IF($P$3=1,AX32,IF($P$3=2,BO32,IF($P$3=3,CG32,IF($P$3=4,CX32,AG32))))</f>
        <v>2.2999999999999998</v>
      </c>
      <c r="Q32" s="1157" t="str">
        <f t="shared" si="40"/>
        <v xml:space="preserve"> Q1 2</v>
      </c>
      <c r="R32" s="1158">
        <f t="shared" si="40"/>
        <v>0</v>
      </c>
      <c r="S32" s="1585">
        <f t="shared" si="40"/>
        <v>0</v>
      </c>
      <c r="T32" s="1585">
        <f t="shared" si="40"/>
        <v>0</v>
      </c>
      <c r="U32" s="1585">
        <f t="shared" si="40"/>
        <v>0</v>
      </c>
      <c r="V32" s="1585">
        <f t="shared" si="40"/>
        <v>0</v>
      </c>
      <c r="W32" s="1585">
        <f t="shared" si="40"/>
        <v>0</v>
      </c>
      <c r="X32" s="1585">
        <f t="shared" si="40"/>
        <v>0</v>
      </c>
      <c r="Y32" s="1585">
        <f t="shared" si="40"/>
        <v>0</v>
      </c>
      <c r="Z32" s="1589">
        <f t="shared" si="40"/>
        <v>0</v>
      </c>
      <c r="AA32" s="1585">
        <f t="shared" si="40"/>
        <v>0</v>
      </c>
      <c r="AB32" s="1585">
        <f t="shared" si="40"/>
        <v>0</v>
      </c>
      <c r="AC32" s="1586">
        <f t="shared" si="40"/>
        <v>0</v>
      </c>
      <c r="AD32" s="1585">
        <f t="shared" si="40"/>
        <v>0</v>
      </c>
      <c r="AE32" s="1585">
        <f t="shared" si="40"/>
        <v>0</v>
      </c>
      <c r="AG32" s="1157">
        <v>2.2999999999999998</v>
      </c>
      <c r="AH32" s="1161" t="s">
        <v>789</v>
      </c>
      <c r="AI32" s="1158" t="s">
        <v>2775</v>
      </c>
      <c r="AJ32" s="1159">
        <v>0.3</v>
      </c>
      <c r="AK32" s="1159">
        <v>0.3</v>
      </c>
      <c r="AL32" s="1159">
        <v>0.3</v>
      </c>
      <c r="AM32" s="1159">
        <v>0.3</v>
      </c>
      <c r="AN32" s="1159">
        <v>0.3</v>
      </c>
      <c r="AO32" s="1159">
        <v>0.3</v>
      </c>
      <c r="AP32" s="1159">
        <v>0.3</v>
      </c>
      <c r="AQ32" s="1173">
        <v>0.3</v>
      </c>
      <c r="AR32" s="1159">
        <v>0.3</v>
      </c>
      <c r="AS32" s="1176">
        <v>0.3</v>
      </c>
      <c r="AT32" s="1164"/>
      <c r="AU32" s="1163"/>
      <c r="AV32" s="1163"/>
      <c r="AX32" s="1157">
        <v>2.2999999999999998</v>
      </c>
      <c r="AY32" s="1161" t="s">
        <v>789</v>
      </c>
      <c r="AZ32" s="1158" t="s">
        <v>220</v>
      </c>
      <c r="BA32" s="1163">
        <v>0.3</v>
      </c>
      <c r="BB32" s="1163">
        <v>0.3</v>
      </c>
      <c r="BC32" s="1163">
        <v>0.3</v>
      </c>
      <c r="BD32" s="1163">
        <v>0.3</v>
      </c>
      <c r="BE32" s="1163">
        <v>0.3</v>
      </c>
      <c r="BF32" s="1163">
        <v>0.3</v>
      </c>
      <c r="BG32" s="1163">
        <v>0.3</v>
      </c>
      <c r="BH32" s="1165">
        <v>0.3</v>
      </c>
      <c r="BI32" s="1163">
        <v>0.3</v>
      </c>
      <c r="BJ32" s="1163">
        <v>0.3</v>
      </c>
      <c r="BK32" s="1164">
        <v>0.3</v>
      </c>
      <c r="BL32" s="1163">
        <v>0.3</v>
      </c>
      <c r="BM32" s="1163">
        <v>0.3</v>
      </c>
      <c r="BO32" s="1157">
        <v>2.2999999999999998</v>
      </c>
      <c r="BP32" s="1161" t="s">
        <v>789</v>
      </c>
      <c r="BQ32" s="1158"/>
      <c r="BR32" s="1163"/>
      <c r="BS32" s="1163"/>
      <c r="BT32" s="1163"/>
      <c r="BU32" s="1163"/>
      <c r="BV32" s="1163"/>
      <c r="BW32" s="1163"/>
      <c r="BX32" s="1163"/>
      <c r="BY32" s="1479"/>
      <c r="BZ32" s="1163"/>
      <c r="CA32" s="1163"/>
      <c r="CB32" s="1164"/>
      <c r="CC32" s="1163"/>
      <c r="CD32" s="1163"/>
      <c r="CE32" s="1382"/>
      <c r="CG32" s="1157">
        <v>2.2999999999999998</v>
      </c>
      <c r="CH32" s="1161" t="s">
        <v>789</v>
      </c>
      <c r="CI32" s="1158"/>
      <c r="CJ32" s="1531"/>
      <c r="CK32" s="1531"/>
      <c r="CL32" s="1531"/>
      <c r="CM32" s="1531"/>
      <c r="CN32" s="1531"/>
      <c r="CO32" s="1531"/>
      <c r="CP32" s="1531"/>
      <c r="CQ32" s="1536"/>
      <c r="CR32" s="1531"/>
      <c r="CS32" s="1531"/>
      <c r="CT32" s="1533"/>
      <c r="CU32" s="1531"/>
      <c r="CV32" s="1531"/>
      <c r="CX32" s="1157">
        <v>2.2999999999999998</v>
      </c>
      <c r="CY32" s="1161" t="s">
        <v>789</v>
      </c>
      <c r="CZ32" s="1158"/>
      <c r="DA32" s="1520">
        <f>BR32</f>
        <v>0</v>
      </c>
      <c r="DB32" s="1520"/>
      <c r="DC32" s="1520"/>
      <c r="DD32" s="1520"/>
      <c r="DE32" s="1520"/>
      <c r="DF32" s="1520"/>
      <c r="DG32" s="1520"/>
      <c r="DH32" s="1625"/>
      <c r="DI32" s="1520"/>
      <c r="DJ32" s="1520"/>
      <c r="DK32" s="1623"/>
      <c r="DL32" s="1520"/>
      <c r="DM32" s="1520"/>
    </row>
    <row r="33" spans="2:117" s="1434" customFormat="1" hidden="1">
      <c r="B33" s="1136" t="str">
        <f t="shared" si="0"/>
        <v>2.3.1</v>
      </c>
      <c r="C33" s="1158">
        <f t="shared" si="1"/>
        <v>0</v>
      </c>
      <c r="D33" s="1146">
        <f>IF(I$32&gt;0,G33/I$32,0)</f>
        <v>0</v>
      </c>
      <c r="E33" s="1146">
        <f>IF(J$32&gt;0,H33/J$32,0)</f>
        <v>0</v>
      </c>
      <c r="G33" s="1156">
        <f t="shared" si="2"/>
        <v>0</v>
      </c>
      <c r="H33" s="1156">
        <f t="shared" si="3"/>
        <v>0</v>
      </c>
      <c r="I33" s="1156"/>
      <c r="J33" s="1156"/>
      <c r="K33" s="1156">
        <f>IF(スコア!Q33=0,0,1)</f>
        <v>0</v>
      </c>
      <c r="L33" s="1156">
        <f>IF(スコア!S33=0,0,1)</f>
        <v>0</v>
      </c>
      <c r="M33" s="1156">
        <f t="shared" si="4"/>
        <v>0</v>
      </c>
      <c r="N33" s="1156">
        <f t="shared" si="5"/>
        <v>0</v>
      </c>
      <c r="P33" s="1157" t="str">
        <f t="shared" si="6"/>
        <v>2.3.1</v>
      </c>
      <c r="Q33" s="1157" t="str">
        <f t="shared" si="7"/>
        <v xml:space="preserve"> Q1 2.3</v>
      </c>
      <c r="R33" s="1158">
        <f t="shared" si="8"/>
        <v>0</v>
      </c>
      <c r="S33" s="1585">
        <f t="shared" si="16"/>
        <v>0</v>
      </c>
      <c r="T33" s="1585">
        <f t="shared" si="32"/>
        <v>0</v>
      </c>
      <c r="U33" s="1585">
        <f t="shared" si="33"/>
        <v>0</v>
      </c>
      <c r="V33" s="1585">
        <f t="shared" si="34"/>
        <v>0</v>
      </c>
      <c r="W33" s="1585">
        <f t="shared" si="35"/>
        <v>0</v>
      </c>
      <c r="X33" s="1585">
        <f t="shared" si="36"/>
        <v>0</v>
      </c>
      <c r="Y33" s="1585">
        <f t="shared" si="37"/>
        <v>0</v>
      </c>
      <c r="Z33" s="1587">
        <f t="shared" si="38"/>
        <v>0</v>
      </c>
      <c r="AA33" s="1585">
        <f t="shared" si="17"/>
        <v>0</v>
      </c>
      <c r="AB33" s="1585">
        <f t="shared" si="10"/>
        <v>0</v>
      </c>
      <c r="AC33" s="1586">
        <f t="shared" si="11"/>
        <v>0</v>
      </c>
      <c r="AD33" s="1585">
        <f t="shared" si="12"/>
        <v>0</v>
      </c>
      <c r="AE33" s="1585">
        <f t="shared" si="18"/>
        <v>0</v>
      </c>
      <c r="AG33" s="1157" t="s">
        <v>213</v>
      </c>
      <c r="AH33" s="1161" t="s">
        <v>2098</v>
      </c>
      <c r="AI33" s="1158" t="s">
        <v>221</v>
      </c>
      <c r="AJ33" s="1159">
        <v>0.5</v>
      </c>
      <c r="AK33" s="1159">
        <v>0.5</v>
      </c>
      <c r="AL33" s="1159">
        <v>0.5</v>
      </c>
      <c r="AM33" s="1159">
        <v>0.5</v>
      </c>
      <c r="AN33" s="1159">
        <v>0.5</v>
      </c>
      <c r="AO33" s="1159">
        <v>0.5</v>
      </c>
      <c r="AP33" s="1159">
        <v>0.5</v>
      </c>
      <c r="AQ33" s="1173">
        <v>0.5</v>
      </c>
      <c r="AR33" s="1159">
        <v>0.5</v>
      </c>
      <c r="AS33" s="1176">
        <v>0.5</v>
      </c>
      <c r="AT33" s="1164"/>
      <c r="AU33" s="1164"/>
      <c r="AV33" s="1164"/>
      <c r="AX33" s="1157" t="s">
        <v>214</v>
      </c>
      <c r="AY33" s="1161" t="s">
        <v>2098</v>
      </c>
      <c r="AZ33" s="1158" t="s">
        <v>221</v>
      </c>
      <c r="BA33" s="1163"/>
      <c r="BB33" s="1163"/>
      <c r="BC33" s="1163"/>
      <c r="BD33" s="1163"/>
      <c r="BE33" s="1163"/>
      <c r="BF33" s="1163"/>
      <c r="BG33" s="1163"/>
      <c r="BH33" s="1170"/>
      <c r="BI33" s="1163"/>
      <c r="BJ33" s="1163"/>
      <c r="BK33" s="1164"/>
      <c r="BL33" s="1163"/>
      <c r="BM33" s="1163"/>
      <c r="BO33" s="1157" t="s">
        <v>214</v>
      </c>
      <c r="BP33" s="1161" t="s">
        <v>2098</v>
      </c>
      <c r="BQ33" s="1158"/>
      <c r="BR33" s="1191"/>
      <c r="BS33" s="1191"/>
      <c r="BT33" s="1191"/>
      <c r="BU33" s="1191"/>
      <c r="BV33" s="1191"/>
      <c r="BW33" s="1191"/>
      <c r="BX33" s="1191"/>
      <c r="BY33" s="1484">
        <v>0</v>
      </c>
      <c r="BZ33" s="1191"/>
      <c r="CA33" s="1191"/>
      <c r="CB33" s="1193"/>
      <c r="CC33" s="1191"/>
      <c r="CD33" s="1191"/>
      <c r="CE33" s="1658"/>
      <c r="CG33" s="1157" t="s">
        <v>213</v>
      </c>
      <c r="CH33" s="1161" t="s">
        <v>2098</v>
      </c>
      <c r="CI33" s="1158"/>
      <c r="CJ33" s="1531"/>
      <c r="CK33" s="1531"/>
      <c r="CL33" s="1531"/>
      <c r="CM33" s="1531"/>
      <c r="CN33" s="1531"/>
      <c r="CO33" s="1531"/>
      <c r="CP33" s="1531"/>
      <c r="CQ33" s="1534"/>
      <c r="CR33" s="1531"/>
      <c r="CS33" s="1531"/>
      <c r="CT33" s="1533"/>
      <c r="CU33" s="1531"/>
      <c r="CV33" s="1531"/>
      <c r="CX33" s="1157" t="s">
        <v>213</v>
      </c>
      <c r="CY33" s="1161" t="s">
        <v>2098</v>
      </c>
      <c r="CZ33" s="1158"/>
      <c r="DA33" s="1520">
        <f t="shared" si="29"/>
        <v>0</v>
      </c>
      <c r="DB33" s="1520"/>
      <c r="DC33" s="1520"/>
      <c r="DD33" s="1520"/>
      <c r="DE33" s="1520"/>
      <c r="DF33" s="1520"/>
      <c r="DG33" s="1520"/>
      <c r="DH33" s="1630"/>
      <c r="DI33" s="1520"/>
      <c r="DJ33" s="1520"/>
      <c r="DK33" s="1623"/>
      <c r="DL33" s="1520"/>
      <c r="DM33" s="1520"/>
    </row>
    <row r="34" spans="2:117" s="1434" customFormat="1" hidden="1">
      <c r="B34" s="1136" t="str">
        <f t="shared" si="0"/>
        <v>2.3.2</v>
      </c>
      <c r="C34" s="1158">
        <f t="shared" si="1"/>
        <v>0</v>
      </c>
      <c r="D34" s="1146">
        <f>IF(I$32&gt;0,G34/I$32,0)</f>
        <v>0</v>
      </c>
      <c r="E34" s="1146">
        <f>IF(J$32&gt;0,H34/J$32,0)</f>
        <v>0</v>
      </c>
      <c r="G34" s="1156">
        <f t="shared" si="2"/>
        <v>0</v>
      </c>
      <c r="H34" s="1156">
        <f t="shared" si="3"/>
        <v>0</v>
      </c>
      <c r="I34" s="1156"/>
      <c r="J34" s="1156"/>
      <c r="K34" s="1156">
        <f>IF(スコア!Q34=0,0,1)</f>
        <v>0</v>
      </c>
      <c r="L34" s="1156">
        <f>IF(スコア!S34=0,0,1)</f>
        <v>0</v>
      </c>
      <c r="M34" s="1156">
        <f t="shared" si="4"/>
        <v>0</v>
      </c>
      <c r="N34" s="1156">
        <f t="shared" si="5"/>
        <v>0</v>
      </c>
      <c r="P34" s="1157" t="str">
        <f t="shared" si="6"/>
        <v>2.3.2</v>
      </c>
      <c r="Q34" s="1157" t="str">
        <f t="shared" si="7"/>
        <v xml:space="preserve"> Q1 2.3</v>
      </c>
      <c r="R34" s="1158">
        <f t="shared" si="8"/>
        <v>0</v>
      </c>
      <c r="S34" s="1585">
        <f t="shared" si="16"/>
        <v>0</v>
      </c>
      <c r="T34" s="1585">
        <f t="shared" si="32"/>
        <v>0</v>
      </c>
      <c r="U34" s="1585">
        <f t="shared" si="33"/>
        <v>0</v>
      </c>
      <c r="V34" s="1585">
        <f t="shared" si="34"/>
        <v>0</v>
      </c>
      <c r="W34" s="1585">
        <f t="shared" si="35"/>
        <v>0</v>
      </c>
      <c r="X34" s="1585">
        <f t="shared" si="36"/>
        <v>0</v>
      </c>
      <c r="Y34" s="1585">
        <f t="shared" si="37"/>
        <v>0</v>
      </c>
      <c r="Z34" s="1587">
        <f t="shared" si="38"/>
        <v>0</v>
      </c>
      <c r="AA34" s="1585">
        <f t="shared" si="17"/>
        <v>0</v>
      </c>
      <c r="AB34" s="1585">
        <f t="shared" si="10"/>
        <v>0</v>
      </c>
      <c r="AC34" s="1586">
        <f t="shared" si="11"/>
        <v>0</v>
      </c>
      <c r="AD34" s="1585">
        <f t="shared" si="12"/>
        <v>0</v>
      </c>
      <c r="AE34" s="1585">
        <f t="shared" si="18"/>
        <v>0</v>
      </c>
      <c r="AG34" s="1157" t="s">
        <v>215</v>
      </c>
      <c r="AH34" s="1161" t="s">
        <v>2098</v>
      </c>
      <c r="AI34" s="1158" t="s">
        <v>1510</v>
      </c>
      <c r="AJ34" s="1159">
        <v>0.5</v>
      </c>
      <c r="AK34" s="1159">
        <v>0.5</v>
      </c>
      <c r="AL34" s="1159">
        <v>0.5</v>
      </c>
      <c r="AM34" s="1159">
        <v>0.5</v>
      </c>
      <c r="AN34" s="1159">
        <v>0.5</v>
      </c>
      <c r="AO34" s="1159">
        <v>0.5</v>
      </c>
      <c r="AP34" s="1159">
        <v>0.5</v>
      </c>
      <c r="AQ34" s="1159">
        <v>0.5</v>
      </c>
      <c r="AR34" s="1159">
        <v>0.5</v>
      </c>
      <c r="AS34" s="1176">
        <v>0.5</v>
      </c>
      <c r="AT34" s="1164"/>
      <c r="AU34" s="1164"/>
      <c r="AV34" s="1164"/>
      <c r="AX34" s="1157" t="s">
        <v>216</v>
      </c>
      <c r="AY34" s="1161" t="s">
        <v>2098</v>
      </c>
      <c r="AZ34" s="1158" t="s">
        <v>1510</v>
      </c>
      <c r="BA34" s="1163"/>
      <c r="BB34" s="1163"/>
      <c r="BC34" s="1163"/>
      <c r="BD34" s="1163"/>
      <c r="BE34" s="1163"/>
      <c r="BF34" s="1163"/>
      <c r="BG34" s="1163"/>
      <c r="BH34" s="1170"/>
      <c r="BI34" s="1163"/>
      <c r="BJ34" s="1163"/>
      <c r="BK34" s="1164"/>
      <c r="BL34" s="1163"/>
      <c r="BM34" s="1163"/>
      <c r="BO34" s="1157" t="s">
        <v>216</v>
      </c>
      <c r="BP34" s="1161" t="s">
        <v>2098</v>
      </c>
      <c r="BQ34" s="1158"/>
      <c r="BR34" s="1191"/>
      <c r="BS34" s="1191"/>
      <c r="BT34" s="1191"/>
      <c r="BU34" s="1191"/>
      <c r="BV34" s="1191"/>
      <c r="BW34" s="1191"/>
      <c r="BX34" s="1191"/>
      <c r="BY34" s="1484">
        <v>0</v>
      </c>
      <c r="BZ34" s="1191"/>
      <c r="CA34" s="1191"/>
      <c r="CB34" s="1193"/>
      <c r="CC34" s="1191"/>
      <c r="CD34" s="1191"/>
      <c r="CE34" s="1658"/>
      <c r="CG34" s="1157" t="s">
        <v>215</v>
      </c>
      <c r="CH34" s="1161" t="s">
        <v>2098</v>
      </c>
      <c r="CI34" s="1158"/>
      <c r="CJ34" s="1531"/>
      <c r="CK34" s="1531"/>
      <c r="CL34" s="1531"/>
      <c r="CM34" s="1531"/>
      <c r="CN34" s="1531"/>
      <c r="CO34" s="1531"/>
      <c r="CP34" s="1531"/>
      <c r="CQ34" s="1534"/>
      <c r="CR34" s="1531"/>
      <c r="CS34" s="1531"/>
      <c r="CT34" s="1533"/>
      <c r="CU34" s="1531"/>
      <c r="CV34" s="1531"/>
      <c r="CX34" s="1157" t="s">
        <v>215</v>
      </c>
      <c r="CY34" s="1161" t="s">
        <v>2098</v>
      </c>
      <c r="CZ34" s="1158"/>
      <c r="DA34" s="1520">
        <f t="shared" si="29"/>
        <v>0</v>
      </c>
      <c r="DB34" s="1520"/>
      <c r="DC34" s="1520"/>
      <c r="DD34" s="1520"/>
      <c r="DE34" s="1520"/>
      <c r="DF34" s="1520"/>
      <c r="DG34" s="1520"/>
      <c r="DH34" s="1630"/>
      <c r="DI34" s="1520"/>
      <c r="DJ34" s="1520"/>
      <c r="DK34" s="1623"/>
      <c r="DL34" s="1520"/>
      <c r="DM34" s="1520"/>
    </row>
    <row r="35" spans="2:117">
      <c r="B35" s="1136">
        <f t="shared" si="0"/>
        <v>3</v>
      </c>
      <c r="C35" s="1148" t="str">
        <f t="shared" si="1"/>
        <v>光・視環境</v>
      </c>
      <c r="D35" s="1144">
        <f>IF(I$9=0,0,G35/I$9)</f>
        <v>0.25</v>
      </c>
      <c r="E35" s="1145">
        <f>IF(J$9=0,0,H35/J$9)</f>
        <v>0</v>
      </c>
      <c r="G35" s="1145">
        <f t="shared" si="2"/>
        <v>0.25</v>
      </c>
      <c r="H35" s="1145">
        <f t="shared" si="3"/>
        <v>0</v>
      </c>
      <c r="I35" s="1145">
        <f>G36+G40+G44+G47</f>
        <v>1</v>
      </c>
      <c r="J35" s="1145">
        <f>H36+H40+H44+H47</f>
        <v>0.39999999999999997</v>
      </c>
      <c r="K35" s="1145">
        <f>IF(L35&gt;0,1,IF(スコア!Q35=0,0,1))</f>
        <v>1</v>
      </c>
      <c r="L35" s="1145">
        <f>IF(スコア!S35=0,0,1)</f>
        <v>1</v>
      </c>
      <c r="M35" s="1145">
        <f t="shared" si="4"/>
        <v>0.25</v>
      </c>
      <c r="N35" s="1145">
        <f t="shared" si="5"/>
        <v>0</v>
      </c>
      <c r="P35" s="1147">
        <f t="shared" si="6"/>
        <v>3</v>
      </c>
      <c r="Q35" s="1147" t="str">
        <f t="shared" si="7"/>
        <v xml:space="preserve"> Q1</v>
      </c>
      <c r="R35" s="1148" t="str">
        <f t="shared" si="8"/>
        <v>光・視環境</v>
      </c>
      <c r="S35" s="1582">
        <f t="shared" si="16"/>
        <v>0.25</v>
      </c>
      <c r="T35" s="1582">
        <f t="shared" si="32"/>
        <v>0.25</v>
      </c>
      <c r="U35" s="1582">
        <f t="shared" si="33"/>
        <v>0.25</v>
      </c>
      <c r="V35" s="1582">
        <f t="shared" si="34"/>
        <v>0.25</v>
      </c>
      <c r="W35" s="1582">
        <f t="shared" si="35"/>
        <v>0.25</v>
      </c>
      <c r="X35" s="1582">
        <f t="shared" si="36"/>
        <v>0.25</v>
      </c>
      <c r="Y35" s="1582">
        <f t="shared" si="37"/>
        <v>0.25</v>
      </c>
      <c r="Z35" s="1588">
        <f t="shared" si="38"/>
        <v>0.25</v>
      </c>
      <c r="AA35" s="1582">
        <f t="shared" si="17"/>
        <v>0.25</v>
      </c>
      <c r="AB35" s="1582">
        <f t="shared" si="10"/>
        <v>0.25</v>
      </c>
      <c r="AC35" s="1584">
        <f t="shared" si="11"/>
        <v>0</v>
      </c>
      <c r="AD35" s="1582">
        <f t="shared" si="12"/>
        <v>0</v>
      </c>
      <c r="AE35" s="1582">
        <f t="shared" si="18"/>
        <v>0</v>
      </c>
      <c r="AG35" s="1147">
        <v>3</v>
      </c>
      <c r="AH35" s="1151" t="s">
        <v>781</v>
      </c>
      <c r="AI35" s="1148" t="s">
        <v>776</v>
      </c>
      <c r="AJ35" s="1149">
        <v>0.25</v>
      </c>
      <c r="AK35" s="1149">
        <v>0.25</v>
      </c>
      <c r="AL35" s="1149">
        <v>0.25</v>
      </c>
      <c r="AM35" s="1149">
        <v>0.25</v>
      </c>
      <c r="AN35" s="1149">
        <v>0.25</v>
      </c>
      <c r="AO35" s="1149">
        <v>0.25</v>
      </c>
      <c r="AP35" s="1149">
        <v>0.25</v>
      </c>
      <c r="AQ35" s="1171">
        <v>0</v>
      </c>
      <c r="AR35" s="1149">
        <v>0.25</v>
      </c>
      <c r="AS35" s="1152">
        <v>0.25</v>
      </c>
      <c r="AT35" s="1153"/>
      <c r="AU35" s="1152"/>
      <c r="AV35" s="1152"/>
      <c r="AX35" s="1147">
        <v>3</v>
      </c>
      <c r="AY35" s="1151" t="s">
        <v>781</v>
      </c>
      <c r="AZ35" s="1148" t="s">
        <v>776</v>
      </c>
      <c r="BA35" s="1152">
        <v>0.25</v>
      </c>
      <c r="BB35" s="1152">
        <v>0.25</v>
      </c>
      <c r="BC35" s="1152">
        <v>0.25</v>
      </c>
      <c r="BD35" s="1152">
        <v>0.25</v>
      </c>
      <c r="BE35" s="1152">
        <v>0.25</v>
      </c>
      <c r="BF35" s="1152">
        <v>0.25</v>
      </c>
      <c r="BG35" s="1152">
        <v>0.25</v>
      </c>
      <c r="BH35" s="1172"/>
      <c r="BI35" s="1152">
        <v>0.25</v>
      </c>
      <c r="BJ35" s="1152">
        <v>0.25</v>
      </c>
      <c r="BK35" s="1153"/>
      <c r="BL35" s="1152"/>
      <c r="BM35" s="1152"/>
      <c r="BO35" s="1147">
        <v>3</v>
      </c>
      <c r="BP35" s="1151" t="s">
        <v>781</v>
      </c>
      <c r="BQ35" s="1148" t="s">
        <v>776</v>
      </c>
      <c r="BR35" s="1152">
        <v>0.25</v>
      </c>
      <c r="BS35" s="1152">
        <v>0.25</v>
      </c>
      <c r="BT35" s="1152">
        <v>0.25</v>
      </c>
      <c r="BU35" s="1152">
        <v>0.25</v>
      </c>
      <c r="BV35" s="1152">
        <v>0.25</v>
      </c>
      <c r="BW35" s="1152">
        <v>0.25</v>
      </c>
      <c r="BX35" s="1152">
        <v>0.25</v>
      </c>
      <c r="BY35" s="1478">
        <v>0.25</v>
      </c>
      <c r="BZ35" s="1152">
        <v>0.25</v>
      </c>
      <c r="CA35" s="1152">
        <v>0.25</v>
      </c>
      <c r="CB35" s="1153"/>
      <c r="CC35" s="1152"/>
      <c r="CD35" s="1152"/>
      <c r="CE35" s="1381"/>
      <c r="CG35" s="1147">
        <v>3</v>
      </c>
      <c r="CH35" s="1151" t="s">
        <v>781</v>
      </c>
      <c r="CI35" s="1148" t="s">
        <v>776</v>
      </c>
      <c r="CJ35" s="1528">
        <f t="shared" si="19"/>
        <v>0.25</v>
      </c>
      <c r="CK35" s="1528">
        <f t="shared" si="20"/>
        <v>0.25</v>
      </c>
      <c r="CL35" s="1528">
        <f t="shared" si="21"/>
        <v>0.25</v>
      </c>
      <c r="CM35" s="1528">
        <f t="shared" si="22"/>
        <v>0.25</v>
      </c>
      <c r="CN35" s="1528">
        <f t="shared" si="23"/>
        <v>0.25</v>
      </c>
      <c r="CO35" s="1528">
        <f t="shared" si="24"/>
        <v>0.25</v>
      </c>
      <c r="CP35" s="1528">
        <f t="shared" si="25"/>
        <v>0.25</v>
      </c>
      <c r="CQ35" s="1535">
        <f t="shared" si="26"/>
        <v>0.25</v>
      </c>
      <c r="CR35" s="1528">
        <f t="shared" si="27"/>
        <v>0.25</v>
      </c>
      <c r="CS35" s="1528">
        <f t="shared" si="28"/>
        <v>0.25</v>
      </c>
      <c r="CT35" s="1530">
        <f t="shared" si="13"/>
        <v>0</v>
      </c>
      <c r="CU35" s="1528">
        <f t="shared" si="14"/>
        <v>0</v>
      </c>
      <c r="CV35" s="1528">
        <f t="shared" si="15"/>
        <v>0</v>
      </c>
      <c r="CX35" s="1147">
        <v>3</v>
      </c>
      <c r="CY35" s="1151" t="s">
        <v>781</v>
      </c>
      <c r="CZ35" s="1148" t="s">
        <v>776</v>
      </c>
      <c r="DA35" s="1518">
        <f t="shared" si="29"/>
        <v>0.25</v>
      </c>
      <c r="DB35" s="1518"/>
      <c r="DC35" s="1518"/>
      <c r="DD35" s="1518"/>
      <c r="DE35" s="1518"/>
      <c r="DF35" s="1518"/>
      <c r="DG35" s="1518"/>
      <c r="DH35" s="1624"/>
      <c r="DI35" s="1518"/>
      <c r="DJ35" s="1518"/>
      <c r="DK35" s="1519"/>
      <c r="DL35" s="1518"/>
      <c r="DM35" s="1518"/>
    </row>
    <row r="36" spans="2:117">
      <c r="B36" s="1136">
        <f t="shared" si="0"/>
        <v>3.1</v>
      </c>
      <c r="C36" s="1158" t="str">
        <f t="shared" si="1"/>
        <v>昼光利用</v>
      </c>
      <c r="D36" s="1155">
        <f>IF(I$35=0,0,G36/I$35)</f>
        <v>0.3</v>
      </c>
      <c r="E36" s="1156">
        <f>IF(J$35=0,0,H36/J$35)</f>
        <v>0.5</v>
      </c>
      <c r="G36" s="1156">
        <f t="shared" si="2"/>
        <v>0.3</v>
      </c>
      <c r="H36" s="1156">
        <f t="shared" si="3"/>
        <v>0.19999999999999998</v>
      </c>
      <c r="I36" s="1156">
        <f>SUM(G37:G39)</f>
        <v>0.4</v>
      </c>
      <c r="J36" s="1156">
        <f>SUM(H37:H39)</f>
        <v>0.66666666666666663</v>
      </c>
      <c r="K36" s="1156">
        <f>IF(スコア!Q36=0,0,1)</f>
        <v>1</v>
      </c>
      <c r="L36" s="1156">
        <f>IF(スコア!S36=0,0,1)</f>
        <v>1</v>
      </c>
      <c r="M36" s="1156">
        <f t="shared" si="4"/>
        <v>0.3</v>
      </c>
      <c r="N36" s="1156">
        <f t="shared" si="5"/>
        <v>0.19999999999999998</v>
      </c>
      <c r="P36" s="1157">
        <f t="shared" si="6"/>
        <v>3.1</v>
      </c>
      <c r="Q36" s="1157" t="str">
        <f t="shared" si="7"/>
        <v xml:space="preserve"> Q1 3</v>
      </c>
      <c r="R36" s="1158" t="str">
        <f t="shared" si="8"/>
        <v>昼光利用</v>
      </c>
      <c r="S36" s="1585">
        <f t="shared" si="16"/>
        <v>0.3</v>
      </c>
      <c r="T36" s="1585">
        <f t="shared" si="32"/>
        <v>0.3</v>
      </c>
      <c r="U36" s="1585">
        <f t="shared" si="33"/>
        <v>0.5</v>
      </c>
      <c r="V36" s="1585">
        <f t="shared" si="34"/>
        <v>1</v>
      </c>
      <c r="W36" s="1585">
        <f t="shared" si="35"/>
        <v>0.3</v>
      </c>
      <c r="X36" s="1585">
        <f t="shared" si="36"/>
        <v>0.3</v>
      </c>
      <c r="Y36" s="1585">
        <f t="shared" si="37"/>
        <v>0.3</v>
      </c>
      <c r="Z36" s="1589">
        <f t="shared" si="38"/>
        <v>0.3</v>
      </c>
      <c r="AA36" s="1585">
        <f t="shared" si="17"/>
        <v>0.3</v>
      </c>
      <c r="AB36" s="1585">
        <f t="shared" si="10"/>
        <v>0.3</v>
      </c>
      <c r="AC36" s="1586">
        <f t="shared" si="11"/>
        <v>0.3</v>
      </c>
      <c r="AD36" s="1585">
        <f t="shared" si="12"/>
        <v>0.3</v>
      </c>
      <c r="AE36" s="1585">
        <f t="shared" si="18"/>
        <v>0.3</v>
      </c>
      <c r="AG36" s="1157">
        <v>3.1</v>
      </c>
      <c r="AH36" s="1161" t="s">
        <v>2099</v>
      </c>
      <c r="AI36" s="1158" t="s">
        <v>1512</v>
      </c>
      <c r="AJ36" s="1159">
        <v>0.3</v>
      </c>
      <c r="AK36" s="1159">
        <v>0.3</v>
      </c>
      <c r="AL36" s="1159">
        <v>0.5</v>
      </c>
      <c r="AM36" s="1159">
        <v>1</v>
      </c>
      <c r="AN36" s="1159">
        <v>0.3</v>
      </c>
      <c r="AO36" s="1159">
        <v>0.3</v>
      </c>
      <c r="AP36" s="1159">
        <v>0.3</v>
      </c>
      <c r="AQ36" s="1173"/>
      <c r="AR36" s="1159">
        <v>0.3</v>
      </c>
      <c r="AS36" s="1163">
        <v>0.3</v>
      </c>
      <c r="AT36" s="1164">
        <v>0.3</v>
      </c>
      <c r="AU36" s="1163">
        <v>0.3</v>
      </c>
      <c r="AV36" s="1163">
        <v>0.3</v>
      </c>
      <c r="AX36" s="1157">
        <v>3.1</v>
      </c>
      <c r="AY36" s="1161" t="s">
        <v>2099</v>
      </c>
      <c r="AZ36" s="1158" t="s">
        <v>1512</v>
      </c>
      <c r="BA36" s="1163">
        <v>0.3</v>
      </c>
      <c r="BB36" s="1163">
        <v>0.3</v>
      </c>
      <c r="BC36" s="1163">
        <v>0.5</v>
      </c>
      <c r="BD36" s="1163">
        <v>1</v>
      </c>
      <c r="BE36" s="1163">
        <v>0.3</v>
      </c>
      <c r="BF36" s="1163">
        <v>0.3</v>
      </c>
      <c r="BG36" s="1163">
        <v>0.3</v>
      </c>
      <c r="BH36" s="1165"/>
      <c r="BI36" s="1163">
        <v>0.3</v>
      </c>
      <c r="BJ36" s="1163">
        <v>0.3</v>
      </c>
      <c r="BK36" s="1164">
        <v>0.3</v>
      </c>
      <c r="BL36" s="1163">
        <v>0.3</v>
      </c>
      <c r="BM36" s="1163">
        <v>0.3</v>
      </c>
      <c r="BO36" s="1157">
        <v>3.1</v>
      </c>
      <c r="BP36" s="1161" t="s">
        <v>2099</v>
      </c>
      <c r="BQ36" s="1158" t="s">
        <v>1512</v>
      </c>
      <c r="BR36" s="1163">
        <v>0.3</v>
      </c>
      <c r="BS36" s="1163">
        <v>0.3</v>
      </c>
      <c r="BT36" s="1163">
        <v>0.5</v>
      </c>
      <c r="BU36" s="1163">
        <v>1</v>
      </c>
      <c r="BV36" s="1163">
        <v>0.3</v>
      </c>
      <c r="BW36" s="1163">
        <v>0.3</v>
      </c>
      <c r="BX36" s="1163">
        <v>0.3</v>
      </c>
      <c r="BY36" s="1481">
        <v>0.3</v>
      </c>
      <c r="BZ36" s="1163">
        <v>0.3</v>
      </c>
      <c r="CA36" s="1163">
        <v>0.3</v>
      </c>
      <c r="CB36" s="1164">
        <v>0.3</v>
      </c>
      <c r="CC36" s="1163">
        <v>0.3</v>
      </c>
      <c r="CD36" s="1163">
        <v>0.3</v>
      </c>
      <c r="CE36" s="1382"/>
      <c r="CG36" s="1157">
        <v>3.1</v>
      </c>
      <c r="CH36" s="1161" t="s">
        <v>2099</v>
      </c>
      <c r="CI36" s="1158" t="s">
        <v>1512</v>
      </c>
      <c r="CJ36" s="1531">
        <f t="shared" si="19"/>
        <v>0.3</v>
      </c>
      <c r="CK36" s="1531">
        <f t="shared" si="20"/>
        <v>0.3</v>
      </c>
      <c r="CL36" s="1531">
        <f t="shared" si="21"/>
        <v>0.5</v>
      </c>
      <c r="CM36" s="1531">
        <f t="shared" si="22"/>
        <v>1</v>
      </c>
      <c r="CN36" s="1531">
        <f t="shared" si="23"/>
        <v>0.3</v>
      </c>
      <c r="CO36" s="1531">
        <f t="shared" si="24"/>
        <v>0.3</v>
      </c>
      <c r="CP36" s="1531">
        <f t="shared" si="25"/>
        <v>0.3</v>
      </c>
      <c r="CQ36" s="1531">
        <f t="shared" si="25"/>
        <v>0.3</v>
      </c>
      <c r="CR36" s="1531">
        <f t="shared" si="27"/>
        <v>0.3</v>
      </c>
      <c r="CS36" s="1531">
        <f t="shared" si="28"/>
        <v>0.3</v>
      </c>
      <c r="CT36" s="1533">
        <f t="shared" si="13"/>
        <v>0.3</v>
      </c>
      <c r="CU36" s="1531">
        <f t="shared" si="14"/>
        <v>0.3</v>
      </c>
      <c r="CV36" s="1531">
        <f t="shared" si="15"/>
        <v>0.3</v>
      </c>
      <c r="CX36" s="1157">
        <v>3.1</v>
      </c>
      <c r="CY36" s="1161" t="s">
        <v>2099</v>
      </c>
      <c r="CZ36" s="1158" t="s">
        <v>1512</v>
      </c>
      <c r="DA36" s="1520">
        <f t="shared" si="29"/>
        <v>0.3</v>
      </c>
      <c r="DB36" s="1520"/>
      <c r="DC36" s="1520"/>
      <c r="DD36" s="1520"/>
      <c r="DE36" s="1520"/>
      <c r="DF36" s="1520"/>
      <c r="DG36" s="1520"/>
      <c r="DH36" s="1520"/>
      <c r="DI36" s="1520"/>
      <c r="DJ36" s="1520"/>
      <c r="DK36" s="1623"/>
      <c r="DL36" s="1520"/>
      <c r="DM36" s="1520"/>
    </row>
    <row r="37" spans="2:117">
      <c r="B37" s="1136" t="str">
        <f t="shared" si="0"/>
        <v>3.1.1</v>
      </c>
      <c r="C37" s="1158" t="str">
        <f t="shared" si="1"/>
        <v>昼光率</v>
      </c>
      <c r="D37" s="1146">
        <f t="shared" ref="D37:E39" si="41">IF(I$36&gt;0,G37/I$36,0)</f>
        <v>0</v>
      </c>
      <c r="E37" s="1156">
        <f t="shared" si="41"/>
        <v>0.5</v>
      </c>
      <c r="G37" s="1156">
        <f t="shared" si="2"/>
        <v>0</v>
      </c>
      <c r="H37" s="1156">
        <f t="shared" si="3"/>
        <v>0.33333333333333331</v>
      </c>
      <c r="I37" s="1156"/>
      <c r="J37" s="1156"/>
      <c r="K37" s="1156">
        <f>IF(スコア!Q37=0,0,1)</f>
        <v>0</v>
      </c>
      <c r="L37" s="1156">
        <f>IF(スコア!S37=0,0,1)</f>
        <v>1</v>
      </c>
      <c r="M37" s="1156">
        <f t="shared" si="4"/>
        <v>0.6</v>
      </c>
      <c r="N37" s="1156">
        <f t="shared" si="5"/>
        <v>0.33333333333333331</v>
      </c>
      <c r="P37" s="1157" t="str">
        <f t="shared" si="6"/>
        <v>3.1.1</v>
      </c>
      <c r="Q37" s="1157" t="str">
        <f t="shared" si="7"/>
        <v xml:space="preserve"> Q1 3.1</v>
      </c>
      <c r="R37" s="1158" t="str">
        <f t="shared" si="8"/>
        <v>昼光率</v>
      </c>
      <c r="S37" s="1585">
        <f t="shared" si="16"/>
        <v>0.6</v>
      </c>
      <c r="T37" s="1585">
        <f t="shared" si="32"/>
        <v>0.6</v>
      </c>
      <c r="U37" s="1585">
        <f t="shared" si="33"/>
        <v>0</v>
      </c>
      <c r="V37" s="1585">
        <f t="shared" si="34"/>
        <v>0</v>
      </c>
      <c r="W37" s="1585">
        <f t="shared" si="35"/>
        <v>0.6</v>
      </c>
      <c r="X37" s="1585">
        <f t="shared" si="36"/>
        <v>0.6</v>
      </c>
      <c r="Y37" s="1585">
        <f t="shared" si="37"/>
        <v>0.6</v>
      </c>
      <c r="Z37" s="1589">
        <f t="shared" si="38"/>
        <v>0.6</v>
      </c>
      <c r="AA37" s="1585">
        <f t="shared" si="17"/>
        <v>0.6</v>
      </c>
      <c r="AB37" s="1585">
        <f t="shared" si="10"/>
        <v>0.6</v>
      </c>
      <c r="AC37" s="1586">
        <f t="shared" si="11"/>
        <v>0.6</v>
      </c>
      <c r="AD37" s="1585">
        <f t="shared" si="12"/>
        <v>0.6</v>
      </c>
      <c r="AE37" s="1585">
        <f t="shared" si="18"/>
        <v>0.5</v>
      </c>
      <c r="AG37" s="1157" t="s">
        <v>928</v>
      </c>
      <c r="AH37" s="1161" t="s">
        <v>2100</v>
      </c>
      <c r="AI37" s="1158" t="s">
        <v>2101</v>
      </c>
      <c r="AJ37" s="1159">
        <v>0.6</v>
      </c>
      <c r="AK37" s="1159">
        <v>0.6</v>
      </c>
      <c r="AL37" s="1159"/>
      <c r="AM37" s="1159"/>
      <c r="AN37" s="1159">
        <v>0.6</v>
      </c>
      <c r="AO37" s="1159">
        <v>0.6</v>
      </c>
      <c r="AP37" s="1159">
        <v>0.6</v>
      </c>
      <c r="AQ37" s="1173"/>
      <c r="AR37" s="1159">
        <v>0.6</v>
      </c>
      <c r="AS37" s="1163">
        <v>0.6</v>
      </c>
      <c r="AT37" s="1164">
        <v>0.6</v>
      </c>
      <c r="AU37" s="1163">
        <v>0.6</v>
      </c>
      <c r="AV37" s="1163">
        <v>0.5</v>
      </c>
      <c r="AX37" s="1157" t="s">
        <v>928</v>
      </c>
      <c r="AY37" s="1161" t="s">
        <v>2100</v>
      </c>
      <c r="AZ37" s="1158" t="s">
        <v>2101</v>
      </c>
      <c r="BA37" s="1163">
        <v>0.6</v>
      </c>
      <c r="BB37" s="1163">
        <v>0.6</v>
      </c>
      <c r="BC37" s="1163"/>
      <c r="BD37" s="1163"/>
      <c r="BE37" s="1163">
        <v>0.6</v>
      </c>
      <c r="BF37" s="1163">
        <v>0.6</v>
      </c>
      <c r="BG37" s="1163">
        <v>0.6</v>
      </c>
      <c r="BH37" s="1165"/>
      <c r="BI37" s="1163">
        <v>0.6</v>
      </c>
      <c r="BJ37" s="1163">
        <v>0.6</v>
      </c>
      <c r="BK37" s="1164">
        <v>0.6</v>
      </c>
      <c r="BL37" s="1163">
        <v>0.6</v>
      </c>
      <c r="BM37" s="1163">
        <v>0.5</v>
      </c>
      <c r="BO37" s="1157" t="s">
        <v>928</v>
      </c>
      <c r="BP37" s="1161" t="s">
        <v>2100</v>
      </c>
      <c r="BQ37" s="1158" t="s">
        <v>2101</v>
      </c>
      <c r="BR37" s="1163">
        <v>0.6</v>
      </c>
      <c r="BS37" s="1163">
        <v>0.6</v>
      </c>
      <c r="BT37" s="1163"/>
      <c r="BU37" s="1163"/>
      <c r="BV37" s="1163">
        <v>0.6</v>
      </c>
      <c r="BW37" s="1163">
        <v>0.6</v>
      </c>
      <c r="BX37" s="1163">
        <v>0.6</v>
      </c>
      <c r="BY37" s="1479">
        <v>0.6</v>
      </c>
      <c r="BZ37" s="1163">
        <v>0.6</v>
      </c>
      <c r="CA37" s="1163">
        <v>0.6</v>
      </c>
      <c r="CB37" s="1164">
        <v>0.6</v>
      </c>
      <c r="CC37" s="1163">
        <v>0.6</v>
      </c>
      <c r="CD37" s="1163">
        <v>0.5</v>
      </c>
      <c r="CE37" s="1382"/>
      <c r="CG37" s="1157" t="s">
        <v>928</v>
      </c>
      <c r="CH37" s="1161" t="s">
        <v>2100</v>
      </c>
      <c r="CI37" s="1158" t="s">
        <v>2101</v>
      </c>
      <c r="CJ37" s="1531">
        <f t="shared" si="19"/>
        <v>0.6</v>
      </c>
      <c r="CK37" s="1531">
        <f t="shared" si="20"/>
        <v>0.6</v>
      </c>
      <c r="CL37" s="1531">
        <f t="shared" si="21"/>
        <v>0</v>
      </c>
      <c r="CM37" s="1531">
        <f t="shared" si="22"/>
        <v>0</v>
      </c>
      <c r="CN37" s="1531">
        <f t="shared" si="23"/>
        <v>0.6</v>
      </c>
      <c r="CO37" s="1531">
        <f t="shared" si="24"/>
        <v>0.6</v>
      </c>
      <c r="CP37" s="1531">
        <f t="shared" si="25"/>
        <v>0.6</v>
      </c>
      <c r="CQ37" s="1531">
        <f t="shared" si="25"/>
        <v>0.6</v>
      </c>
      <c r="CR37" s="1531">
        <f t="shared" si="27"/>
        <v>0.6</v>
      </c>
      <c r="CS37" s="1531">
        <f t="shared" si="28"/>
        <v>0.6</v>
      </c>
      <c r="CT37" s="1533">
        <f t="shared" si="13"/>
        <v>0.6</v>
      </c>
      <c r="CU37" s="1531">
        <f t="shared" si="14"/>
        <v>0.6</v>
      </c>
      <c r="CV37" s="1531">
        <f t="shared" si="15"/>
        <v>0.5</v>
      </c>
      <c r="CX37" s="1157" t="s">
        <v>928</v>
      </c>
      <c r="CY37" s="1161" t="s">
        <v>2100</v>
      </c>
      <c r="CZ37" s="1158" t="s">
        <v>2101</v>
      </c>
      <c r="DA37" s="1520">
        <f t="shared" si="29"/>
        <v>0.6</v>
      </c>
      <c r="DB37" s="1520"/>
      <c r="DC37" s="1520"/>
      <c r="DD37" s="1520"/>
      <c r="DE37" s="1520"/>
      <c r="DF37" s="1520"/>
      <c r="DG37" s="1520"/>
      <c r="DH37" s="1520"/>
      <c r="DI37" s="1520"/>
      <c r="DJ37" s="1520"/>
      <c r="DK37" s="1623"/>
      <c r="DL37" s="1520"/>
      <c r="DM37" s="1520"/>
    </row>
    <row r="38" spans="2:117">
      <c r="B38" s="1136" t="str">
        <f t="shared" si="0"/>
        <v>3.1.2</v>
      </c>
      <c r="C38" s="1158" t="str">
        <f t="shared" si="1"/>
        <v>方位別開口</v>
      </c>
      <c r="D38" s="1146">
        <f t="shared" si="41"/>
        <v>0</v>
      </c>
      <c r="E38" s="1156">
        <f t="shared" si="41"/>
        <v>0.3</v>
      </c>
      <c r="G38" s="1156">
        <f t="shared" si="2"/>
        <v>0</v>
      </c>
      <c r="H38" s="1156">
        <f t="shared" si="3"/>
        <v>0.19999999999999998</v>
      </c>
      <c r="I38" s="1156"/>
      <c r="J38" s="1156"/>
      <c r="K38" s="1156">
        <f>IF(スコア!Q38=0,0,1)</f>
        <v>0</v>
      </c>
      <c r="L38" s="1156">
        <f>IF(スコア!S38=0,0,1)</f>
        <v>1</v>
      </c>
      <c r="M38" s="1156">
        <f t="shared" si="4"/>
        <v>0</v>
      </c>
      <c r="N38" s="1156">
        <f t="shared" si="5"/>
        <v>0.19999999999999998</v>
      </c>
      <c r="P38" s="1157" t="str">
        <f t="shared" si="6"/>
        <v>3.1.2</v>
      </c>
      <c r="Q38" s="1157" t="str">
        <f t="shared" si="7"/>
        <v xml:space="preserve"> Q1 3.1</v>
      </c>
      <c r="R38" s="1158" t="str">
        <f t="shared" si="8"/>
        <v>方位別開口</v>
      </c>
      <c r="S38" s="1585">
        <f t="shared" si="16"/>
        <v>0</v>
      </c>
      <c r="T38" s="1585">
        <f t="shared" si="32"/>
        <v>0</v>
      </c>
      <c r="U38" s="1585">
        <f t="shared" si="33"/>
        <v>0</v>
      </c>
      <c r="V38" s="1585">
        <f t="shared" si="34"/>
        <v>0</v>
      </c>
      <c r="W38" s="1585">
        <f t="shared" si="35"/>
        <v>0</v>
      </c>
      <c r="X38" s="1585">
        <f t="shared" si="36"/>
        <v>0</v>
      </c>
      <c r="Y38" s="1585">
        <f t="shared" si="37"/>
        <v>0</v>
      </c>
      <c r="Z38" s="1589">
        <f t="shared" si="38"/>
        <v>0</v>
      </c>
      <c r="AA38" s="1585">
        <f t="shared" si="17"/>
        <v>0</v>
      </c>
      <c r="AB38" s="1585">
        <f t="shared" si="10"/>
        <v>0</v>
      </c>
      <c r="AC38" s="1586">
        <f t="shared" si="11"/>
        <v>0</v>
      </c>
      <c r="AD38" s="1585">
        <f t="shared" si="12"/>
        <v>0</v>
      </c>
      <c r="AE38" s="1585">
        <f t="shared" si="18"/>
        <v>0.3</v>
      </c>
      <c r="AG38" s="1157" t="s">
        <v>929</v>
      </c>
      <c r="AH38" s="1161" t="s">
        <v>2100</v>
      </c>
      <c r="AI38" s="1158" t="s">
        <v>2102</v>
      </c>
      <c r="AJ38" s="1159"/>
      <c r="AK38" s="1159"/>
      <c r="AL38" s="1159"/>
      <c r="AM38" s="1159"/>
      <c r="AN38" s="1159"/>
      <c r="AO38" s="1159"/>
      <c r="AP38" s="1159"/>
      <c r="AQ38" s="1173"/>
      <c r="AR38" s="1159"/>
      <c r="AS38" s="1163"/>
      <c r="AT38" s="1164"/>
      <c r="AU38" s="1163"/>
      <c r="AV38" s="1163">
        <v>0.3</v>
      </c>
      <c r="AX38" s="1157" t="s">
        <v>929</v>
      </c>
      <c r="AY38" s="1161" t="s">
        <v>2100</v>
      </c>
      <c r="AZ38" s="1158" t="s">
        <v>2102</v>
      </c>
      <c r="BA38" s="1163"/>
      <c r="BB38" s="1163"/>
      <c r="BC38" s="1163"/>
      <c r="BD38" s="1163"/>
      <c r="BE38" s="1163"/>
      <c r="BF38" s="1163"/>
      <c r="BG38" s="1163"/>
      <c r="BH38" s="1165"/>
      <c r="BI38" s="1163"/>
      <c r="BJ38" s="1163"/>
      <c r="BK38" s="1164"/>
      <c r="BL38" s="1163"/>
      <c r="BM38" s="1163">
        <v>0.3</v>
      </c>
      <c r="BO38" s="1157" t="s">
        <v>929</v>
      </c>
      <c r="BP38" s="1161" t="s">
        <v>2100</v>
      </c>
      <c r="BQ38" s="1158" t="s">
        <v>2102</v>
      </c>
      <c r="BR38" s="1163"/>
      <c r="BS38" s="1163"/>
      <c r="BT38" s="1163"/>
      <c r="BU38" s="1163"/>
      <c r="BV38" s="1163"/>
      <c r="BW38" s="1163"/>
      <c r="BX38" s="1163"/>
      <c r="BY38" s="1479"/>
      <c r="BZ38" s="1163"/>
      <c r="CA38" s="1163"/>
      <c r="CB38" s="1164"/>
      <c r="CC38" s="1163"/>
      <c r="CD38" s="1163">
        <v>0.3</v>
      </c>
      <c r="CE38" s="1382"/>
      <c r="CG38" s="1157" t="s">
        <v>929</v>
      </c>
      <c r="CH38" s="1161" t="s">
        <v>2100</v>
      </c>
      <c r="CI38" s="1158" t="s">
        <v>2102</v>
      </c>
      <c r="CJ38" s="1531">
        <f t="shared" si="19"/>
        <v>0</v>
      </c>
      <c r="CK38" s="1531">
        <f t="shared" si="20"/>
        <v>0</v>
      </c>
      <c r="CL38" s="1531">
        <f t="shared" si="21"/>
        <v>0</v>
      </c>
      <c r="CM38" s="1531">
        <f t="shared" si="22"/>
        <v>0</v>
      </c>
      <c r="CN38" s="1531">
        <f t="shared" si="23"/>
        <v>0</v>
      </c>
      <c r="CO38" s="1531">
        <f t="shared" si="24"/>
        <v>0</v>
      </c>
      <c r="CP38" s="1531">
        <f t="shared" si="25"/>
        <v>0</v>
      </c>
      <c r="CQ38" s="1531">
        <f t="shared" si="25"/>
        <v>0</v>
      </c>
      <c r="CR38" s="1531">
        <f t="shared" si="27"/>
        <v>0</v>
      </c>
      <c r="CS38" s="1531">
        <f t="shared" si="28"/>
        <v>0</v>
      </c>
      <c r="CT38" s="1533">
        <f t="shared" si="13"/>
        <v>0</v>
      </c>
      <c r="CU38" s="1531">
        <f t="shared" si="14"/>
        <v>0</v>
      </c>
      <c r="CV38" s="1531">
        <f t="shared" si="15"/>
        <v>0.3</v>
      </c>
      <c r="CX38" s="1157" t="s">
        <v>929</v>
      </c>
      <c r="CY38" s="1161" t="s">
        <v>2100</v>
      </c>
      <c r="CZ38" s="1158" t="s">
        <v>2102</v>
      </c>
      <c r="DA38" s="1520">
        <f t="shared" si="29"/>
        <v>0</v>
      </c>
      <c r="DB38" s="1520"/>
      <c r="DC38" s="1520"/>
      <c r="DD38" s="1520"/>
      <c r="DE38" s="1520"/>
      <c r="DF38" s="1520"/>
      <c r="DG38" s="1520"/>
      <c r="DH38" s="1520"/>
      <c r="DI38" s="1520"/>
      <c r="DJ38" s="1520"/>
      <c r="DK38" s="1623"/>
      <c r="DL38" s="1520"/>
      <c r="DM38" s="1520"/>
    </row>
    <row r="39" spans="2:117">
      <c r="B39" s="1136" t="str">
        <f t="shared" si="0"/>
        <v>3.1.3</v>
      </c>
      <c r="C39" s="1158" t="str">
        <f t="shared" si="1"/>
        <v>昼光利用設備</v>
      </c>
      <c r="D39" s="1146">
        <f t="shared" si="41"/>
        <v>1</v>
      </c>
      <c r="E39" s="1156">
        <f t="shared" si="41"/>
        <v>0.2</v>
      </c>
      <c r="G39" s="1156">
        <f t="shared" si="2"/>
        <v>0.4</v>
      </c>
      <c r="H39" s="1156">
        <f t="shared" si="3"/>
        <v>0.13333333333333333</v>
      </c>
      <c r="I39" s="1156"/>
      <c r="J39" s="1156"/>
      <c r="K39" s="1156">
        <f>IF(スコア!Q39=0,0,1)</f>
        <v>1</v>
      </c>
      <c r="L39" s="1156">
        <f>IF(スコア!S39=0,0,1)</f>
        <v>1</v>
      </c>
      <c r="M39" s="1156">
        <f t="shared" si="4"/>
        <v>0.4</v>
      </c>
      <c r="N39" s="1156">
        <f t="shared" si="5"/>
        <v>0.13333333333333333</v>
      </c>
      <c r="P39" s="1157" t="str">
        <f t="shared" si="6"/>
        <v>3.1.3</v>
      </c>
      <c r="Q39" s="1157" t="str">
        <f t="shared" si="7"/>
        <v xml:space="preserve"> Q1 3.1</v>
      </c>
      <c r="R39" s="1158" t="str">
        <f t="shared" si="8"/>
        <v>昼光利用設備</v>
      </c>
      <c r="S39" s="1585">
        <f t="shared" si="16"/>
        <v>0.4</v>
      </c>
      <c r="T39" s="1585">
        <f t="shared" si="32"/>
        <v>0.4</v>
      </c>
      <c r="U39" s="1585">
        <f t="shared" si="33"/>
        <v>1</v>
      </c>
      <c r="V39" s="1585">
        <f t="shared" si="34"/>
        <v>1</v>
      </c>
      <c r="W39" s="1585">
        <f t="shared" si="35"/>
        <v>0.4</v>
      </c>
      <c r="X39" s="1585">
        <f t="shared" si="36"/>
        <v>0.4</v>
      </c>
      <c r="Y39" s="1585">
        <f t="shared" si="37"/>
        <v>0.4</v>
      </c>
      <c r="Z39" s="1589">
        <f t="shared" si="38"/>
        <v>0.4</v>
      </c>
      <c r="AA39" s="1585">
        <f t="shared" si="17"/>
        <v>0.4</v>
      </c>
      <c r="AB39" s="1585">
        <f t="shared" si="10"/>
        <v>0.4</v>
      </c>
      <c r="AC39" s="1586">
        <f t="shared" si="11"/>
        <v>0.4</v>
      </c>
      <c r="AD39" s="1585">
        <f t="shared" si="12"/>
        <v>0.4</v>
      </c>
      <c r="AE39" s="1585">
        <f t="shared" si="18"/>
        <v>0.2</v>
      </c>
      <c r="AG39" s="1157" t="s">
        <v>930</v>
      </c>
      <c r="AH39" s="1161" t="s">
        <v>2100</v>
      </c>
      <c r="AI39" s="1158" t="s">
        <v>2103</v>
      </c>
      <c r="AJ39" s="1159">
        <v>0.4</v>
      </c>
      <c r="AK39" s="1159">
        <v>0.4</v>
      </c>
      <c r="AL39" s="1159">
        <v>1</v>
      </c>
      <c r="AM39" s="1159">
        <v>1</v>
      </c>
      <c r="AN39" s="1159">
        <v>0.4</v>
      </c>
      <c r="AO39" s="1159">
        <v>0.4</v>
      </c>
      <c r="AP39" s="1159">
        <v>0.4</v>
      </c>
      <c r="AQ39" s="1173"/>
      <c r="AR39" s="1159">
        <v>0.4</v>
      </c>
      <c r="AS39" s="1163">
        <v>0.4</v>
      </c>
      <c r="AT39" s="1164">
        <v>0.4</v>
      </c>
      <c r="AU39" s="1163">
        <v>0.4</v>
      </c>
      <c r="AV39" s="1163">
        <v>0.2</v>
      </c>
      <c r="AX39" s="1157" t="s">
        <v>930</v>
      </c>
      <c r="AY39" s="1161" t="s">
        <v>2100</v>
      </c>
      <c r="AZ39" s="1158" t="s">
        <v>2103</v>
      </c>
      <c r="BA39" s="1163">
        <v>0.4</v>
      </c>
      <c r="BB39" s="1163">
        <v>0.4</v>
      </c>
      <c r="BC39" s="1163">
        <v>1</v>
      </c>
      <c r="BD39" s="1163">
        <v>1</v>
      </c>
      <c r="BE39" s="1163">
        <v>0.4</v>
      </c>
      <c r="BF39" s="1163">
        <v>0.4</v>
      </c>
      <c r="BG39" s="1163">
        <v>0.4</v>
      </c>
      <c r="BH39" s="1165"/>
      <c r="BI39" s="1163">
        <v>0.4</v>
      </c>
      <c r="BJ39" s="1163">
        <v>0.4</v>
      </c>
      <c r="BK39" s="1164">
        <v>0.4</v>
      </c>
      <c r="BL39" s="1163">
        <v>0.4</v>
      </c>
      <c r="BM39" s="1163">
        <v>0.2</v>
      </c>
      <c r="BO39" s="1157" t="s">
        <v>930</v>
      </c>
      <c r="BP39" s="1161" t="s">
        <v>2100</v>
      </c>
      <c r="BQ39" s="1158" t="s">
        <v>2103</v>
      </c>
      <c r="BR39" s="1163">
        <v>0.4</v>
      </c>
      <c r="BS39" s="1163">
        <v>0.4</v>
      </c>
      <c r="BT39" s="1163">
        <v>1</v>
      </c>
      <c r="BU39" s="1163">
        <v>1</v>
      </c>
      <c r="BV39" s="1163">
        <v>0.4</v>
      </c>
      <c r="BW39" s="1163">
        <v>0.4</v>
      </c>
      <c r="BX39" s="1163">
        <v>0.4</v>
      </c>
      <c r="BY39" s="1479">
        <v>0.4</v>
      </c>
      <c r="BZ39" s="1163">
        <v>0.4</v>
      </c>
      <c r="CA39" s="1163">
        <v>0.4</v>
      </c>
      <c r="CB39" s="1164">
        <v>0.4</v>
      </c>
      <c r="CC39" s="1163">
        <v>0.4</v>
      </c>
      <c r="CD39" s="1163">
        <v>0.2</v>
      </c>
      <c r="CE39" s="1382"/>
      <c r="CG39" s="1157" t="s">
        <v>930</v>
      </c>
      <c r="CH39" s="1161" t="s">
        <v>2100</v>
      </c>
      <c r="CI39" s="1158" t="s">
        <v>2103</v>
      </c>
      <c r="CJ39" s="1531">
        <f t="shared" si="19"/>
        <v>0.4</v>
      </c>
      <c r="CK39" s="1531">
        <f t="shared" si="20"/>
        <v>0.4</v>
      </c>
      <c r="CL39" s="1531">
        <f t="shared" si="21"/>
        <v>1</v>
      </c>
      <c r="CM39" s="1531">
        <f t="shared" si="22"/>
        <v>1</v>
      </c>
      <c r="CN39" s="1531">
        <f t="shared" si="23"/>
        <v>0.4</v>
      </c>
      <c r="CO39" s="1531">
        <f t="shared" si="24"/>
        <v>0.4</v>
      </c>
      <c r="CP39" s="1531">
        <f t="shared" si="25"/>
        <v>0.4</v>
      </c>
      <c r="CQ39" s="1531">
        <f t="shared" si="25"/>
        <v>0.4</v>
      </c>
      <c r="CR39" s="1531">
        <f t="shared" si="27"/>
        <v>0.4</v>
      </c>
      <c r="CS39" s="1531">
        <f t="shared" si="28"/>
        <v>0.4</v>
      </c>
      <c r="CT39" s="1533">
        <f t="shared" si="13"/>
        <v>0.4</v>
      </c>
      <c r="CU39" s="1531">
        <f t="shared" si="14"/>
        <v>0.4</v>
      </c>
      <c r="CV39" s="1531">
        <f t="shared" si="15"/>
        <v>0.2</v>
      </c>
      <c r="CX39" s="1157" t="s">
        <v>930</v>
      </c>
      <c r="CY39" s="1161" t="s">
        <v>2100</v>
      </c>
      <c r="CZ39" s="1158" t="s">
        <v>2103</v>
      </c>
      <c r="DA39" s="1520">
        <f t="shared" si="29"/>
        <v>0.4</v>
      </c>
      <c r="DB39" s="1520"/>
      <c r="DC39" s="1520"/>
      <c r="DD39" s="1520"/>
      <c r="DE39" s="1520"/>
      <c r="DF39" s="1520"/>
      <c r="DG39" s="1520"/>
      <c r="DH39" s="1520"/>
      <c r="DI39" s="1520"/>
      <c r="DJ39" s="1520"/>
      <c r="DK39" s="1623"/>
      <c r="DL39" s="1520"/>
      <c r="DM39" s="1520"/>
    </row>
    <row r="40" spans="2:117">
      <c r="B40" s="1136">
        <f t="shared" si="0"/>
        <v>3.2</v>
      </c>
      <c r="C40" s="1158" t="str">
        <f t="shared" si="1"/>
        <v>グレア対策</v>
      </c>
      <c r="D40" s="1155">
        <f>IF(I$35=0,0,G40/I$35)</f>
        <v>0.3</v>
      </c>
      <c r="E40" s="1156">
        <f>IF(J$35=0,0,H40/J$35)</f>
        <v>0.5</v>
      </c>
      <c r="G40" s="1156">
        <f t="shared" si="2"/>
        <v>0.3</v>
      </c>
      <c r="H40" s="1156">
        <f t="shared" si="3"/>
        <v>0.19999999999999998</v>
      </c>
      <c r="I40" s="1156">
        <f>SUM(G41:G43)</f>
        <v>1</v>
      </c>
      <c r="J40" s="1156">
        <f>SUM(H41:H43)</f>
        <v>0.66666666666666663</v>
      </c>
      <c r="K40" s="1156">
        <f>IF(スコア!Q40=0,0,1)</f>
        <v>1</v>
      </c>
      <c r="L40" s="1156">
        <f>IF(スコア!S40=0,0,1)</f>
        <v>1</v>
      </c>
      <c r="M40" s="1156">
        <f t="shared" si="4"/>
        <v>0.3</v>
      </c>
      <c r="N40" s="1156">
        <f t="shared" si="5"/>
        <v>0.19999999999999998</v>
      </c>
      <c r="P40" s="1157">
        <f t="shared" si="6"/>
        <v>3.2</v>
      </c>
      <c r="Q40" s="1157" t="str">
        <f t="shared" si="7"/>
        <v xml:space="preserve"> Q1 3</v>
      </c>
      <c r="R40" s="1158" t="str">
        <f t="shared" si="8"/>
        <v>グレア対策</v>
      </c>
      <c r="S40" s="1585">
        <f t="shared" si="16"/>
        <v>0.3</v>
      </c>
      <c r="T40" s="1585">
        <f t="shared" si="32"/>
        <v>0.3</v>
      </c>
      <c r="U40" s="1585">
        <f t="shared" si="33"/>
        <v>0</v>
      </c>
      <c r="V40" s="1585">
        <f t="shared" si="34"/>
        <v>0</v>
      </c>
      <c r="W40" s="1585">
        <f t="shared" si="35"/>
        <v>0.3</v>
      </c>
      <c r="X40" s="1585">
        <f t="shared" si="36"/>
        <v>0.3</v>
      </c>
      <c r="Y40" s="1585">
        <f t="shared" si="37"/>
        <v>0.3</v>
      </c>
      <c r="Z40" s="1589">
        <f t="shared" si="38"/>
        <v>0</v>
      </c>
      <c r="AA40" s="1585">
        <f t="shared" si="17"/>
        <v>0.3</v>
      </c>
      <c r="AB40" s="1585">
        <f t="shared" si="10"/>
        <v>0.3</v>
      </c>
      <c r="AC40" s="1586">
        <f t="shared" si="11"/>
        <v>0.3</v>
      </c>
      <c r="AD40" s="1585">
        <f t="shared" si="12"/>
        <v>0.3</v>
      </c>
      <c r="AE40" s="1585">
        <f t="shared" si="18"/>
        <v>0.3</v>
      </c>
      <c r="AG40" s="1157">
        <v>3.2</v>
      </c>
      <c r="AH40" s="1161" t="s">
        <v>2099</v>
      </c>
      <c r="AI40" s="1158" t="s">
        <v>1516</v>
      </c>
      <c r="AJ40" s="1159">
        <v>0.3</v>
      </c>
      <c r="AK40" s="1159">
        <v>0.3</v>
      </c>
      <c r="AL40" s="1159"/>
      <c r="AM40" s="1159"/>
      <c r="AN40" s="1159">
        <v>0.3</v>
      </c>
      <c r="AO40" s="1159">
        <v>0.3</v>
      </c>
      <c r="AP40" s="1159">
        <v>0.3</v>
      </c>
      <c r="AQ40" s="1173"/>
      <c r="AR40" s="1159">
        <v>0.3</v>
      </c>
      <c r="AS40" s="1163">
        <v>0.3</v>
      </c>
      <c r="AT40" s="1164">
        <v>0.3</v>
      </c>
      <c r="AU40" s="1163">
        <v>0.3</v>
      </c>
      <c r="AV40" s="1163">
        <v>0.3</v>
      </c>
      <c r="AX40" s="1157">
        <v>3.2</v>
      </c>
      <c r="AY40" s="1161" t="s">
        <v>2099</v>
      </c>
      <c r="AZ40" s="1158" t="s">
        <v>1516</v>
      </c>
      <c r="BA40" s="1163">
        <v>0.3</v>
      </c>
      <c r="BB40" s="1163">
        <v>0.3</v>
      </c>
      <c r="BC40" s="1163"/>
      <c r="BD40" s="1163"/>
      <c r="BE40" s="1163">
        <v>0.3</v>
      </c>
      <c r="BF40" s="1163">
        <v>0.3</v>
      </c>
      <c r="BG40" s="1163">
        <v>0.3</v>
      </c>
      <c r="BH40" s="1165"/>
      <c r="BI40" s="1163">
        <v>0.3</v>
      </c>
      <c r="BJ40" s="1163">
        <v>0.3</v>
      </c>
      <c r="BK40" s="1164">
        <v>0.3</v>
      </c>
      <c r="BL40" s="1163">
        <v>0.3</v>
      </c>
      <c r="BM40" s="1163">
        <v>0.3</v>
      </c>
      <c r="BO40" s="1157">
        <v>3.2</v>
      </c>
      <c r="BP40" s="1161" t="s">
        <v>2099</v>
      </c>
      <c r="BQ40" s="1158" t="s">
        <v>1516</v>
      </c>
      <c r="BR40" s="1163">
        <v>0.3</v>
      </c>
      <c r="BS40" s="1163">
        <v>0.3</v>
      </c>
      <c r="BT40" s="1163"/>
      <c r="BU40" s="1163"/>
      <c r="BV40" s="1163">
        <v>0.3</v>
      </c>
      <c r="BW40" s="1163">
        <v>0.3</v>
      </c>
      <c r="BX40" s="1163">
        <v>0.3</v>
      </c>
      <c r="BY40" s="1482"/>
      <c r="BZ40" s="1163">
        <v>0.3</v>
      </c>
      <c r="CA40" s="1163">
        <v>0.3</v>
      </c>
      <c r="CB40" s="1164">
        <v>0.3</v>
      </c>
      <c r="CC40" s="1163">
        <v>0.3</v>
      </c>
      <c r="CD40" s="1163">
        <v>0.3</v>
      </c>
      <c r="CE40" s="1382"/>
      <c r="CG40" s="1157">
        <v>3.2</v>
      </c>
      <c r="CH40" s="1161" t="s">
        <v>2099</v>
      </c>
      <c r="CI40" s="1158" t="s">
        <v>1516</v>
      </c>
      <c r="CJ40" s="1531">
        <f t="shared" si="19"/>
        <v>0.3</v>
      </c>
      <c r="CK40" s="1531">
        <f t="shared" si="20"/>
        <v>0.3</v>
      </c>
      <c r="CL40" s="1531">
        <f t="shared" si="21"/>
        <v>0</v>
      </c>
      <c r="CM40" s="1531">
        <f t="shared" si="22"/>
        <v>0</v>
      </c>
      <c r="CN40" s="1531">
        <f t="shared" si="23"/>
        <v>0.3</v>
      </c>
      <c r="CO40" s="1531">
        <f t="shared" si="24"/>
        <v>0.3</v>
      </c>
      <c r="CP40" s="1531">
        <f t="shared" si="25"/>
        <v>0.3</v>
      </c>
      <c r="CQ40" s="1531">
        <f t="shared" si="25"/>
        <v>0</v>
      </c>
      <c r="CR40" s="1531">
        <f t="shared" si="27"/>
        <v>0.3</v>
      </c>
      <c r="CS40" s="1531">
        <f t="shared" si="28"/>
        <v>0.3</v>
      </c>
      <c r="CT40" s="1533">
        <f t="shared" si="13"/>
        <v>0.3</v>
      </c>
      <c r="CU40" s="1531">
        <f t="shared" si="14"/>
        <v>0.3</v>
      </c>
      <c r="CV40" s="1531">
        <f t="shared" si="15"/>
        <v>0.3</v>
      </c>
      <c r="CX40" s="1157">
        <v>3.2</v>
      </c>
      <c r="CY40" s="1161" t="s">
        <v>2099</v>
      </c>
      <c r="CZ40" s="1158" t="s">
        <v>1516</v>
      </c>
      <c r="DA40" s="1520">
        <f t="shared" si="29"/>
        <v>0.3</v>
      </c>
      <c r="DB40" s="1520"/>
      <c r="DC40" s="1520"/>
      <c r="DD40" s="1520"/>
      <c r="DE40" s="1520"/>
      <c r="DF40" s="1520"/>
      <c r="DG40" s="1520"/>
      <c r="DH40" s="1520"/>
      <c r="DI40" s="1520"/>
      <c r="DJ40" s="1520"/>
      <c r="DK40" s="1623"/>
      <c r="DL40" s="1520"/>
      <c r="DM40" s="1520"/>
    </row>
    <row r="41" spans="2:117" hidden="1">
      <c r="B41" s="1136" t="str">
        <f t="shared" si="0"/>
        <v>3.2.1</v>
      </c>
      <c r="C41" s="1158">
        <f>R41</f>
        <v>0</v>
      </c>
      <c r="D41" s="1146">
        <f t="shared" ref="D41:E43" si="42">IF(I$40&gt;0,G41/I$40,0)</f>
        <v>0</v>
      </c>
      <c r="E41" s="1156">
        <f t="shared" si="42"/>
        <v>0</v>
      </c>
      <c r="G41" s="1156">
        <f t="shared" si="2"/>
        <v>0</v>
      </c>
      <c r="H41" s="1156">
        <f t="shared" si="3"/>
        <v>0</v>
      </c>
      <c r="I41" s="1156"/>
      <c r="J41" s="1156"/>
      <c r="K41" s="1156">
        <f>IF(スコア!Q41=0,0,1)</f>
        <v>0</v>
      </c>
      <c r="L41" s="1156">
        <f>IF(スコア!S41=0,0,1)</f>
        <v>0</v>
      </c>
      <c r="M41" s="1156">
        <f t="shared" si="4"/>
        <v>0</v>
      </c>
      <c r="N41" s="1156">
        <f t="shared" si="5"/>
        <v>0</v>
      </c>
      <c r="P41" s="1157" t="str">
        <f t="shared" si="6"/>
        <v>3.2.1</v>
      </c>
      <c r="Q41" s="1157" t="str">
        <f t="shared" si="7"/>
        <v xml:space="preserve"> Q1 3.2</v>
      </c>
      <c r="R41" s="1158">
        <f t="shared" si="8"/>
        <v>0</v>
      </c>
      <c r="S41" s="1585">
        <f t="shared" si="16"/>
        <v>0</v>
      </c>
      <c r="T41" s="1585">
        <f t="shared" si="32"/>
        <v>0</v>
      </c>
      <c r="U41" s="1585">
        <f t="shared" si="33"/>
        <v>0</v>
      </c>
      <c r="V41" s="1585">
        <f t="shared" si="34"/>
        <v>0</v>
      </c>
      <c r="W41" s="1585">
        <f t="shared" si="35"/>
        <v>0</v>
      </c>
      <c r="X41" s="1585">
        <f t="shared" si="36"/>
        <v>0</v>
      </c>
      <c r="Y41" s="1585">
        <f t="shared" si="37"/>
        <v>0</v>
      </c>
      <c r="Z41" s="1589">
        <f t="shared" si="38"/>
        <v>0</v>
      </c>
      <c r="AA41" s="1585">
        <f t="shared" si="17"/>
        <v>0</v>
      </c>
      <c r="AB41" s="1585">
        <f t="shared" si="10"/>
        <v>0</v>
      </c>
      <c r="AC41" s="1586">
        <f t="shared" si="11"/>
        <v>0</v>
      </c>
      <c r="AD41" s="1585">
        <f t="shared" si="12"/>
        <v>0</v>
      </c>
      <c r="AE41" s="1585">
        <f t="shared" si="18"/>
        <v>0</v>
      </c>
      <c r="AG41" s="1157" t="s">
        <v>931</v>
      </c>
      <c r="AH41" s="1161" t="s">
        <v>2104</v>
      </c>
      <c r="AI41" s="1158" t="s">
        <v>2105</v>
      </c>
      <c r="AJ41" s="1168">
        <v>0.4</v>
      </c>
      <c r="AK41" s="1168">
        <v>0.4</v>
      </c>
      <c r="AL41" s="1168"/>
      <c r="AM41" s="1168"/>
      <c r="AN41" s="1168">
        <v>0.4</v>
      </c>
      <c r="AO41" s="1168">
        <v>0.4</v>
      </c>
      <c r="AP41" s="1168">
        <v>0.4</v>
      </c>
      <c r="AQ41" s="1174"/>
      <c r="AR41" s="1168">
        <v>0.4</v>
      </c>
      <c r="AS41" s="1176">
        <v>0.3</v>
      </c>
      <c r="AT41" s="1164">
        <v>0.4</v>
      </c>
      <c r="AU41" s="1163">
        <v>0.4</v>
      </c>
      <c r="AV41" s="1163">
        <v>0.4</v>
      </c>
      <c r="AX41" s="1157" t="s">
        <v>931</v>
      </c>
      <c r="AY41" s="1161" t="s">
        <v>2104</v>
      </c>
      <c r="AZ41" s="1158" t="s">
        <v>2105</v>
      </c>
      <c r="BA41" s="1163"/>
      <c r="BB41" s="1163"/>
      <c r="BC41" s="1163"/>
      <c r="BD41" s="1163"/>
      <c r="BE41" s="1163"/>
      <c r="BF41" s="1163"/>
      <c r="BG41" s="1163"/>
      <c r="BH41" s="1165"/>
      <c r="BI41" s="1163"/>
      <c r="BJ41" s="1163"/>
      <c r="BK41" s="1164"/>
      <c r="BL41" s="1163"/>
      <c r="BM41" s="1163"/>
      <c r="BO41" s="1157" t="s">
        <v>931</v>
      </c>
      <c r="BP41" s="1161" t="s">
        <v>2104</v>
      </c>
      <c r="BQ41" s="1158"/>
      <c r="BR41" s="1643"/>
      <c r="BS41" s="1643"/>
      <c r="BT41" s="1643"/>
      <c r="BU41" s="1643"/>
      <c r="BV41" s="1643"/>
      <c r="BW41" s="1643"/>
      <c r="BX41" s="1643"/>
      <c r="BY41" s="1687"/>
      <c r="BZ41" s="1643"/>
      <c r="CA41" s="1643"/>
      <c r="CB41" s="1643"/>
      <c r="CC41" s="1643"/>
      <c r="CD41" s="1643"/>
      <c r="CE41" s="1382"/>
      <c r="CG41" s="1157" t="s">
        <v>931</v>
      </c>
      <c r="CH41" s="1161" t="s">
        <v>2104</v>
      </c>
      <c r="CI41" s="1158" t="s">
        <v>2105</v>
      </c>
      <c r="CJ41" s="1531">
        <f t="shared" si="19"/>
        <v>0</v>
      </c>
      <c r="CK41" s="1531">
        <f t="shared" si="20"/>
        <v>0</v>
      </c>
      <c r="CL41" s="1531">
        <f t="shared" si="21"/>
        <v>0</v>
      </c>
      <c r="CM41" s="1531">
        <f t="shared" si="22"/>
        <v>0</v>
      </c>
      <c r="CN41" s="1531">
        <f t="shared" si="23"/>
        <v>0</v>
      </c>
      <c r="CO41" s="1531">
        <f t="shared" si="24"/>
        <v>0</v>
      </c>
      <c r="CP41" s="1531">
        <f t="shared" si="25"/>
        <v>0</v>
      </c>
      <c r="CQ41" s="1531">
        <f t="shared" si="25"/>
        <v>0</v>
      </c>
      <c r="CR41" s="1531">
        <f t="shared" si="27"/>
        <v>0</v>
      </c>
      <c r="CS41" s="1531">
        <f t="shared" si="28"/>
        <v>0</v>
      </c>
      <c r="CT41" s="1533">
        <f t="shared" si="13"/>
        <v>0</v>
      </c>
      <c r="CU41" s="1531">
        <f t="shared" si="14"/>
        <v>0</v>
      </c>
      <c r="CV41" s="1531">
        <f t="shared" si="15"/>
        <v>0</v>
      </c>
      <c r="CX41" s="1157" t="s">
        <v>931</v>
      </c>
      <c r="CY41" s="1161" t="s">
        <v>2104</v>
      </c>
      <c r="CZ41" s="1158" t="s">
        <v>2105</v>
      </c>
      <c r="DA41" s="1642">
        <v>0</v>
      </c>
      <c r="DB41" s="1520"/>
      <c r="DC41" s="1520"/>
      <c r="DD41" s="1520"/>
      <c r="DE41" s="1520"/>
      <c r="DF41" s="1520"/>
      <c r="DG41" s="1520"/>
      <c r="DH41" s="1520"/>
      <c r="DI41" s="1520"/>
      <c r="DJ41" s="1520"/>
      <c r="DK41" s="1623"/>
      <c r="DL41" s="1520"/>
      <c r="DM41" s="1520"/>
    </row>
    <row r="42" spans="2:117">
      <c r="B42" s="1136" t="str">
        <f t="shared" si="0"/>
        <v>3.2.2</v>
      </c>
      <c r="C42" s="1158" t="str">
        <f t="shared" si="1"/>
        <v>昼光制御</v>
      </c>
      <c r="D42" s="1146">
        <f t="shared" si="42"/>
        <v>1</v>
      </c>
      <c r="E42" s="1156">
        <f t="shared" si="42"/>
        <v>1</v>
      </c>
      <c r="G42" s="1156">
        <f t="shared" ref="G42:G75" si="43">K42*M42</f>
        <v>1</v>
      </c>
      <c r="H42" s="1156">
        <f t="shared" ref="H42:H75" si="44">L42*N42</f>
        <v>0.66666666666666663</v>
      </c>
      <c r="I42" s="1156"/>
      <c r="J42" s="1156"/>
      <c r="K42" s="1156">
        <f>IF(スコア!Q42=0,0,1)</f>
        <v>1</v>
      </c>
      <c r="L42" s="1156">
        <f>IF(スコア!S42=0,0,1)</f>
        <v>1</v>
      </c>
      <c r="M42" s="1156">
        <f t="shared" ref="M42:M75" si="45">SUMPRODUCT($S$7:$AB$7,S42:AB42)</f>
        <v>1</v>
      </c>
      <c r="N42" s="1156">
        <f t="shared" ref="N42:N75" si="46">(AC$7*AC42)+(AD$7*AD42)+(AE$7*AE42)</f>
        <v>0.66666666666666663</v>
      </c>
      <c r="P42" s="1157" t="str">
        <f t="shared" si="6"/>
        <v>3.2.2</v>
      </c>
      <c r="Q42" s="1157" t="str">
        <f t="shared" si="7"/>
        <v xml:space="preserve"> Q1 3.2</v>
      </c>
      <c r="R42" s="1158" t="str">
        <f t="shared" si="8"/>
        <v>昼光制御</v>
      </c>
      <c r="S42" s="1585">
        <f t="shared" si="16"/>
        <v>1</v>
      </c>
      <c r="T42" s="1585">
        <f t="shared" si="32"/>
        <v>1</v>
      </c>
      <c r="U42" s="1585">
        <f t="shared" si="33"/>
        <v>0</v>
      </c>
      <c r="V42" s="1585">
        <f t="shared" si="34"/>
        <v>0</v>
      </c>
      <c r="W42" s="1585">
        <f t="shared" si="35"/>
        <v>1</v>
      </c>
      <c r="X42" s="1585">
        <f t="shared" si="36"/>
        <v>1</v>
      </c>
      <c r="Y42" s="1585">
        <f t="shared" si="37"/>
        <v>1</v>
      </c>
      <c r="Z42" s="1589">
        <f t="shared" si="38"/>
        <v>0</v>
      </c>
      <c r="AA42" s="1585">
        <f t="shared" si="17"/>
        <v>1</v>
      </c>
      <c r="AB42" s="1585">
        <f t="shared" si="10"/>
        <v>1</v>
      </c>
      <c r="AC42" s="1586">
        <f t="shared" si="11"/>
        <v>1</v>
      </c>
      <c r="AD42" s="1585">
        <f t="shared" si="12"/>
        <v>1</v>
      </c>
      <c r="AE42" s="1585">
        <f t="shared" si="18"/>
        <v>1</v>
      </c>
      <c r="AG42" s="1157" t="s">
        <v>932</v>
      </c>
      <c r="AH42" s="1161" t="s">
        <v>2104</v>
      </c>
      <c r="AI42" s="1158" t="s">
        <v>2106</v>
      </c>
      <c r="AJ42" s="1159">
        <v>0.6</v>
      </c>
      <c r="AK42" s="1159">
        <v>0.6</v>
      </c>
      <c r="AL42" s="1159"/>
      <c r="AM42" s="1159"/>
      <c r="AN42" s="1159">
        <v>0.6</v>
      </c>
      <c r="AO42" s="1159">
        <v>0.6</v>
      </c>
      <c r="AP42" s="1159">
        <v>0.6</v>
      </c>
      <c r="AQ42" s="1173"/>
      <c r="AR42" s="1159">
        <v>0.6</v>
      </c>
      <c r="AS42" s="1176">
        <v>0.4</v>
      </c>
      <c r="AT42" s="1164">
        <v>0.6</v>
      </c>
      <c r="AU42" s="1163">
        <v>0.6</v>
      </c>
      <c r="AV42" s="1163">
        <v>0.6</v>
      </c>
      <c r="AX42" s="1157" t="s">
        <v>932</v>
      </c>
      <c r="AY42" s="1161" t="s">
        <v>2104</v>
      </c>
      <c r="AZ42" s="1158" t="s">
        <v>2106</v>
      </c>
      <c r="BA42" s="1163">
        <v>1</v>
      </c>
      <c r="BB42" s="1163">
        <v>1</v>
      </c>
      <c r="BC42" s="1163"/>
      <c r="BD42" s="1163"/>
      <c r="BE42" s="1163">
        <v>1</v>
      </c>
      <c r="BF42" s="1163">
        <v>1</v>
      </c>
      <c r="BG42" s="1163">
        <v>1</v>
      </c>
      <c r="BH42" s="1165"/>
      <c r="BI42" s="1163">
        <v>1</v>
      </c>
      <c r="BJ42" s="1163">
        <v>1</v>
      </c>
      <c r="BK42" s="1164">
        <v>1</v>
      </c>
      <c r="BL42" s="1163">
        <v>1</v>
      </c>
      <c r="BM42" s="1163">
        <v>1</v>
      </c>
      <c r="BO42" s="1157" t="s">
        <v>932</v>
      </c>
      <c r="BP42" s="1161" t="s">
        <v>2104</v>
      </c>
      <c r="BQ42" s="1158" t="s">
        <v>2106</v>
      </c>
      <c r="BR42" s="1643">
        <v>1</v>
      </c>
      <c r="BS42" s="1643">
        <v>1</v>
      </c>
      <c r="BT42" s="1643"/>
      <c r="BU42" s="1643"/>
      <c r="BV42" s="1643">
        <v>1</v>
      </c>
      <c r="BW42" s="1643">
        <v>1</v>
      </c>
      <c r="BX42" s="1643">
        <v>1</v>
      </c>
      <c r="BY42" s="1687"/>
      <c r="BZ42" s="1643">
        <v>1</v>
      </c>
      <c r="CA42" s="1643">
        <v>1</v>
      </c>
      <c r="CB42" s="1643">
        <v>1</v>
      </c>
      <c r="CC42" s="1643">
        <v>1</v>
      </c>
      <c r="CD42" s="1643">
        <v>1</v>
      </c>
      <c r="CE42" s="1382"/>
      <c r="CG42" s="1157" t="s">
        <v>932</v>
      </c>
      <c r="CH42" s="1161" t="s">
        <v>2104</v>
      </c>
      <c r="CI42" s="1158" t="s">
        <v>2106</v>
      </c>
      <c r="CJ42" s="1531">
        <f t="shared" si="19"/>
        <v>1</v>
      </c>
      <c r="CK42" s="1531">
        <f t="shared" si="20"/>
        <v>1</v>
      </c>
      <c r="CL42" s="1531">
        <f t="shared" si="21"/>
        <v>0</v>
      </c>
      <c r="CM42" s="1531">
        <f t="shared" si="22"/>
        <v>0</v>
      </c>
      <c r="CN42" s="1531">
        <f t="shared" si="23"/>
        <v>1</v>
      </c>
      <c r="CO42" s="1531">
        <f t="shared" si="24"/>
        <v>1</v>
      </c>
      <c r="CP42" s="1531">
        <f t="shared" si="25"/>
        <v>1</v>
      </c>
      <c r="CQ42" s="1531">
        <f t="shared" si="25"/>
        <v>0</v>
      </c>
      <c r="CR42" s="1531">
        <f t="shared" si="27"/>
        <v>1</v>
      </c>
      <c r="CS42" s="1531">
        <f t="shared" si="28"/>
        <v>1</v>
      </c>
      <c r="CT42" s="1533">
        <f t="shared" si="13"/>
        <v>1</v>
      </c>
      <c r="CU42" s="1531">
        <f t="shared" si="14"/>
        <v>1</v>
      </c>
      <c r="CV42" s="1531">
        <f t="shared" si="15"/>
        <v>1</v>
      </c>
      <c r="CX42" s="1157" t="s">
        <v>932</v>
      </c>
      <c r="CY42" s="1161" t="s">
        <v>2104</v>
      </c>
      <c r="CZ42" s="1158" t="s">
        <v>2106</v>
      </c>
      <c r="DA42" s="1642">
        <v>1</v>
      </c>
      <c r="DB42" s="1520"/>
      <c r="DC42" s="1520"/>
      <c r="DD42" s="1520"/>
      <c r="DE42" s="1520"/>
      <c r="DF42" s="1520"/>
      <c r="DG42" s="1520"/>
      <c r="DH42" s="1520"/>
      <c r="DI42" s="1520"/>
      <c r="DJ42" s="1520"/>
      <c r="DK42" s="1623"/>
      <c r="DL42" s="1520"/>
      <c r="DM42" s="1520"/>
    </row>
    <row r="43" spans="2:117" ht="13.5" hidden="1" customHeight="1">
      <c r="B43" s="1136" t="s">
        <v>933</v>
      </c>
      <c r="C43" s="1180">
        <f t="shared" si="1"/>
        <v>0</v>
      </c>
      <c r="D43" s="1177">
        <f>IF(I$40&gt;0,G43/I$40,0)</f>
        <v>0</v>
      </c>
      <c r="E43" s="1178">
        <f t="shared" si="42"/>
        <v>0</v>
      </c>
      <c r="G43" s="1178">
        <f t="shared" si="43"/>
        <v>0</v>
      </c>
      <c r="H43" s="1178">
        <f t="shared" si="44"/>
        <v>0</v>
      </c>
      <c r="I43" s="1178"/>
      <c r="J43" s="1178"/>
      <c r="K43" s="1178">
        <f>IF(スコア!Q43=0,0,1)</f>
        <v>0</v>
      </c>
      <c r="L43" s="1178">
        <f>IF(スコア!S43=0,0,1)</f>
        <v>0</v>
      </c>
      <c r="M43" s="1178">
        <f t="shared" si="45"/>
        <v>0</v>
      </c>
      <c r="N43" s="1178">
        <f t="shared" si="46"/>
        <v>0</v>
      </c>
      <c r="P43" s="1179" t="str">
        <f t="shared" si="6"/>
        <v>3.2.3</v>
      </c>
      <c r="Q43" s="1179" t="str">
        <f t="shared" si="7"/>
        <v xml:space="preserve"> Q1 3.3</v>
      </c>
      <c r="R43" s="1180">
        <f t="shared" si="8"/>
        <v>0</v>
      </c>
      <c r="S43" s="1591">
        <f t="shared" si="16"/>
        <v>0</v>
      </c>
      <c r="T43" s="1591">
        <f t="shared" si="32"/>
        <v>0</v>
      </c>
      <c r="U43" s="1591">
        <f t="shared" si="33"/>
        <v>0</v>
      </c>
      <c r="V43" s="1591">
        <f t="shared" si="34"/>
        <v>0</v>
      </c>
      <c r="W43" s="1591">
        <f t="shared" si="35"/>
        <v>0</v>
      </c>
      <c r="X43" s="1591">
        <f t="shared" si="36"/>
        <v>0</v>
      </c>
      <c r="Y43" s="1591">
        <f t="shared" si="37"/>
        <v>0</v>
      </c>
      <c r="Z43" s="1592">
        <f t="shared" si="38"/>
        <v>0</v>
      </c>
      <c r="AA43" s="1591">
        <f t="shared" si="17"/>
        <v>0</v>
      </c>
      <c r="AB43" s="1591">
        <f t="shared" si="10"/>
        <v>0</v>
      </c>
      <c r="AC43" s="1593">
        <f t="shared" si="11"/>
        <v>0</v>
      </c>
      <c r="AD43" s="1591">
        <f t="shared" si="12"/>
        <v>0</v>
      </c>
      <c r="AE43" s="1591">
        <f t="shared" si="18"/>
        <v>0</v>
      </c>
      <c r="AG43" s="1157" t="s">
        <v>2107</v>
      </c>
      <c r="AH43" s="1161" t="s">
        <v>2108</v>
      </c>
      <c r="AI43" s="1158" t="s">
        <v>814</v>
      </c>
      <c r="AJ43" s="1159"/>
      <c r="AK43" s="1159"/>
      <c r="AL43" s="1159"/>
      <c r="AM43" s="1159"/>
      <c r="AN43" s="1159"/>
      <c r="AO43" s="1159"/>
      <c r="AP43" s="1159"/>
      <c r="AQ43" s="1173"/>
      <c r="AR43" s="1159"/>
      <c r="AS43" s="1176">
        <v>0.3</v>
      </c>
      <c r="AT43" s="1164"/>
      <c r="AU43" s="1163"/>
      <c r="AV43" s="1163"/>
      <c r="AX43" s="1179" t="s">
        <v>934</v>
      </c>
      <c r="AY43" s="1182" t="s">
        <v>2108</v>
      </c>
      <c r="AZ43" s="1180" t="s">
        <v>814</v>
      </c>
      <c r="BA43" s="1183"/>
      <c r="BB43" s="1183"/>
      <c r="BC43" s="1183"/>
      <c r="BD43" s="1183"/>
      <c r="BE43" s="1183"/>
      <c r="BF43" s="1183"/>
      <c r="BG43" s="1183"/>
      <c r="BH43" s="1184"/>
      <c r="BI43" s="1183"/>
      <c r="BJ43" s="1183"/>
      <c r="BK43" s="1185"/>
      <c r="BL43" s="1183"/>
      <c r="BM43" s="1183"/>
      <c r="BO43" s="1179" t="s">
        <v>934</v>
      </c>
      <c r="BP43" s="1182" t="s">
        <v>2108</v>
      </c>
      <c r="BQ43" s="1180"/>
      <c r="BR43" s="1186"/>
      <c r="BS43" s="1186"/>
      <c r="BT43" s="1186"/>
      <c r="BU43" s="1186"/>
      <c r="BV43" s="1186"/>
      <c r="BW43" s="1186"/>
      <c r="BX43" s="1186"/>
      <c r="BY43" s="1480"/>
      <c r="BZ43" s="1186"/>
      <c r="CA43" s="1186"/>
      <c r="CB43" s="1188"/>
      <c r="CC43" s="1186"/>
      <c r="CD43" s="1186"/>
      <c r="CE43" s="1383"/>
      <c r="CG43" s="1179" t="s">
        <v>933</v>
      </c>
      <c r="CH43" s="1182" t="s">
        <v>2108</v>
      </c>
      <c r="CI43" s="1180"/>
      <c r="CJ43" s="1538"/>
      <c r="CK43" s="1538"/>
      <c r="CL43" s="1538"/>
      <c r="CM43" s="1538"/>
      <c r="CN43" s="1538"/>
      <c r="CO43" s="1538"/>
      <c r="CP43" s="1538"/>
      <c r="CQ43" s="1539"/>
      <c r="CR43" s="1538"/>
      <c r="CS43" s="1538"/>
      <c r="CT43" s="1540"/>
      <c r="CU43" s="1538"/>
      <c r="CV43" s="1538"/>
      <c r="CX43" s="1179"/>
      <c r="CY43" s="1182"/>
      <c r="CZ43" s="1180"/>
      <c r="DA43" s="1627"/>
      <c r="DB43" s="1627"/>
      <c r="DC43" s="1627"/>
      <c r="DD43" s="1627"/>
      <c r="DE43" s="1627"/>
      <c r="DF43" s="1627"/>
      <c r="DG43" s="1627"/>
      <c r="DH43" s="1628"/>
      <c r="DI43" s="1627"/>
      <c r="DJ43" s="1627"/>
      <c r="DK43" s="1629"/>
      <c r="DL43" s="1627"/>
      <c r="DM43" s="1627"/>
    </row>
    <row r="44" spans="2:117">
      <c r="B44" s="1136">
        <f t="shared" ref="B44:B77" si="47">P44</f>
        <v>3.3</v>
      </c>
      <c r="C44" s="1158" t="str">
        <f t="shared" si="1"/>
        <v>照度</v>
      </c>
      <c r="D44" s="1155">
        <f>IF(I$35=0,0,G44/I$35)</f>
        <v>0.15</v>
      </c>
      <c r="E44" s="1156">
        <f>IF(J$35=0,0,H44/J$35)</f>
        <v>0</v>
      </c>
      <c r="G44" s="1156">
        <f t="shared" si="43"/>
        <v>0.15</v>
      </c>
      <c r="H44" s="1156">
        <f t="shared" si="44"/>
        <v>0</v>
      </c>
      <c r="I44" s="1156">
        <f>SUM(G45:G46)</f>
        <v>0</v>
      </c>
      <c r="J44" s="1156">
        <f>SUM(H45:H46)</f>
        <v>0</v>
      </c>
      <c r="K44" s="1156">
        <f>IF(スコア!Q44=0,0,1)</f>
        <v>1</v>
      </c>
      <c r="L44" s="1156">
        <f>IF(スコア!S44=0,0,1)</f>
        <v>0</v>
      </c>
      <c r="M44" s="1156">
        <f t="shared" si="45"/>
        <v>0.15</v>
      </c>
      <c r="N44" s="1156">
        <f t="shared" si="46"/>
        <v>9.9999999999999992E-2</v>
      </c>
      <c r="P44" s="1157">
        <f t="shared" si="6"/>
        <v>3.3</v>
      </c>
      <c r="Q44" s="1157" t="str">
        <f t="shared" si="7"/>
        <v xml:space="preserve"> Q1 3</v>
      </c>
      <c r="R44" s="1158" t="str">
        <f t="shared" si="8"/>
        <v>照度</v>
      </c>
      <c r="S44" s="1585">
        <f t="shared" si="16"/>
        <v>0.15</v>
      </c>
      <c r="T44" s="1585">
        <f t="shared" si="32"/>
        <v>0.15</v>
      </c>
      <c r="U44" s="1585">
        <f t="shared" si="33"/>
        <v>0</v>
      </c>
      <c r="V44" s="1585">
        <f t="shared" si="34"/>
        <v>0</v>
      </c>
      <c r="W44" s="1585">
        <f t="shared" si="35"/>
        <v>0.15</v>
      </c>
      <c r="X44" s="1585">
        <f t="shared" si="36"/>
        <v>0.15</v>
      </c>
      <c r="Y44" s="1585">
        <f t="shared" si="37"/>
        <v>0.15</v>
      </c>
      <c r="Z44" s="1589">
        <f t="shared" si="38"/>
        <v>0.2</v>
      </c>
      <c r="AA44" s="1585">
        <f t="shared" si="17"/>
        <v>0.15</v>
      </c>
      <c r="AB44" s="1585">
        <f t="shared" si="10"/>
        <v>0.15</v>
      </c>
      <c r="AC44" s="1586">
        <f t="shared" si="11"/>
        <v>0.15</v>
      </c>
      <c r="AD44" s="1585">
        <f t="shared" si="12"/>
        <v>0.15</v>
      </c>
      <c r="AE44" s="1585">
        <f t="shared" si="18"/>
        <v>0.15</v>
      </c>
      <c r="AG44" s="1157">
        <v>3.3</v>
      </c>
      <c r="AH44" s="1161" t="s">
        <v>2099</v>
      </c>
      <c r="AI44" s="1158" t="s">
        <v>815</v>
      </c>
      <c r="AJ44" s="1159">
        <v>0.15</v>
      </c>
      <c r="AK44" s="1159">
        <v>0.15</v>
      </c>
      <c r="AL44" s="1159"/>
      <c r="AM44" s="1159"/>
      <c r="AN44" s="1159">
        <v>0.15</v>
      </c>
      <c r="AO44" s="1159">
        <v>0.15</v>
      </c>
      <c r="AP44" s="1159">
        <v>0.15</v>
      </c>
      <c r="AQ44" s="1173"/>
      <c r="AR44" s="1159">
        <v>0.15</v>
      </c>
      <c r="AS44" s="1163">
        <v>0.15</v>
      </c>
      <c r="AT44" s="1164">
        <v>0.15</v>
      </c>
      <c r="AU44" s="1163">
        <v>0.15</v>
      </c>
      <c r="AV44" s="1163">
        <v>0.15</v>
      </c>
      <c r="AX44" s="1157">
        <v>3.3</v>
      </c>
      <c r="AY44" s="1161" t="s">
        <v>2099</v>
      </c>
      <c r="AZ44" s="1158" t="s">
        <v>815</v>
      </c>
      <c r="BA44" s="1163">
        <v>0.15</v>
      </c>
      <c r="BB44" s="1163">
        <v>0.15</v>
      </c>
      <c r="BC44" s="1163"/>
      <c r="BD44" s="1163"/>
      <c r="BE44" s="1163">
        <v>0.15</v>
      </c>
      <c r="BF44" s="1163">
        <v>0.15</v>
      </c>
      <c r="BG44" s="1163">
        <v>0.15</v>
      </c>
      <c r="BH44" s="1165"/>
      <c r="BI44" s="1163">
        <v>0.15</v>
      </c>
      <c r="BJ44" s="1163">
        <v>0.15</v>
      </c>
      <c r="BK44" s="1164">
        <v>0.15</v>
      </c>
      <c r="BL44" s="1163">
        <v>0.15</v>
      </c>
      <c r="BM44" s="1163">
        <v>0.15</v>
      </c>
      <c r="BO44" s="1157">
        <v>3.3</v>
      </c>
      <c r="BP44" s="1161" t="s">
        <v>2099</v>
      </c>
      <c r="BQ44" s="1158" t="s">
        <v>815</v>
      </c>
      <c r="BR44" s="1163">
        <v>0.15</v>
      </c>
      <c r="BS44" s="1163">
        <v>0.15</v>
      </c>
      <c r="BT44" s="1163"/>
      <c r="BU44" s="1163"/>
      <c r="BV44" s="1163">
        <v>0.15</v>
      </c>
      <c r="BW44" s="1163">
        <v>0.15</v>
      </c>
      <c r="BX44" s="1163">
        <v>0.15</v>
      </c>
      <c r="BY44" s="1481">
        <v>0.2</v>
      </c>
      <c r="BZ44" s="1163">
        <v>0.15</v>
      </c>
      <c r="CA44" s="1163">
        <v>0.15</v>
      </c>
      <c r="CB44" s="1164">
        <v>0.15</v>
      </c>
      <c r="CC44" s="1163">
        <v>0.15</v>
      </c>
      <c r="CD44" s="1163">
        <v>0.15</v>
      </c>
      <c r="CE44" s="1382"/>
      <c r="CG44" s="1157">
        <v>3.3</v>
      </c>
      <c r="CH44" s="1161" t="s">
        <v>2099</v>
      </c>
      <c r="CI44" s="1158" t="s">
        <v>815</v>
      </c>
      <c r="CJ44" s="1531">
        <f t="shared" si="19"/>
        <v>0.15</v>
      </c>
      <c r="CK44" s="1531">
        <f t="shared" si="20"/>
        <v>0.15</v>
      </c>
      <c r="CL44" s="1531">
        <f t="shared" si="21"/>
        <v>0</v>
      </c>
      <c r="CM44" s="1531">
        <f t="shared" si="22"/>
        <v>0</v>
      </c>
      <c r="CN44" s="1531">
        <f t="shared" si="23"/>
        <v>0.15</v>
      </c>
      <c r="CO44" s="1531">
        <f t="shared" si="24"/>
        <v>0.15</v>
      </c>
      <c r="CP44" s="1531">
        <f t="shared" si="25"/>
        <v>0.15</v>
      </c>
      <c r="CQ44" s="1531">
        <f t="shared" si="25"/>
        <v>0.2</v>
      </c>
      <c r="CR44" s="1531">
        <f t="shared" si="27"/>
        <v>0.15</v>
      </c>
      <c r="CS44" s="1531">
        <f t="shared" si="28"/>
        <v>0.15</v>
      </c>
      <c r="CT44" s="1533">
        <f t="shared" si="13"/>
        <v>0.15</v>
      </c>
      <c r="CU44" s="1531">
        <f t="shared" si="14"/>
        <v>0.15</v>
      </c>
      <c r="CV44" s="1531">
        <f t="shared" si="15"/>
        <v>0.15</v>
      </c>
      <c r="CX44" s="1157">
        <v>3.3</v>
      </c>
      <c r="CY44" s="1161" t="s">
        <v>2099</v>
      </c>
      <c r="CZ44" s="1158" t="s">
        <v>815</v>
      </c>
      <c r="DA44" s="1520">
        <f t="shared" si="29"/>
        <v>0.15</v>
      </c>
      <c r="DB44" s="1520"/>
      <c r="DC44" s="1520"/>
      <c r="DD44" s="1520"/>
      <c r="DE44" s="1520"/>
      <c r="DF44" s="1520"/>
      <c r="DG44" s="1520"/>
      <c r="DH44" s="1520"/>
      <c r="DI44" s="1520"/>
      <c r="DJ44" s="1520"/>
      <c r="DK44" s="1623"/>
      <c r="DL44" s="1520"/>
      <c r="DM44" s="1520"/>
    </row>
    <row r="45" spans="2:117" ht="13.5" hidden="1" customHeight="1">
      <c r="B45" s="1136" t="str">
        <f t="shared" si="47"/>
        <v>3.3.1</v>
      </c>
      <c r="C45" s="1180" t="str">
        <f t="shared" si="1"/>
        <v>照度</v>
      </c>
      <c r="D45" s="1177">
        <f>IF(I$44&gt;0,G45/I$44,0)</f>
        <v>0</v>
      </c>
      <c r="E45" s="1178">
        <f>IF(J$44&gt;0,H45/J$44,0)</f>
        <v>0</v>
      </c>
      <c r="G45" s="1178">
        <f t="shared" si="43"/>
        <v>0</v>
      </c>
      <c r="H45" s="1178">
        <f t="shared" si="44"/>
        <v>0</v>
      </c>
      <c r="I45" s="1178"/>
      <c r="J45" s="1178"/>
      <c r="K45" s="1178">
        <f>IF(スコア!Q45=0,0,1)</f>
        <v>0</v>
      </c>
      <c r="L45" s="1178">
        <f>IF(スコア!S45=0,0,1)</f>
        <v>0</v>
      </c>
      <c r="M45" s="1178">
        <f t="shared" si="45"/>
        <v>0</v>
      </c>
      <c r="N45" s="1178">
        <f t="shared" si="46"/>
        <v>0</v>
      </c>
      <c r="P45" s="1179" t="str">
        <f t="shared" si="6"/>
        <v>3.3.1</v>
      </c>
      <c r="Q45" s="1179" t="str">
        <f t="shared" si="7"/>
        <v xml:space="preserve"> Q1 3.3</v>
      </c>
      <c r="R45" s="1180" t="str">
        <f t="shared" si="8"/>
        <v>照度</v>
      </c>
      <c r="S45" s="1591">
        <f t="shared" si="16"/>
        <v>0</v>
      </c>
      <c r="T45" s="1591">
        <f t="shared" si="32"/>
        <v>0</v>
      </c>
      <c r="U45" s="1591">
        <f t="shared" si="33"/>
        <v>0</v>
      </c>
      <c r="V45" s="1591">
        <f t="shared" si="34"/>
        <v>0</v>
      </c>
      <c r="W45" s="1591">
        <f t="shared" si="35"/>
        <v>0</v>
      </c>
      <c r="X45" s="1591">
        <f t="shared" si="36"/>
        <v>0</v>
      </c>
      <c r="Y45" s="1591">
        <f t="shared" si="37"/>
        <v>0</v>
      </c>
      <c r="Z45" s="1592">
        <f t="shared" si="38"/>
        <v>0</v>
      </c>
      <c r="AA45" s="1591">
        <f t="shared" si="17"/>
        <v>0</v>
      </c>
      <c r="AB45" s="1591">
        <f t="shared" si="10"/>
        <v>0</v>
      </c>
      <c r="AC45" s="1593">
        <f t="shared" si="11"/>
        <v>0</v>
      </c>
      <c r="AD45" s="1591">
        <f t="shared" si="12"/>
        <v>0</v>
      </c>
      <c r="AE45" s="1591">
        <f t="shared" si="18"/>
        <v>0</v>
      </c>
      <c r="AG45" s="1179" t="s">
        <v>1734</v>
      </c>
      <c r="AH45" s="1182" t="s">
        <v>2108</v>
      </c>
      <c r="AI45" s="1180" t="s">
        <v>1735</v>
      </c>
      <c r="AJ45" s="1159"/>
      <c r="AK45" s="1159"/>
      <c r="AL45" s="1159"/>
      <c r="AM45" s="1159"/>
      <c r="AN45" s="1159"/>
      <c r="AO45" s="1159"/>
      <c r="AP45" s="1159"/>
      <c r="AQ45" s="1173"/>
      <c r="AR45" s="1159"/>
      <c r="AS45" s="1183"/>
      <c r="AT45" s="1185"/>
      <c r="AU45" s="1183"/>
      <c r="AV45" s="1183"/>
      <c r="AX45" s="1179" t="s">
        <v>1734</v>
      </c>
      <c r="AY45" s="1182" t="s">
        <v>2108</v>
      </c>
      <c r="AZ45" s="1180" t="s">
        <v>1735</v>
      </c>
      <c r="BA45" s="1183"/>
      <c r="BB45" s="1183"/>
      <c r="BC45" s="1183"/>
      <c r="BD45" s="1183"/>
      <c r="BE45" s="1183"/>
      <c r="BF45" s="1183"/>
      <c r="BG45" s="1183"/>
      <c r="BH45" s="1184"/>
      <c r="BI45" s="1183"/>
      <c r="BJ45" s="1183"/>
      <c r="BK45" s="1185"/>
      <c r="BL45" s="1183"/>
      <c r="BM45" s="1183"/>
      <c r="BO45" s="1179" t="s">
        <v>1734</v>
      </c>
      <c r="BP45" s="1182" t="s">
        <v>2108</v>
      </c>
      <c r="BQ45" s="1180" t="s">
        <v>1735</v>
      </c>
      <c r="BR45" s="1186"/>
      <c r="BS45" s="1186"/>
      <c r="BT45" s="1186"/>
      <c r="BU45" s="1186"/>
      <c r="BV45" s="1186"/>
      <c r="BW45" s="1186"/>
      <c r="BX45" s="1186"/>
      <c r="BY45" s="1483">
        <v>0</v>
      </c>
      <c r="BZ45" s="1186"/>
      <c r="CA45" s="1186"/>
      <c r="CB45" s="1188"/>
      <c r="CC45" s="1186"/>
      <c r="CD45" s="1186"/>
      <c r="CE45" s="1383"/>
      <c r="CG45" s="1179" t="s">
        <v>1143</v>
      </c>
      <c r="CH45" s="1182" t="s">
        <v>2108</v>
      </c>
      <c r="CI45" s="1180" t="s">
        <v>1735</v>
      </c>
      <c r="CJ45" s="1538">
        <f t="shared" si="19"/>
        <v>0</v>
      </c>
      <c r="CK45" s="1538">
        <f t="shared" si="20"/>
        <v>0</v>
      </c>
      <c r="CL45" s="1538">
        <f t="shared" si="21"/>
        <v>0</v>
      </c>
      <c r="CM45" s="1538">
        <f t="shared" si="22"/>
        <v>0</v>
      </c>
      <c r="CN45" s="1538">
        <f t="shared" si="23"/>
        <v>0</v>
      </c>
      <c r="CO45" s="1538">
        <f t="shared" si="24"/>
        <v>0</v>
      </c>
      <c r="CP45" s="1538">
        <f t="shared" si="25"/>
        <v>0</v>
      </c>
      <c r="CQ45" s="1538">
        <f t="shared" si="25"/>
        <v>0</v>
      </c>
      <c r="CR45" s="1538">
        <f t="shared" si="27"/>
        <v>0</v>
      </c>
      <c r="CS45" s="1538">
        <f t="shared" si="28"/>
        <v>0</v>
      </c>
      <c r="CT45" s="1540">
        <f t="shared" si="13"/>
        <v>0</v>
      </c>
      <c r="CU45" s="1538">
        <f t="shared" si="14"/>
        <v>0</v>
      </c>
      <c r="CV45" s="1538">
        <f t="shared" si="15"/>
        <v>0</v>
      </c>
      <c r="CX45" s="1179" t="s">
        <v>1143</v>
      </c>
      <c r="CY45" s="1182" t="s">
        <v>2108</v>
      </c>
      <c r="CZ45" s="1180" t="s">
        <v>1735</v>
      </c>
      <c r="DA45" s="1627">
        <f t="shared" si="29"/>
        <v>0</v>
      </c>
      <c r="DB45" s="1627"/>
      <c r="DC45" s="1627"/>
      <c r="DD45" s="1627"/>
      <c r="DE45" s="1627"/>
      <c r="DF45" s="1627"/>
      <c r="DG45" s="1627"/>
      <c r="DH45" s="1627"/>
      <c r="DI45" s="1627"/>
      <c r="DJ45" s="1627"/>
      <c r="DK45" s="1629"/>
      <c r="DL45" s="1627"/>
      <c r="DM45" s="1627"/>
    </row>
    <row r="46" spans="2:117" ht="13.5" hidden="1" customHeight="1">
      <c r="B46" s="1136" t="str">
        <f t="shared" si="47"/>
        <v>3.3.2</v>
      </c>
      <c r="C46" s="1180" t="str">
        <f t="shared" si="1"/>
        <v>照度均斉度</v>
      </c>
      <c r="D46" s="1177">
        <f>IF(I$44&gt;0,G46/I$44,0)</f>
        <v>0</v>
      </c>
      <c r="E46" s="1178">
        <f>IF(J$44&gt;0,H46/J$44,0)</f>
        <v>0</v>
      </c>
      <c r="G46" s="1178">
        <f t="shared" si="43"/>
        <v>0</v>
      </c>
      <c r="H46" s="1178">
        <f t="shared" si="44"/>
        <v>0</v>
      </c>
      <c r="I46" s="1178"/>
      <c r="J46" s="1178"/>
      <c r="K46" s="1178">
        <f>IF(スコア!Q46=0,0,1)</f>
        <v>0</v>
      </c>
      <c r="L46" s="1178">
        <f>IF(スコア!S46=0,0,1)</f>
        <v>0</v>
      </c>
      <c r="M46" s="1178">
        <f t="shared" si="45"/>
        <v>0</v>
      </c>
      <c r="N46" s="1178">
        <f t="shared" si="46"/>
        <v>0</v>
      </c>
      <c r="P46" s="1179" t="str">
        <f t="shared" si="6"/>
        <v>3.3.2</v>
      </c>
      <c r="Q46" s="1179" t="str">
        <f t="shared" si="7"/>
        <v xml:space="preserve"> Q1 3.3</v>
      </c>
      <c r="R46" s="1180" t="str">
        <f t="shared" si="8"/>
        <v>照度均斉度</v>
      </c>
      <c r="S46" s="1591">
        <f t="shared" si="16"/>
        <v>0</v>
      </c>
      <c r="T46" s="1591">
        <f t="shared" si="32"/>
        <v>0</v>
      </c>
      <c r="U46" s="1591">
        <f t="shared" si="33"/>
        <v>0</v>
      </c>
      <c r="V46" s="1591">
        <f t="shared" si="34"/>
        <v>0</v>
      </c>
      <c r="W46" s="1591">
        <f t="shared" si="35"/>
        <v>0</v>
      </c>
      <c r="X46" s="1591">
        <f t="shared" si="36"/>
        <v>0</v>
      </c>
      <c r="Y46" s="1591">
        <f t="shared" si="37"/>
        <v>0</v>
      </c>
      <c r="Z46" s="1592">
        <f t="shared" si="38"/>
        <v>0</v>
      </c>
      <c r="AA46" s="1591">
        <f t="shared" si="17"/>
        <v>0</v>
      </c>
      <c r="AB46" s="1591">
        <f t="shared" si="10"/>
        <v>0</v>
      </c>
      <c r="AC46" s="1593">
        <f t="shared" si="11"/>
        <v>0</v>
      </c>
      <c r="AD46" s="1591">
        <f t="shared" si="12"/>
        <v>0</v>
      </c>
      <c r="AE46" s="1591">
        <f t="shared" si="18"/>
        <v>0</v>
      </c>
      <c r="AG46" s="1179" t="s">
        <v>1736</v>
      </c>
      <c r="AH46" s="1182" t="s">
        <v>2108</v>
      </c>
      <c r="AI46" s="1180" t="s">
        <v>2245</v>
      </c>
      <c r="AJ46" s="1168"/>
      <c r="AK46" s="1168"/>
      <c r="AL46" s="1168"/>
      <c r="AM46" s="1168"/>
      <c r="AN46" s="1168"/>
      <c r="AO46" s="1168"/>
      <c r="AP46" s="1168"/>
      <c r="AQ46" s="1174"/>
      <c r="AR46" s="1168"/>
      <c r="AS46" s="1183"/>
      <c r="AT46" s="1185"/>
      <c r="AU46" s="1183"/>
      <c r="AV46" s="1183"/>
      <c r="AX46" s="1179" t="s">
        <v>1736</v>
      </c>
      <c r="AY46" s="1182" t="s">
        <v>2108</v>
      </c>
      <c r="AZ46" s="1180" t="s">
        <v>2245</v>
      </c>
      <c r="BA46" s="1183"/>
      <c r="BB46" s="1183"/>
      <c r="BC46" s="1183"/>
      <c r="BD46" s="1183"/>
      <c r="BE46" s="1183"/>
      <c r="BF46" s="1183"/>
      <c r="BG46" s="1183"/>
      <c r="BH46" s="1184"/>
      <c r="BI46" s="1183"/>
      <c r="BJ46" s="1183"/>
      <c r="BK46" s="1185"/>
      <c r="BL46" s="1183"/>
      <c r="BM46" s="1183"/>
      <c r="BO46" s="1179" t="s">
        <v>1736</v>
      </c>
      <c r="BP46" s="1182" t="s">
        <v>2108</v>
      </c>
      <c r="BQ46" s="1180" t="s">
        <v>2245</v>
      </c>
      <c r="BR46" s="1186"/>
      <c r="BS46" s="1186"/>
      <c r="BT46" s="1186"/>
      <c r="BU46" s="1186"/>
      <c r="BV46" s="1186"/>
      <c r="BW46" s="1186"/>
      <c r="BX46" s="1186"/>
      <c r="BY46" s="1483">
        <v>0</v>
      </c>
      <c r="BZ46" s="1186"/>
      <c r="CA46" s="1186"/>
      <c r="CB46" s="1188"/>
      <c r="CC46" s="1186"/>
      <c r="CD46" s="1186"/>
      <c r="CE46" s="1383"/>
      <c r="CG46" s="1179" t="s">
        <v>1144</v>
      </c>
      <c r="CH46" s="1182" t="s">
        <v>2108</v>
      </c>
      <c r="CI46" s="1180" t="s">
        <v>2245</v>
      </c>
      <c r="CJ46" s="1538">
        <f t="shared" si="19"/>
        <v>0</v>
      </c>
      <c r="CK46" s="1538">
        <f t="shared" si="20"/>
        <v>0</v>
      </c>
      <c r="CL46" s="1538">
        <f t="shared" si="21"/>
        <v>0</v>
      </c>
      <c r="CM46" s="1538">
        <f t="shared" si="22"/>
        <v>0</v>
      </c>
      <c r="CN46" s="1538">
        <f t="shared" si="23"/>
        <v>0</v>
      </c>
      <c r="CO46" s="1538">
        <f t="shared" si="24"/>
        <v>0</v>
      </c>
      <c r="CP46" s="1538">
        <f t="shared" si="25"/>
        <v>0</v>
      </c>
      <c r="CQ46" s="1538">
        <f t="shared" si="25"/>
        <v>0</v>
      </c>
      <c r="CR46" s="1538">
        <f t="shared" si="27"/>
        <v>0</v>
      </c>
      <c r="CS46" s="1538">
        <f t="shared" si="28"/>
        <v>0</v>
      </c>
      <c r="CT46" s="1540">
        <f t="shared" si="13"/>
        <v>0</v>
      </c>
      <c r="CU46" s="1538">
        <f t="shared" si="14"/>
        <v>0</v>
      </c>
      <c r="CV46" s="1538">
        <f t="shared" si="15"/>
        <v>0</v>
      </c>
      <c r="CX46" s="1179" t="s">
        <v>1144</v>
      </c>
      <c r="CY46" s="1182" t="s">
        <v>2108</v>
      </c>
      <c r="CZ46" s="1180" t="s">
        <v>2245</v>
      </c>
      <c r="DA46" s="1627">
        <f t="shared" si="29"/>
        <v>0</v>
      </c>
      <c r="DB46" s="1627"/>
      <c r="DC46" s="1627"/>
      <c r="DD46" s="1627"/>
      <c r="DE46" s="1627"/>
      <c r="DF46" s="1627"/>
      <c r="DG46" s="1627"/>
      <c r="DH46" s="1627"/>
      <c r="DI46" s="1627"/>
      <c r="DJ46" s="1627"/>
      <c r="DK46" s="1629"/>
      <c r="DL46" s="1627"/>
      <c r="DM46" s="1627"/>
    </row>
    <row r="47" spans="2:117">
      <c r="B47" s="1136">
        <f t="shared" si="47"/>
        <v>3.4</v>
      </c>
      <c r="C47" s="1158" t="str">
        <f t="shared" si="1"/>
        <v>照明制御</v>
      </c>
      <c r="D47" s="1155">
        <f>IF(I$35=0,0,G47/I$35)</f>
        <v>0.25</v>
      </c>
      <c r="E47" s="1156">
        <f>IF(J$35=0,0,H47/J$35)</f>
        <v>0</v>
      </c>
      <c r="G47" s="1156">
        <f t="shared" si="43"/>
        <v>0.25</v>
      </c>
      <c r="H47" s="1156">
        <f t="shared" si="44"/>
        <v>0</v>
      </c>
      <c r="I47" s="1156"/>
      <c r="J47" s="1156"/>
      <c r="K47" s="1156">
        <f>IF(スコア!Q47=0,0,1)</f>
        <v>1</v>
      </c>
      <c r="L47" s="1156">
        <f>IF(スコア!S47=0,0,1)</f>
        <v>0</v>
      </c>
      <c r="M47" s="1156">
        <f t="shared" si="45"/>
        <v>0.25</v>
      </c>
      <c r="N47" s="1156">
        <f t="shared" si="46"/>
        <v>0.16666666666666666</v>
      </c>
      <c r="P47" s="1157">
        <f t="shared" si="6"/>
        <v>3.4</v>
      </c>
      <c r="Q47" s="1157" t="str">
        <f t="shared" si="7"/>
        <v xml:space="preserve"> Q1 3</v>
      </c>
      <c r="R47" s="1158" t="str">
        <f t="shared" si="8"/>
        <v>照明制御</v>
      </c>
      <c r="S47" s="1585">
        <f t="shared" si="16"/>
        <v>0.25</v>
      </c>
      <c r="T47" s="1585">
        <f t="shared" si="32"/>
        <v>0.25</v>
      </c>
      <c r="U47" s="1585">
        <f t="shared" si="33"/>
        <v>0.5</v>
      </c>
      <c r="V47" s="1585">
        <f t="shared" si="34"/>
        <v>0</v>
      </c>
      <c r="W47" s="1585">
        <f t="shared" si="35"/>
        <v>0.25</v>
      </c>
      <c r="X47" s="1585">
        <f t="shared" si="36"/>
        <v>0.25</v>
      </c>
      <c r="Y47" s="1585">
        <f t="shared" si="37"/>
        <v>0.25</v>
      </c>
      <c r="Z47" s="1589">
        <f t="shared" si="38"/>
        <v>0.5</v>
      </c>
      <c r="AA47" s="1585">
        <f t="shared" si="17"/>
        <v>0.25</v>
      </c>
      <c r="AB47" s="1585">
        <f t="shared" si="10"/>
        <v>0.25</v>
      </c>
      <c r="AC47" s="1586">
        <f t="shared" si="11"/>
        <v>0.25</v>
      </c>
      <c r="AD47" s="1585">
        <f t="shared" si="12"/>
        <v>0.25</v>
      </c>
      <c r="AE47" s="1585">
        <f t="shared" si="18"/>
        <v>0.25</v>
      </c>
      <c r="AG47" s="1157">
        <v>3.4</v>
      </c>
      <c r="AH47" s="1161" t="s">
        <v>2099</v>
      </c>
      <c r="AI47" s="1158" t="s">
        <v>818</v>
      </c>
      <c r="AJ47" s="1159">
        <v>0.25</v>
      </c>
      <c r="AK47" s="1159">
        <v>0.25</v>
      </c>
      <c r="AL47" s="1159">
        <v>0.5</v>
      </c>
      <c r="AM47" s="1159"/>
      <c r="AN47" s="1159">
        <v>0.25</v>
      </c>
      <c r="AO47" s="1159">
        <v>0.25</v>
      </c>
      <c r="AP47" s="1159">
        <v>0.25</v>
      </c>
      <c r="AQ47" s="1173"/>
      <c r="AR47" s="1159">
        <v>0.25</v>
      </c>
      <c r="AS47" s="1163">
        <v>0.25</v>
      </c>
      <c r="AT47" s="1164">
        <v>0.25</v>
      </c>
      <c r="AU47" s="1163">
        <v>0.25</v>
      </c>
      <c r="AV47" s="1163">
        <v>0.25</v>
      </c>
      <c r="AX47" s="1157">
        <v>3.4</v>
      </c>
      <c r="AY47" s="1161" t="s">
        <v>2099</v>
      </c>
      <c r="AZ47" s="1158" t="s">
        <v>818</v>
      </c>
      <c r="BA47" s="1163">
        <v>0.25</v>
      </c>
      <c r="BB47" s="1163">
        <v>0.25</v>
      </c>
      <c r="BC47" s="1163">
        <v>0.5</v>
      </c>
      <c r="BD47" s="1163">
        <v>0</v>
      </c>
      <c r="BE47" s="1163">
        <v>0.25</v>
      </c>
      <c r="BF47" s="1163">
        <v>0.25</v>
      </c>
      <c r="BG47" s="1163">
        <v>0.25</v>
      </c>
      <c r="BH47" s="1165"/>
      <c r="BI47" s="1163">
        <v>0.25</v>
      </c>
      <c r="BJ47" s="1163">
        <v>0.25</v>
      </c>
      <c r="BK47" s="1164">
        <v>0.25</v>
      </c>
      <c r="BL47" s="1163">
        <v>0.25</v>
      </c>
      <c r="BM47" s="1163">
        <v>0.25</v>
      </c>
      <c r="BO47" s="1157">
        <v>3.4</v>
      </c>
      <c r="BP47" s="1161" t="s">
        <v>2099</v>
      </c>
      <c r="BQ47" s="1158" t="s">
        <v>818</v>
      </c>
      <c r="BR47" s="1163">
        <v>0.25</v>
      </c>
      <c r="BS47" s="1163">
        <v>0.25</v>
      </c>
      <c r="BT47" s="1163">
        <v>0.5</v>
      </c>
      <c r="BU47" s="1163"/>
      <c r="BV47" s="1163">
        <v>0.25</v>
      </c>
      <c r="BW47" s="1163">
        <v>0.25</v>
      </c>
      <c r="BX47" s="1163">
        <v>0.25</v>
      </c>
      <c r="BY47" s="1481">
        <v>0.5</v>
      </c>
      <c r="BZ47" s="1163">
        <v>0.25</v>
      </c>
      <c r="CA47" s="1163">
        <v>0.25</v>
      </c>
      <c r="CB47" s="1164">
        <v>0.25</v>
      </c>
      <c r="CC47" s="1163">
        <v>0.25</v>
      </c>
      <c r="CD47" s="1163">
        <v>0.25</v>
      </c>
      <c r="CE47" s="1382"/>
      <c r="CG47" s="1157">
        <v>3.4</v>
      </c>
      <c r="CH47" s="1161" t="s">
        <v>2099</v>
      </c>
      <c r="CI47" s="1158" t="s">
        <v>818</v>
      </c>
      <c r="CJ47" s="1531">
        <f t="shared" si="19"/>
        <v>0.25</v>
      </c>
      <c r="CK47" s="1531">
        <f t="shared" si="20"/>
        <v>0.25</v>
      </c>
      <c r="CL47" s="1531">
        <f t="shared" si="21"/>
        <v>0.5</v>
      </c>
      <c r="CM47" s="1531">
        <f t="shared" si="22"/>
        <v>0</v>
      </c>
      <c r="CN47" s="1531">
        <f t="shared" si="23"/>
        <v>0.25</v>
      </c>
      <c r="CO47" s="1531">
        <f t="shared" si="24"/>
        <v>0.25</v>
      </c>
      <c r="CP47" s="1531">
        <f t="shared" si="25"/>
        <v>0.25</v>
      </c>
      <c r="CQ47" s="1531">
        <f t="shared" si="25"/>
        <v>0.5</v>
      </c>
      <c r="CR47" s="1531">
        <f t="shared" si="27"/>
        <v>0.25</v>
      </c>
      <c r="CS47" s="1531">
        <f t="shared" si="28"/>
        <v>0.25</v>
      </c>
      <c r="CT47" s="1533">
        <f t="shared" si="13"/>
        <v>0.25</v>
      </c>
      <c r="CU47" s="1531">
        <f t="shared" si="14"/>
        <v>0.25</v>
      </c>
      <c r="CV47" s="1531">
        <f t="shared" si="15"/>
        <v>0.25</v>
      </c>
      <c r="CX47" s="1157">
        <v>3.4</v>
      </c>
      <c r="CY47" s="1161" t="s">
        <v>2099</v>
      </c>
      <c r="CZ47" s="1158" t="s">
        <v>818</v>
      </c>
      <c r="DA47" s="1520">
        <f t="shared" si="29"/>
        <v>0.25</v>
      </c>
      <c r="DB47" s="1520"/>
      <c r="DC47" s="1520"/>
      <c r="DD47" s="1520"/>
      <c r="DE47" s="1520"/>
      <c r="DF47" s="1520"/>
      <c r="DG47" s="1520"/>
      <c r="DH47" s="1520"/>
      <c r="DI47" s="1520"/>
      <c r="DJ47" s="1520"/>
      <c r="DK47" s="1623"/>
      <c r="DL47" s="1520"/>
      <c r="DM47" s="1520"/>
    </row>
    <row r="48" spans="2:117">
      <c r="B48" s="1136">
        <f t="shared" si="47"/>
        <v>4</v>
      </c>
      <c r="C48" s="1148" t="str">
        <f t="shared" si="1"/>
        <v>空気質環境</v>
      </c>
      <c r="D48" s="1144">
        <f>IF(I$9=0,0,G48/I$9)</f>
        <v>0.25</v>
      </c>
      <c r="E48" s="1145">
        <f>IF(J$9=0,0,H48/J$9)</f>
        <v>0</v>
      </c>
      <c r="G48" s="1145">
        <f t="shared" si="43"/>
        <v>0.25</v>
      </c>
      <c r="H48" s="1145">
        <f t="shared" si="44"/>
        <v>0</v>
      </c>
      <c r="I48" s="1145">
        <f>G49+G54+G59</f>
        <v>0.93333333333333335</v>
      </c>
      <c r="J48" s="1145">
        <f>H49+H54+H59</f>
        <v>0.66666666666666663</v>
      </c>
      <c r="K48" s="1145">
        <f>IF(L48&gt;0,1,IF(スコア!Q48=0,0,1))</f>
        <v>1</v>
      </c>
      <c r="L48" s="1145">
        <f>IF(スコア!S48=0,0,1)</f>
        <v>1</v>
      </c>
      <c r="M48" s="1145">
        <f t="shared" si="45"/>
        <v>0.25</v>
      </c>
      <c r="N48" s="1145">
        <f t="shared" si="46"/>
        <v>0</v>
      </c>
      <c r="P48" s="1147">
        <f t="shared" si="6"/>
        <v>4</v>
      </c>
      <c r="Q48" s="1147" t="str">
        <f t="shared" si="7"/>
        <v xml:space="preserve"> Q1</v>
      </c>
      <c r="R48" s="1148" t="str">
        <f t="shared" si="8"/>
        <v>空気質環境</v>
      </c>
      <c r="S48" s="1582">
        <f t="shared" si="16"/>
        <v>0.25</v>
      </c>
      <c r="T48" s="1582">
        <f t="shared" si="32"/>
        <v>0.25</v>
      </c>
      <c r="U48" s="1582">
        <f t="shared" si="33"/>
        <v>0.25</v>
      </c>
      <c r="V48" s="1582">
        <f t="shared" si="34"/>
        <v>0.25</v>
      </c>
      <c r="W48" s="1582">
        <f t="shared" si="35"/>
        <v>0.25</v>
      </c>
      <c r="X48" s="1582">
        <f t="shared" si="36"/>
        <v>0.25</v>
      </c>
      <c r="Y48" s="1582">
        <f t="shared" si="37"/>
        <v>0.25</v>
      </c>
      <c r="Z48" s="1588">
        <f t="shared" si="38"/>
        <v>0.25</v>
      </c>
      <c r="AA48" s="1582">
        <f t="shared" si="17"/>
        <v>0.25</v>
      </c>
      <c r="AB48" s="1582">
        <f t="shared" si="10"/>
        <v>0.25</v>
      </c>
      <c r="AC48" s="1584">
        <f t="shared" si="11"/>
        <v>0</v>
      </c>
      <c r="AD48" s="1582">
        <f t="shared" si="12"/>
        <v>0</v>
      </c>
      <c r="AE48" s="1582">
        <f t="shared" si="18"/>
        <v>0</v>
      </c>
      <c r="AG48" s="1147">
        <v>4</v>
      </c>
      <c r="AH48" s="1151" t="s">
        <v>781</v>
      </c>
      <c r="AI48" s="1148" t="s">
        <v>71</v>
      </c>
      <c r="AJ48" s="1189">
        <v>0.25</v>
      </c>
      <c r="AK48" s="1189">
        <v>0.25</v>
      </c>
      <c r="AL48" s="1189">
        <v>0.25</v>
      </c>
      <c r="AM48" s="1189">
        <v>0.25</v>
      </c>
      <c r="AN48" s="1189">
        <v>0.25</v>
      </c>
      <c r="AO48" s="1189">
        <v>0.25</v>
      </c>
      <c r="AP48" s="1189">
        <v>0.25</v>
      </c>
      <c r="AQ48" s="1172">
        <v>0.33</v>
      </c>
      <c r="AR48" s="1189">
        <v>0.25</v>
      </c>
      <c r="AS48" s="1152">
        <v>0.25</v>
      </c>
      <c r="AT48" s="1153"/>
      <c r="AU48" s="1152"/>
      <c r="AV48" s="1152"/>
      <c r="AX48" s="1147">
        <v>4</v>
      </c>
      <c r="AY48" s="1151" t="s">
        <v>781</v>
      </c>
      <c r="AZ48" s="1148" t="s">
        <v>71</v>
      </c>
      <c r="BA48" s="1152">
        <v>0.25</v>
      </c>
      <c r="BB48" s="1152">
        <v>0.25</v>
      </c>
      <c r="BC48" s="1152">
        <v>0.25</v>
      </c>
      <c r="BD48" s="1152">
        <v>0.25</v>
      </c>
      <c r="BE48" s="1152">
        <v>0.25</v>
      </c>
      <c r="BF48" s="1152">
        <v>0.25</v>
      </c>
      <c r="BG48" s="1152">
        <v>0.25</v>
      </c>
      <c r="BH48" s="1172">
        <v>0.33</v>
      </c>
      <c r="BI48" s="1152">
        <v>0.25</v>
      </c>
      <c r="BJ48" s="1152">
        <v>0.25</v>
      </c>
      <c r="BK48" s="1153"/>
      <c r="BL48" s="1152"/>
      <c r="BM48" s="1152"/>
      <c r="BO48" s="1147">
        <v>4</v>
      </c>
      <c r="BP48" s="1151" t="s">
        <v>781</v>
      </c>
      <c r="BQ48" s="1148" t="s">
        <v>71</v>
      </c>
      <c r="BR48" s="1189">
        <v>0.25</v>
      </c>
      <c r="BS48" s="1189">
        <v>0.25</v>
      </c>
      <c r="BT48" s="1189">
        <v>0.25</v>
      </c>
      <c r="BU48" s="1189">
        <v>0.25</v>
      </c>
      <c r="BV48" s="1189">
        <v>0.25</v>
      </c>
      <c r="BW48" s="1189">
        <v>0.25</v>
      </c>
      <c r="BX48" s="1189">
        <v>0.25</v>
      </c>
      <c r="BY48" s="1478">
        <v>0.25</v>
      </c>
      <c r="BZ48" s="1189">
        <v>0.25</v>
      </c>
      <c r="CA48" s="1189">
        <v>0.25</v>
      </c>
      <c r="CB48" s="1190"/>
      <c r="CC48" s="1189"/>
      <c r="CD48" s="1189"/>
      <c r="CE48" s="1384"/>
      <c r="CG48" s="1147">
        <v>4</v>
      </c>
      <c r="CH48" s="1151" t="s">
        <v>781</v>
      </c>
      <c r="CI48" s="1148" t="s">
        <v>71</v>
      </c>
      <c r="CJ48" s="1528">
        <f t="shared" si="19"/>
        <v>0.25</v>
      </c>
      <c r="CK48" s="1528">
        <f t="shared" si="20"/>
        <v>0.25</v>
      </c>
      <c r="CL48" s="1528">
        <f t="shared" si="21"/>
        <v>0.25</v>
      </c>
      <c r="CM48" s="1528">
        <f t="shared" si="22"/>
        <v>0.25</v>
      </c>
      <c r="CN48" s="1528">
        <f t="shared" si="23"/>
        <v>0.25</v>
      </c>
      <c r="CO48" s="1528">
        <f t="shared" si="24"/>
        <v>0.25</v>
      </c>
      <c r="CP48" s="1528">
        <f t="shared" si="25"/>
        <v>0.25</v>
      </c>
      <c r="CQ48" s="1528">
        <f t="shared" si="25"/>
        <v>0.25</v>
      </c>
      <c r="CR48" s="1528">
        <f t="shared" si="27"/>
        <v>0.25</v>
      </c>
      <c r="CS48" s="1528">
        <f t="shared" si="28"/>
        <v>0.25</v>
      </c>
      <c r="CT48" s="1530">
        <f t="shared" si="13"/>
        <v>0</v>
      </c>
      <c r="CU48" s="1528">
        <f t="shared" si="14"/>
        <v>0</v>
      </c>
      <c r="CV48" s="1528">
        <f t="shared" si="15"/>
        <v>0</v>
      </c>
      <c r="CX48" s="1147">
        <v>4</v>
      </c>
      <c r="CY48" s="1151" t="s">
        <v>781</v>
      </c>
      <c r="CZ48" s="1148" t="s">
        <v>71</v>
      </c>
      <c r="DA48" s="1518">
        <f t="shared" si="29"/>
        <v>0.25</v>
      </c>
      <c r="DB48" s="1518"/>
      <c r="DC48" s="1518"/>
      <c r="DD48" s="1518"/>
      <c r="DE48" s="1518"/>
      <c r="DF48" s="1518"/>
      <c r="DG48" s="1518"/>
      <c r="DH48" s="1518"/>
      <c r="DI48" s="1518"/>
      <c r="DJ48" s="1518"/>
      <c r="DK48" s="1519"/>
      <c r="DL48" s="1518"/>
      <c r="DM48" s="1518"/>
    </row>
    <row r="49" spans="2:117">
      <c r="B49" s="1136">
        <f t="shared" si="47"/>
        <v>4.0999999999999996</v>
      </c>
      <c r="C49" s="1158" t="str">
        <f t="shared" si="1"/>
        <v>発生源対策</v>
      </c>
      <c r="D49" s="1155">
        <f>IF(I$48=0,0,G49/I$48)</f>
        <v>0.6071428571428571</v>
      </c>
      <c r="E49" s="1156">
        <f>IF(J$48=0,0,H49/J$48)</f>
        <v>0.625</v>
      </c>
      <c r="G49" s="1156">
        <f t="shared" si="43"/>
        <v>0.56666666666666665</v>
      </c>
      <c r="H49" s="1156">
        <f t="shared" si="44"/>
        <v>0.41666666666666663</v>
      </c>
      <c r="I49" s="1156">
        <f>SUM(G50:G53)</f>
        <v>1</v>
      </c>
      <c r="J49" s="1156">
        <f>SUM(H50:H53)</f>
        <v>0.66666666666666663</v>
      </c>
      <c r="K49" s="1156">
        <f>IF(スコア!Q49=0,0,1)</f>
        <v>1</v>
      </c>
      <c r="L49" s="1156">
        <f>IF(スコア!S49=0,0,1)</f>
        <v>1</v>
      </c>
      <c r="M49" s="1156">
        <f t="shared" si="45"/>
        <v>0.56666666666666665</v>
      </c>
      <c r="N49" s="1156">
        <f t="shared" si="46"/>
        <v>0.41666666666666663</v>
      </c>
      <c r="P49" s="1157">
        <f t="shared" si="6"/>
        <v>4.0999999999999996</v>
      </c>
      <c r="Q49" s="1157" t="str">
        <f t="shared" si="7"/>
        <v xml:space="preserve"> Q1 4</v>
      </c>
      <c r="R49" s="1158" t="str">
        <f t="shared" si="8"/>
        <v>発生源対策</v>
      </c>
      <c r="S49" s="1585">
        <f t="shared" si="16"/>
        <v>0.5</v>
      </c>
      <c r="T49" s="1585">
        <f t="shared" si="32"/>
        <v>0.5</v>
      </c>
      <c r="U49" s="1585">
        <f t="shared" si="33"/>
        <v>0.5</v>
      </c>
      <c r="V49" s="1585">
        <f t="shared" si="34"/>
        <v>0.5</v>
      </c>
      <c r="W49" s="1585">
        <f t="shared" si="35"/>
        <v>0.5</v>
      </c>
      <c r="X49" s="1585">
        <f t="shared" si="36"/>
        <v>0.5</v>
      </c>
      <c r="Y49" s="1585">
        <f t="shared" si="37"/>
        <v>0.6</v>
      </c>
      <c r="Z49" s="1587">
        <f t="shared" si="38"/>
        <v>0.5</v>
      </c>
      <c r="AA49" s="1585">
        <f t="shared" si="17"/>
        <v>0.5</v>
      </c>
      <c r="AB49" s="1585">
        <f t="shared" si="10"/>
        <v>0.5</v>
      </c>
      <c r="AC49" s="1586">
        <f t="shared" si="11"/>
        <v>0.625</v>
      </c>
      <c r="AD49" s="1585">
        <f t="shared" si="12"/>
        <v>0.625</v>
      </c>
      <c r="AE49" s="1585">
        <f t="shared" si="18"/>
        <v>0.625</v>
      </c>
      <c r="AG49" s="1157">
        <v>4.0999999999999996</v>
      </c>
      <c r="AH49" s="1161" t="s">
        <v>2109</v>
      </c>
      <c r="AI49" s="1158" t="s">
        <v>820</v>
      </c>
      <c r="AJ49" s="1191">
        <v>0.5</v>
      </c>
      <c r="AK49" s="1191">
        <v>0.5</v>
      </c>
      <c r="AL49" s="1191">
        <v>0.5</v>
      </c>
      <c r="AM49" s="1191">
        <v>0.5</v>
      </c>
      <c r="AN49" s="1191">
        <v>0.5</v>
      </c>
      <c r="AO49" s="1191">
        <v>0.5</v>
      </c>
      <c r="AP49" s="1191">
        <v>0.6</v>
      </c>
      <c r="AQ49" s="1192">
        <v>0.5</v>
      </c>
      <c r="AR49" s="1191">
        <v>0.5</v>
      </c>
      <c r="AS49" s="1163">
        <v>0.5</v>
      </c>
      <c r="AT49" s="1164">
        <v>0.625</v>
      </c>
      <c r="AU49" s="1163">
        <v>0.625</v>
      </c>
      <c r="AV49" s="1163">
        <v>0.625</v>
      </c>
      <c r="AX49" s="1157">
        <v>4.0999999999999996</v>
      </c>
      <c r="AY49" s="1161" t="s">
        <v>2109</v>
      </c>
      <c r="AZ49" s="1158" t="s">
        <v>820</v>
      </c>
      <c r="BA49" s="1163">
        <v>0.5</v>
      </c>
      <c r="BB49" s="1163">
        <v>0.5</v>
      </c>
      <c r="BC49" s="1163">
        <v>0.5</v>
      </c>
      <c r="BD49" s="1163">
        <v>0.5</v>
      </c>
      <c r="BE49" s="1163">
        <v>0.5</v>
      </c>
      <c r="BF49" s="1163">
        <v>0.5</v>
      </c>
      <c r="BG49" s="1163">
        <v>0.6</v>
      </c>
      <c r="BH49" s="1170">
        <v>0.5</v>
      </c>
      <c r="BI49" s="1163">
        <v>0.5</v>
      </c>
      <c r="BJ49" s="1163">
        <v>0.5</v>
      </c>
      <c r="BK49" s="1164">
        <v>0.625</v>
      </c>
      <c r="BL49" s="1163">
        <v>0.625</v>
      </c>
      <c r="BM49" s="1163">
        <v>0.625</v>
      </c>
      <c r="BO49" s="1157">
        <v>4.0999999999999996</v>
      </c>
      <c r="BP49" s="1161" t="s">
        <v>2109</v>
      </c>
      <c r="BQ49" s="1158" t="s">
        <v>820</v>
      </c>
      <c r="BR49" s="1191">
        <v>0.5</v>
      </c>
      <c r="BS49" s="1191">
        <v>0.5</v>
      </c>
      <c r="BT49" s="1191">
        <v>0.5</v>
      </c>
      <c r="BU49" s="1191">
        <v>0.5</v>
      </c>
      <c r="BV49" s="1191">
        <v>0.5</v>
      </c>
      <c r="BW49" s="1191">
        <v>0.5</v>
      </c>
      <c r="BX49" s="1191">
        <v>0.6</v>
      </c>
      <c r="BY49" s="1484">
        <v>0.5</v>
      </c>
      <c r="BZ49" s="1191">
        <v>0.5</v>
      </c>
      <c r="CA49" s="1191">
        <v>0.5</v>
      </c>
      <c r="CB49" s="1193">
        <v>0.625</v>
      </c>
      <c r="CC49" s="1191">
        <v>0.625</v>
      </c>
      <c r="CD49" s="1191">
        <v>0.625</v>
      </c>
      <c r="CE49" s="1383"/>
      <c r="CG49" s="1157">
        <v>4.0999999999999996</v>
      </c>
      <c r="CH49" s="1161" t="s">
        <v>2109</v>
      </c>
      <c r="CI49" s="1158" t="s">
        <v>820</v>
      </c>
      <c r="CJ49" s="1531">
        <f t="shared" si="19"/>
        <v>0.5</v>
      </c>
      <c r="CK49" s="1531">
        <f t="shared" si="20"/>
        <v>0.5</v>
      </c>
      <c r="CL49" s="1531">
        <f t="shared" si="21"/>
        <v>0.5</v>
      </c>
      <c r="CM49" s="1531">
        <f t="shared" si="22"/>
        <v>0.5</v>
      </c>
      <c r="CN49" s="1531">
        <f t="shared" si="23"/>
        <v>0.5</v>
      </c>
      <c r="CO49" s="1531">
        <f t="shared" si="24"/>
        <v>0.5</v>
      </c>
      <c r="CP49" s="1531">
        <f t="shared" si="25"/>
        <v>0.6</v>
      </c>
      <c r="CQ49" s="1531">
        <f t="shared" si="25"/>
        <v>0.5</v>
      </c>
      <c r="CR49" s="1531">
        <f t="shared" si="27"/>
        <v>0.5</v>
      </c>
      <c r="CS49" s="1531">
        <f t="shared" si="28"/>
        <v>0.5</v>
      </c>
      <c r="CT49" s="1533">
        <f t="shared" si="13"/>
        <v>0.625</v>
      </c>
      <c r="CU49" s="1531">
        <f t="shared" si="14"/>
        <v>0.625</v>
      </c>
      <c r="CV49" s="1531">
        <f t="shared" si="15"/>
        <v>0.625</v>
      </c>
      <c r="CX49" s="1157">
        <v>4.0999999999999996</v>
      </c>
      <c r="CY49" s="1161" t="s">
        <v>2109</v>
      </c>
      <c r="CZ49" s="1158" t="s">
        <v>820</v>
      </c>
      <c r="DA49" s="1520">
        <f t="shared" si="29"/>
        <v>0.5</v>
      </c>
      <c r="DB49" s="1520"/>
      <c r="DC49" s="1520"/>
      <c r="DD49" s="1520"/>
      <c r="DE49" s="1520"/>
      <c r="DF49" s="1520"/>
      <c r="DG49" s="1520"/>
      <c r="DH49" s="1520"/>
      <c r="DI49" s="1520"/>
      <c r="DJ49" s="1520"/>
      <c r="DK49" s="1623"/>
      <c r="DL49" s="1520"/>
      <c r="DM49" s="1520"/>
    </row>
    <row r="50" spans="2:117">
      <c r="B50" s="1136" t="str">
        <f t="shared" si="47"/>
        <v>4.1.1</v>
      </c>
      <c r="C50" s="1158" t="str">
        <f t="shared" si="1"/>
        <v xml:space="preserve"> 化学汚染物質</v>
      </c>
      <c r="D50" s="1146">
        <f t="shared" ref="D50:E53" si="48">IF(I$49&gt;0,G50/I$49,0)</f>
        <v>1</v>
      </c>
      <c r="E50" s="1156">
        <f t="shared" si="48"/>
        <v>1</v>
      </c>
      <c r="G50" s="1156">
        <f t="shared" si="43"/>
        <v>1</v>
      </c>
      <c r="H50" s="1156">
        <f t="shared" si="44"/>
        <v>0.66666666666666663</v>
      </c>
      <c r="I50" s="1156"/>
      <c r="J50" s="1156"/>
      <c r="K50" s="1156">
        <f>IF(スコア!Q50=0,0,1)</f>
        <v>1</v>
      </c>
      <c r="L50" s="1156">
        <f>IF(スコア!S50=0,0,1)</f>
        <v>1</v>
      </c>
      <c r="M50" s="1156">
        <f t="shared" si="45"/>
        <v>1</v>
      </c>
      <c r="N50" s="1156">
        <f t="shared" si="46"/>
        <v>0.66666666666666663</v>
      </c>
      <c r="P50" s="1157" t="str">
        <f t="shared" si="6"/>
        <v>4.1.1</v>
      </c>
      <c r="Q50" s="1157" t="str">
        <f t="shared" si="7"/>
        <v xml:space="preserve"> Q1 4.1</v>
      </c>
      <c r="R50" s="1158" t="str">
        <f t="shared" si="8"/>
        <v xml:space="preserve"> 化学汚染物質</v>
      </c>
      <c r="S50" s="1585">
        <f t="shared" si="16"/>
        <v>1</v>
      </c>
      <c r="T50" s="1585">
        <f t="shared" si="32"/>
        <v>1</v>
      </c>
      <c r="U50" s="1585">
        <f t="shared" si="33"/>
        <v>1</v>
      </c>
      <c r="V50" s="1585">
        <f t="shared" si="34"/>
        <v>1</v>
      </c>
      <c r="W50" s="1585">
        <f t="shared" si="35"/>
        <v>1</v>
      </c>
      <c r="X50" s="1585">
        <f t="shared" si="36"/>
        <v>1</v>
      </c>
      <c r="Y50" s="1585">
        <f t="shared" si="37"/>
        <v>1</v>
      </c>
      <c r="Z50" s="1587">
        <f t="shared" si="38"/>
        <v>1</v>
      </c>
      <c r="AA50" s="1585">
        <f t="shared" si="17"/>
        <v>1</v>
      </c>
      <c r="AB50" s="1585">
        <f t="shared" si="10"/>
        <v>1</v>
      </c>
      <c r="AC50" s="1586">
        <f t="shared" si="11"/>
        <v>1</v>
      </c>
      <c r="AD50" s="1585">
        <f t="shared" si="12"/>
        <v>1</v>
      </c>
      <c r="AE50" s="1585">
        <f t="shared" si="18"/>
        <v>1</v>
      </c>
      <c r="AG50" s="1157" t="s">
        <v>2246</v>
      </c>
      <c r="AH50" s="1161" t="s">
        <v>2110</v>
      </c>
      <c r="AI50" s="1158" t="s">
        <v>2111</v>
      </c>
      <c r="AJ50" s="1191">
        <v>0.25</v>
      </c>
      <c r="AK50" s="1191">
        <v>0.25</v>
      </c>
      <c r="AL50" s="1191">
        <v>0.25</v>
      </c>
      <c r="AM50" s="1191">
        <v>0.25</v>
      </c>
      <c r="AN50" s="1194">
        <v>0.25</v>
      </c>
      <c r="AO50" s="1194">
        <v>0.33</v>
      </c>
      <c r="AP50" s="1194">
        <v>0.33</v>
      </c>
      <c r="AQ50" s="1192">
        <v>0.25</v>
      </c>
      <c r="AR50" s="1191">
        <v>0.25</v>
      </c>
      <c r="AS50" s="1163">
        <v>0.25</v>
      </c>
      <c r="AT50" s="1164">
        <v>0.25</v>
      </c>
      <c r="AU50" s="1163">
        <v>0.25</v>
      </c>
      <c r="AV50" s="1163">
        <v>0.25</v>
      </c>
      <c r="AX50" s="1157" t="s">
        <v>2246</v>
      </c>
      <c r="AY50" s="1161" t="s">
        <v>2110</v>
      </c>
      <c r="AZ50" s="1158" t="s">
        <v>2111</v>
      </c>
      <c r="BA50" s="1163">
        <v>1</v>
      </c>
      <c r="BB50" s="1163">
        <v>1</v>
      </c>
      <c r="BC50" s="1163">
        <v>1</v>
      </c>
      <c r="BD50" s="1163">
        <v>1</v>
      </c>
      <c r="BE50" s="1163">
        <v>1</v>
      </c>
      <c r="BF50" s="1163">
        <v>1</v>
      </c>
      <c r="BG50" s="1163">
        <v>1</v>
      </c>
      <c r="BH50" s="1170">
        <v>1</v>
      </c>
      <c r="BI50" s="1163">
        <v>1</v>
      </c>
      <c r="BJ50" s="1163">
        <v>1</v>
      </c>
      <c r="BK50" s="1164">
        <v>1</v>
      </c>
      <c r="BL50" s="1163">
        <v>1</v>
      </c>
      <c r="BM50" s="1163">
        <v>1</v>
      </c>
      <c r="BO50" s="1157" t="s">
        <v>2246</v>
      </c>
      <c r="BP50" s="1161" t="s">
        <v>2110</v>
      </c>
      <c r="BQ50" s="1158" t="s">
        <v>2111</v>
      </c>
      <c r="BR50" s="1644">
        <v>1</v>
      </c>
      <c r="BS50" s="1644">
        <v>1</v>
      </c>
      <c r="BT50" s="1644">
        <v>1</v>
      </c>
      <c r="BU50" s="1644">
        <v>1</v>
      </c>
      <c r="BV50" s="1644">
        <v>1</v>
      </c>
      <c r="BW50" s="1644">
        <v>1</v>
      </c>
      <c r="BX50" s="1644">
        <v>1</v>
      </c>
      <c r="BY50" s="1644">
        <v>1</v>
      </c>
      <c r="BZ50" s="1644">
        <v>1</v>
      </c>
      <c r="CA50" s="1644">
        <v>1</v>
      </c>
      <c r="CB50" s="1644">
        <v>1</v>
      </c>
      <c r="CC50" s="1644">
        <v>1</v>
      </c>
      <c r="CD50" s="1644">
        <v>1</v>
      </c>
      <c r="CE50" s="1383"/>
      <c r="CG50" s="1157" t="s">
        <v>1316</v>
      </c>
      <c r="CH50" s="1161" t="s">
        <v>2110</v>
      </c>
      <c r="CI50" s="1158" t="s">
        <v>2111</v>
      </c>
      <c r="CJ50" s="1531">
        <f t="shared" si="19"/>
        <v>1</v>
      </c>
      <c r="CK50" s="1531">
        <f t="shared" si="20"/>
        <v>1</v>
      </c>
      <c r="CL50" s="1531">
        <f t="shared" si="21"/>
        <v>1</v>
      </c>
      <c r="CM50" s="1531">
        <f t="shared" si="22"/>
        <v>1</v>
      </c>
      <c r="CN50" s="1531">
        <f t="shared" si="23"/>
        <v>1</v>
      </c>
      <c r="CO50" s="1531">
        <f t="shared" si="24"/>
        <v>1</v>
      </c>
      <c r="CP50" s="1531">
        <f t="shared" si="25"/>
        <v>1</v>
      </c>
      <c r="CQ50" s="1531">
        <f t="shared" si="25"/>
        <v>1</v>
      </c>
      <c r="CR50" s="1531">
        <f t="shared" si="27"/>
        <v>1</v>
      </c>
      <c r="CS50" s="1531">
        <f t="shared" si="28"/>
        <v>1</v>
      </c>
      <c r="CT50" s="1531">
        <f t="shared" si="13"/>
        <v>1</v>
      </c>
      <c r="CU50" s="1531">
        <f t="shared" si="14"/>
        <v>1</v>
      </c>
      <c r="CV50" s="1531">
        <f t="shared" si="15"/>
        <v>1</v>
      </c>
      <c r="CX50" s="1157" t="s">
        <v>1316</v>
      </c>
      <c r="CY50" s="1161" t="s">
        <v>2110</v>
      </c>
      <c r="CZ50" s="1158" t="s">
        <v>2111</v>
      </c>
      <c r="DA50" s="1520">
        <f t="shared" si="29"/>
        <v>1</v>
      </c>
      <c r="DB50" s="1520"/>
      <c r="DC50" s="1520"/>
      <c r="DD50" s="1520"/>
      <c r="DE50" s="1520"/>
      <c r="DF50" s="1520"/>
      <c r="DG50" s="1520"/>
      <c r="DH50" s="1520"/>
      <c r="DI50" s="1520"/>
      <c r="DJ50" s="1520"/>
      <c r="DK50" s="1520"/>
      <c r="DL50" s="1520"/>
      <c r="DM50" s="1520"/>
    </row>
    <row r="51" spans="2:117" hidden="1">
      <c r="B51" s="1136" t="str">
        <f t="shared" si="47"/>
        <v>4.1.2</v>
      </c>
      <c r="C51" s="1180">
        <f t="shared" si="1"/>
        <v>0</v>
      </c>
      <c r="D51" s="1177">
        <f t="shared" si="48"/>
        <v>0</v>
      </c>
      <c r="E51" s="1178">
        <f t="shared" si="48"/>
        <v>0</v>
      </c>
      <c r="G51" s="1178">
        <f t="shared" si="43"/>
        <v>0</v>
      </c>
      <c r="H51" s="1178">
        <f t="shared" si="44"/>
        <v>0</v>
      </c>
      <c r="I51" s="1178"/>
      <c r="J51" s="1178"/>
      <c r="K51" s="1178">
        <f>IF(スコア!Q51=0,0,1)</f>
        <v>0</v>
      </c>
      <c r="L51" s="1178">
        <f>IF(スコア!S51=0,0,1)</f>
        <v>0</v>
      </c>
      <c r="M51" s="1178">
        <f t="shared" si="45"/>
        <v>0</v>
      </c>
      <c r="N51" s="1178">
        <f t="shared" si="46"/>
        <v>0</v>
      </c>
      <c r="P51" s="1179" t="str">
        <f t="shared" si="6"/>
        <v>4.1.2</v>
      </c>
      <c r="Q51" s="1179" t="str">
        <f t="shared" si="7"/>
        <v xml:space="preserve"> Q1 4.1</v>
      </c>
      <c r="R51" s="1180">
        <f t="shared" si="8"/>
        <v>0</v>
      </c>
      <c r="S51" s="1591">
        <f t="shared" si="16"/>
        <v>0</v>
      </c>
      <c r="T51" s="1591">
        <f t="shared" si="32"/>
        <v>0</v>
      </c>
      <c r="U51" s="1591">
        <f t="shared" si="33"/>
        <v>0</v>
      </c>
      <c r="V51" s="1591">
        <f t="shared" si="34"/>
        <v>0</v>
      </c>
      <c r="W51" s="1591">
        <f t="shared" si="35"/>
        <v>0</v>
      </c>
      <c r="X51" s="1591">
        <f t="shared" si="36"/>
        <v>0</v>
      </c>
      <c r="Y51" s="1591">
        <f t="shared" si="37"/>
        <v>0</v>
      </c>
      <c r="Z51" s="1592">
        <f t="shared" si="38"/>
        <v>0</v>
      </c>
      <c r="AA51" s="1591">
        <f t="shared" si="17"/>
        <v>0</v>
      </c>
      <c r="AB51" s="1591">
        <f t="shared" si="10"/>
        <v>0</v>
      </c>
      <c r="AC51" s="1593">
        <f t="shared" si="11"/>
        <v>0</v>
      </c>
      <c r="AD51" s="1591">
        <f t="shared" si="12"/>
        <v>0</v>
      </c>
      <c r="AE51" s="1591">
        <f t="shared" si="18"/>
        <v>0</v>
      </c>
      <c r="AG51" s="1157" t="s">
        <v>2247</v>
      </c>
      <c r="AH51" s="1161" t="s">
        <v>2110</v>
      </c>
      <c r="AI51" s="1158" t="s">
        <v>2248</v>
      </c>
      <c r="AJ51" s="1191">
        <v>0.25</v>
      </c>
      <c r="AK51" s="1191">
        <v>0.25</v>
      </c>
      <c r="AL51" s="1191">
        <v>0.25</v>
      </c>
      <c r="AM51" s="1191">
        <v>0.25</v>
      </c>
      <c r="AN51" s="1194">
        <v>0.25</v>
      </c>
      <c r="AO51" s="1194">
        <v>0.33</v>
      </c>
      <c r="AP51" s="1194">
        <v>0.33</v>
      </c>
      <c r="AQ51" s="1192">
        <v>0.25</v>
      </c>
      <c r="AR51" s="1191">
        <v>0.25</v>
      </c>
      <c r="AS51" s="1163">
        <v>0.25</v>
      </c>
      <c r="AT51" s="1164">
        <v>0.25</v>
      </c>
      <c r="AU51" s="1163">
        <v>0.25</v>
      </c>
      <c r="AV51" s="1163">
        <v>0.25</v>
      </c>
      <c r="AX51" s="1179" t="s">
        <v>2247</v>
      </c>
      <c r="AY51" s="1182" t="s">
        <v>2110</v>
      </c>
      <c r="AZ51" s="1180" t="s">
        <v>2248</v>
      </c>
      <c r="BA51" s="1183"/>
      <c r="BB51" s="1183"/>
      <c r="BC51" s="1183"/>
      <c r="BD51" s="1183"/>
      <c r="BE51" s="1183"/>
      <c r="BF51" s="1183"/>
      <c r="BG51" s="1183"/>
      <c r="BH51" s="1184"/>
      <c r="BI51" s="1183"/>
      <c r="BJ51" s="1183"/>
      <c r="BK51" s="1185"/>
      <c r="BL51" s="1183"/>
      <c r="BM51" s="1183"/>
      <c r="BO51" s="1179" t="s">
        <v>2247</v>
      </c>
      <c r="BP51" s="1182" t="s">
        <v>2110</v>
      </c>
      <c r="BQ51" s="1180"/>
      <c r="BR51" s="1186"/>
      <c r="BS51" s="1186"/>
      <c r="BT51" s="1186"/>
      <c r="BU51" s="1186"/>
      <c r="BV51" s="1186"/>
      <c r="BW51" s="1186"/>
      <c r="BX51" s="1186"/>
      <c r="BY51" s="1480"/>
      <c r="BZ51" s="1186"/>
      <c r="CA51" s="1186"/>
      <c r="CB51" s="1188"/>
      <c r="CC51" s="1186"/>
      <c r="CD51" s="1186"/>
      <c r="CE51" s="1383"/>
      <c r="CG51" s="1179" t="s">
        <v>1317</v>
      </c>
      <c r="CH51" s="1182" t="s">
        <v>2110</v>
      </c>
      <c r="CI51" s="1180"/>
      <c r="CJ51" s="1538"/>
      <c r="CK51" s="1538"/>
      <c r="CL51" s="1538"/>
      <c r="CM51" s="1538"/>
      <c r="CN51" s="1538"/>
      <c r="CO51" s="1538"/>
      <c r="CP51" s="1538"/>
      <c r="CQ51" s="1539"/>
      <c r="CR51" s="1538"/>
      <c r="CS51" s="1538"/>
      <c r="CT51" s="1540"/>
      <c r="CU51" s="1538"/>
      <c r="CV51" s="1538"/>
      <c r="CX51" s="1179"/>
      <c r="CY51" s="1182"/>
      <c r="CZ51" s="1180"/>
      <c r="DA51" s="1627"/>
      <c r="DB51" s="1627"/>
      <c r="DC51" s="1627"/>
      <c r="DD51" s="1627"/>
      <c r="DE51" s="1627"/>
      <c r="DF51" s="1627"/>
      <c r="DG51" s="1627"/>
      <c r="DH51" s="1628"/>
      <c r="DI51" s="1627"/>
      <c r="DJ51" s="1627"/>
      <c r="DK51" s="1629"/>
      <c r="DL51" s="1627"/>
      <c r="DM51" s="1627"/>
    </row>
    <row r="52" spans="2:117" hidden="1">
      <c r="B52" s="1136" t="str">
        <f t="shared" si="47"/>
        <v>4.1.3</v>
      </c>
      <c r="C52" s="1158">
        <f t="shared" si="1"/>
        <v>0</v>
      </c>
      <c r="D52" s="1146">
        <f t="shared" si="48"/>
        <v>0</v>
      </c>
      <c r="E52" s="1156">
        <f t="shared" si="48"/>
        <v>0</v>
      </c>
      <c r="G52" s="1156">
        <f t="shared" si="43"/>
        <v>0</v>
      </c>
      <c r="H52" s="1156">
        <f t="shared" si="44"/>
        <v>0</v>
      </c>
      <c r="I52" s="1156"/>
      <c r="J52" s="1156"/>
      <c r="K52" s="1156">
        <f>IF(スコア!Q52=0,0,1)</f>
        <v>0</v>
      </c>
      <c r="L52" s="1156">
        <f>IF(スコア!S52=0,0,1)</f>
        <v>0</v>
      </c>
      <c r="M52" s="1156">
        <f t="shared" si="45"/>
        <v>0</v>
      </c>
      <c r="N52" s="1156">
        <f t="shared" si="46"/>
        <v>0</v>
      </c>
      <c r="P52" s="1157" t="str">
        <f t="shared" si="6"/>
        <v>4.1.3</v>
      </c>
      <c r="Q52" s="1157" t="str">
        <f t="shared" si="7"/>
        <v xml:space="preserve"> Q1 4.1</v>
      </c>
      <c r="R52" s="1158">
        <f t="shared" si="8"/>
        <v>0</v>
      </c>
      <c r="S52" s="1585">
        <f t="shared" si="16"/>
        <v>0</v>
      </c>
      <c r="T52" s="1585">
        <f t="shared" si="32"/>
        <v>0</v>
      </c>
      <c r="U52" s="1585">
        <f t="shared" si="33"/>
        <v>0</v>
      </c>
      <c r="V52" s="1585">
        <f t="shared" si="34"/>
        <v>0</v>
      </c>
      <c r="W52" s="1585">
        <f t="shared" si="35"/>
        <v>0</v>
      </c>
      <c r="X52" s="1585">
        <f t="shared" si="36"/>
        <v>0</v>
      </c>
      <c r="Y52" s="1585">
        <f t="shared" si="37"/>
        <v>0</v>
      </c>
      <c r="Z52" s="1587">
        <f t="shared" si="38"/>
        <v>0</v>
      </c>
      <c r="AA52" s="1585">
        <f t="shared" si="17"/>
        <v>0</v>
      </c>
      <c r="AB52" s="1585">
        <f t="shared" si="10"/>
        <v>0</v>
      </c>
      <c r="AC52" s="1586">
        <f t="shared" si="11"/>
        <v>0</v>
      </c>
      <c r="AD52" s="1585">
        <f t="shared" si="12"/>
        <v>0</v>
      </c>
      <c r="AE52" s="1585">
        <f t="shared" si="18"/>
        <v>0</v>
      </c>
      <c r="AG52" s="1157" t="s">
        <v>2249</v>
      </c>
      <c r="AH52" s="1161" t="s">
        <v>2110</v>
      </c>
      <c r="AI52" s="1158"/>
      <c r="AJ52" s="1186">
        <v>0.25</v>
      </c>
      <c r="AK52" s="1186">
        <v>0.25</v>
      </c>
      <c r="AL52" s="1186">
        <v>0.25</v>
      </c>
      <c r="AM52" s="1186">
        <v>0.25</v>
      </c>
      <c r="AN52" s="1195">
        <v>0.25</v>
      </c>
      <c r="AO52" s="1195">
        <v>0.33</v>
      </c>
      <c r="AP52" s="1195">
        <v>0.33</v>
      </c>
      <c r="AQ52" s="1187">
        <v>0.25</v>
      </c>
      <c r="AR52" s="1186">
        <v>0.25</v>
      </c>
      <c r="AS52" s="1163">
        <v>0.25</v>
      </c>
      <c r="AT52" s="1164">
        <v>0.25</v>
      </c>
      <c r="AU52" s="1163">
        <v>0.25</v>
      </c>
      <c r="AV52" s="1163">
        <v>0.25</v>
      </c>
      <c r="AX52" s="1157" t="s">
        <v>2249</v>
      </c>
      <c r="AY52" s="1161" t="s">
        <v>2110</v>
      </c>
      <c r="AZ52" s="1158" t="s">
        <v>2112</v>
      </c>
      <c r="BA52" s="1163"/>
      <c r="BB52" s="1163"/>
      <c r="BC52" s="1163"/>
      <c r="BD52" s="1163"/>
      <c r="BE52" s="1163"/>
      <c r="BF52" s="1163"/>
      <c r="BG52" s="1163"/>
      <c r="BH52" s="1170"/>
      <c r="BI52" s="1163"/>
      <c r="BJ52" s="1163"/>
      <c r="BK52" s="1164"/>
      <c r="BL52" s="1163"/>
      <c r="BM52" s="1163"/>
      <c r="BO52" s="1157" t="s">
        <v>2249</v>
      </c>
      <c r="BP52" s="1161" t="s">
        <v>2110</v>
      </c>
      <c r="BQ52" s="1158"/>
      <c r="BR52" s="1191"/>
      <c r="BS52" s="1191"/>
      <c r="BT52" s="1191"/>
      <c r="BU52" s="1191"/>
      <c r="BV52" s="1191"/>
      <c r="BW52" s="1191"/>
      <c r="BX52" s="1191"/>
      <c r="BY52" s="1485"/>
      <c r="BZ52" s="1191"/>
      <c r="CA52" s="1191"/>
      <c r="CB52" s="1191"/>
      <c r="CC52" s="1191"/>
      <c r="CD52" s="1191"/>
      <c r="CE52" s="1383"/>
      <c r="CG52" s="1157" t="s">
        <v>2249</v>
      </c>
      <c r="CH52" s="1161" t="s">
        <v>2110</v>
      </c>
      <c r="CI52" s="1158" t="s">
        <v>2112</v>
      </c>
      <c r="CJ52" s="1531">
        <f t="shared" si="19"/>
        <v>0</v>
      </c>
      <c r="CK52" s="1531">
        <f t="shared" si="20"/>
        <v>0</v>
      </c>
      <c r="CL52" s="1531">
        <f t="shared" si="21"/>
        <v>0</v>
      </c>
      <c r="CM52" s="1531">
        <f t="shared" si="22"/>
        <v>0</v>
      </c>
      <c r="CN52" s="1531">
        <f t="shared" si="23"/>
        <v>0</v>
      </c>
      <c r="CO52" s="1531">
        <f t="shared" si="24"/>
        <v>0</v>
      </c>
      <c r="CP52" s="1531">
        <f t="shared" si="25"/>
        <v>0</v>
      </c>
      <c r="CQ52" s="1532">
        <f t="shared" si="26"/>
        <v>0</v>
      </c>
      <c r="CR52" s="1531">
        <f t="shared" si="27"/>
        <v>0</v>
      </c>
      <c r="CS52" s="1531">
        <f t="shared" si="28"/>
        <v>0</v>
      </c>
      <c r="CT52" s="1531">
        <f t="shared" si="13"/>
        <v>0</v>
      </c>
      <c r="CU52" s="1531">
        <f t="shared" si="14"/>
        <v>0</v>
      </c>
      <c r="CV52" s="1531">
        <f t="shared" si="15"/>
        <v>0</v>
      </c>
      <c r="CX52" s="1157" t="s">
        <v>2249</v>
      </c>
      <c r="CY52" s="1161" t="s">
        <v>2110</v>
      </c>
      <c r="CZ52" s="1158" t="s">
        <v>2112</v>
      </c>
      <c r="DA52" s="1520">
        <f t="shared" si="29"/>
        <v>0</v>
      </c>
      <c r="DB52" s="1520"/>
      <c r="DC52" s="1520"/>
      <c r="DD52" s="1520"/>
      <c r="DE52" s="1520"/>
      <c r="DF52" s="1520"/>
      <c r="DG52" s="1520"/>
      <c r="DH52" s="1622"/>
      <c r="DI52" s="1520"/>
      <c r="DJ52" s="1520"/>
      <c r="DK52" s="1520"/>
      <c r="DL52" s="1520"/>
      <c r="DM52" s="1520"/>
    </row>
    <row r="53" spans="2:117" hidden="1">
      <c r="B53" s="1136" t="str">
        <f t="shared" si="47"/>
        <v>4.1.4</v>
      </c>
      <c r="C53" s="1158">
        <f t="shared" si="1"/>
        <v>0</v>
      </c>
      <c r="D53" s="1146">
        <f t="shared" si="48"/>
        <v>0</v>
      </c>
      <c r="E53" s="1156">
        <f t="shared" si="48"/>
        <v>0</v>
      </c>
      <c r="G53" s="1156">
        <f t="shared" si="43"/>
        <v>0</v>
      </c>
      <c r="H53" s="1156">
        <f t="shared" si="44"/>
        <v>0</v>
      </c>
      <c r="I53" s="1156"/>
      <c r="J53" s="1156"/>
      <c r="K53" s="1156">
        <f>IF(スコア!Q53=0,0,1)</f>
        <v>0</v>
      </c>
      <c r="L53" s="1156">
        <f>IF(スコア!S53=0,0,1)</f>
        <v>0</v>
      </c>
      <c r="M53" s="1156">
        <f t="shared" si="45"/>
        <v>0</v>
      </c>
      <c r="N53" s="1156">
        <f t="shared" si="46"/>
        <v>0</v>
      </c>
      <c r="P53" s="1157" t="str">
        <f t="shared" si="6"/>
        <v>4.1.4</v>
      </c>
      <c r="Q53" s="1157" t="str">
        <f t="shared" si="7"/>
        <v xml:space="preserve"> Q1 4.1</v>
      </c>
      <c r="R53" s="1158">
        <f t="shared" si="8"/>
        <v>0</v>
      </c>
      <c r="S53" s="1585">
        <f t="shared" si="16"/>
        <v>0</v>
      </c>
      <c r="T53" s="1585">
        <f t="shared" si="32"/>
        <v>0</v>
      </c>
      <c r="U53" s="1585">
        <f t="shared" si="33"/>
        <v>0</v>
      </c>
      <c r="V53" s="1585">
        <f t="shared" si="34"/>
        <v>0</v>
      </c>
      <c r="W53" s="1585">
        <f t="shared" si="35"/>
        <v>0</v>
      </c>
      <c r="X53" s="1585">
        <f t="shared" si="36"/>
        <v>0</v>
      </c>
      <c r="Y53" s="1585">
        <f t="shared" si="37"/>
        <v>0</v>
      </c>
      <c r="Z53" s="1587">
        <f t="shared" si="38"/>
        <v>0</v>
      </c>
      <c r="AA53" s="1585">
        <f t="shared" si="17"/>
        <v>0</v>
      </c>
      <c r="AB53" s="1585">
        <f t="shared" si="10"/>
        <v>0</v>
      </c>
      <c r="AC53" s="1586">
        <f t="shared" si="11"/>
        <v>0</v>
      </c>
      <c r="AD53" s="1585">
        <f t="shared" si="12"/>
        <v>0</v>
      </c>
      <c r="AE53" s="1585">
        <f t="shared" si="18"/>
        <v>0</v>
      </c>
      <c r="AG53" s="1157" t="s">
        <v>2250</v>
      </c>
      <c r="AH53" s="1161" t="s">
        <v>2110</v>
      </c>
      <c r="AI53" s="1158" t="s">
        <v>2113</v>
      </c>
      <c r="AJ53" s="1191">
        <v>0.25</v>
      </c>
      <c r="AK53" s="1191">
        <v>0.25</v>
      </c>
      <c r="AL53" s="1191">
        <v>0.25</v>
      </c>
      <c r="AM53" s="1191">
        <v>0.25</v>
      </c>
      <c r="AN53" s="1191">
        <v>0.25</v>
      </c>
      <c r="AO53" s="1191"/>
      <c r="AP53" s="1191"/>
      <c r="AQ53" s="1192">
        <v>0.25</v>
      </c>
      <c r="AR53" s="1191">
        <v>0.25</v>
      </c>
      <c r="AS53" s="1163">
        <v>0.25</v>
      </c>
      <c r="AT53" s="1164">
        <v>0.25</v>
      </c>
      <c r="AU53" s="1163">
        <v>0.25</v>
      </c>
      <c r="AV53" s="1163">
        <v>0.25</v>
      </c>
      <c r="AX53" s="1157" t="s">
        <v>2250</v>
      </c>
      <c r="AY53" s="1161" t="s">
        <v>2110</v>
      </c>
      <c r="AZ53" s="1158" t="s">
        <v>2113</v>
      </c>
      <c r="BA53" s="1163"/>
      <c r="BB53" s="1163"/>
      <c r="BC53" s="1163"/>
      <c r="BD53" s="1163"/>
      <c r="BE53" s="1163"/>
      <c r="BF53" s="1163"/>
      <c r="BG53" s="1163"/>
      <c r="BH53" s="1170"/>
      <c r="BI53" s="1163"/>
      <c r="BJ53" s="1163"/>
      <c r="BK53" s="1164"/>
      <c r="BL53" s="1163"/>
      <c r="BM53" s="1163"/>
      <c r="BO53" s="1157" t="s">
        <v>2250</v>
      </c>
      <c r="BP53" s="1161" t="s">
        <v>2110</v>
      </c>
      <c r="BQ53" s="1158"/>
      <c r="BR53" s="1191"/>
      <c r="BS53" s="1191"/>
      <c r="BT53" s="1191"/>
      <c r="BU53" s="1191"/>
      <c r="BV53" s="1191"/>
      <c r="BW53" s="1191"/>
      <c r="BX53" s="1191"/>
      <c r="BY53" s="1485"/>
      <c r="BZ53" s="1191"/>
      <c r="CA53" s="1191"/>
      <c r="CB53" s="1191"/>
      <c r="CC53" s="1191"/>
      <c r="CD53" s="1191"/>
      <c r="CE53" s="1383"/>
      <c r="CG53" s="1157" t="s">
        <v>2250</v>
      </c>
      <c r="CH53" s="1161" t="s">
        <v>2110</v>
      </c>
      <c r="CI53" s="1158" t="s">
        <v>2113</v>
      </c>
      <c r="CJ53" s="1531">
        <f t="shared" si="19"/>
        <v>0</v>
      </c>
      <c r="CK53" s="1531">
        <f t="shared" si="20"/>
        <v>0</v>
      </c>
      <c r="CL53" s="1531">
        <f t="shared" si="21"/>
        <v>0</v>
      </c>
      <c r="CM53" s="1531">
        <f t="shared" si="22"/>
        <v>0</v>
      </c>
      <c r="CN53" s="1531">
        <f t="shared" si="23"/>
        <v>0</v>
      </c>
      <c r="CO53" s="1531">
        <f t="shared" si="24"/>
        <v>0</v>
      </c>
      <c r="CP53" s="1531">
        <f t="shared" si="25"/>
        <v>0</v>
      </c>
      <c r="CQ53" s="1532">
        <f t="shared" si="26"/>
        <v>0</v>
      </c>
      <c r="CR53" s="1531">
        <f t="shared" si="27"/>
        <v>0</v>
      </c>
      <c r="CS53" s="1531">
        <f t="shared" si="28"/>
        <v>0</v>
      </c>
      <c r="CT53" s="1531">
        <f t="shared" si="13"/>
        <v>0</v>
      </c>
      <c r="CU53" s="1531">
        <f t="shared" si="14"/>
        <v>0</v>
      </c>
      <c r="CV53" s="1531">
        <f t="shared" si="15"/>
        <v>0</v>
      </c>
      <c r="CX53" s="1157" t="s">
        <v>2250</v>
      </c>
      <c r="CY53" s="1161" t="s">
        <v>2110</v>
      </c>
      <c r="CZ53" s="1158" t="s">
        <v>2113</v>
      </c>
      <c r="DA53" s="1520">
        <f t="shared" si="29"/>
        <v>0</v>
      </c>
      <c r="DB53" s="1520"/>
      <c r="DC53" s="1520"/>
      <c r="DD53" s="1520"/>
      <c r="DE53" s="1520"/>
      <c r="DF53" s="1520"/>
      <c r="DG53" s="1520"/>
      <c r="DH53" s="1622"/>
      <c r="DI53" s="1520"/>
      <c r="DJ53" s="1520"/>
      <c r="DK53" s="1520"/>
      <c r="DL53" s="1520"/>
      <c r="DM53" s="1520"/>
    </row>
    <row r="54" spans="2:117">
      <c r="B54" s="1136">
        <f t="shared" si="47"/>
        <v>4.2</v>
      </c>
      <c r="C54" s="1158" t="str">
        <f t="shared" si="1"/>
        <v>換気</v>
      </c>
      <c r="D54" s="1155">
        <f>IF(I$48=0,0,G54/I$48)</f>
        <v>0.39285714285714285</v>
      </c>
      <c r="E54" s="1156">
        <f>IF(J$48=0,0,H54/J$48)</f>
        <v>0.375</v>
      </c>
      <c r="G54" s="1156">
        <f t="shared" si="43"/>
        <v>0.36666666666666664</v>
      </c>
      <c r="H54" s="1156">
        <f t="shared" si="44"/>
        <v>0.25</v>
      </c>
      <c r="I54" s="1156">
        <f>SUM(G55:G58)</f>
        <v>0.88888888888888884</v>
      </c>
      <c r="J54" s="1156">
        <f>SUM(H55:H58)</f>
        <v>0.66666666666666663</v>
      </c>
      <c r="K54" s="1156">
        <f>IF(スコア!Q54=0,0,1)</f>
        <v>1</v>
      </c>
      <c r="L54" s="1156">
        <f>IF(スコア!S54=0,0,1)</f>
        <v>1</v>
      </c>
      <c r="M54" s="1156">
        <f t="shared" si="45"/>
        <v>0.36666666666666664</v>
      </c>
      <c r="N54" s="1156">
        <f t="shared" si="46"/>
        <v>0.25</v>
      </c>
      <c r="P54" s="1157">
        <f t="shared" si="6"/>
        <v>4.2</v>
      </c>
      <c r="Q54" s="1157" t="str">
        <f t="shared" si="7"/>
        <v xml:space="preserve"> Q1 4</v>
      </c>
      <c r="R54" s="1158" t="str">
        <f t="shared" si="8"/>
        <v>換気</v>
      </c>
      <c r="S54" s="1585">
        <f t="shared" si="16"/>
        <v>0.3</v>
      </c>
      <c r="T54" s="1585">
        <f t="shared" si="32"/>
        <v>0.3</v>
      </c>
      <c r="U54" s="1585">
        <f t="shared" si="33"/>
        <v>0.3</v>
      </c>
      <c r="V54" s="1585">
        <f t="shared" si="34"/>
        <v>0.3</v>
      </c>
      <c r="W54" s="1585">
        <f t="shared" si="35"/>
        <v>0.3</v>
      </c>
      <c r="X54" s="1585">
        <f t="shared" si="36"/>
        <v>0.3</v>
      </c>
      <c r="Y54" s="1585">
        <f t="shared" si="37"/>
        <v>0.4</v>
      </c>
      <c r="Z54" s="1587">
        <f t="shared" si="38"/>
        <v>0.3</v>
      </c>
      <c r="AA54" s="1585">
        <f t="shared" si="17"/>
        <v>0.3</v>
      </c>
      <c r="AB54" s="1585">
        <f t="shared" si="10"/>
        <v>0.3</v>
      </c>
      <c r="AC54" s="1586">
        <f t="shared" si="11"/>
        <v>0.375</v>
      </c>
      <c r="AD54" s="1585">
        <f t="shared" si="12"/>
        <v>0.375</v>
      </c>
      <c r="AE54" s="1585">
        <f t="shared" si="18"/>
        <v>0.375</v>
      </c>
      <c r="AG54" s="1157">
        <v>4.2</v>
      </c>
      <c r="AH54" s="1161" t="s">
        <v>2109</v>
      </c>
      <c r="AI54" s="1158" t="s">
        <v>825</v>
      </c>
      <c r="AJ54" s="1191">
        <v>0.3</v>
      </c>
      <c r="AK54" s="1191">
        <v>0.3</v>
      </c>
      <c r="AL54" s="1191">
        <v>0.3</v>
      </c>
      <c r="AM54" s="1191">
        <v>0.3</v>
      </c>
      <c r="AN54" s="1191">
        <v>0.3</v>
      </c>
      <c r="AO54" s="1191">
        <v>0.3</v>
      </c>
      <c r="AP54" s="1191">
        <v>0.4</v>
      </c>
      <c r="AQ54" s="1192">
        <v>0.3</v>
      </c>
      <c r="AR54" s="1191">
        <v>0.3</v>
      </c>
      <c r="AS54" s="1163">
        <v>0.3</v>
      </c>
      <c r="AT54" s="1164">
        <v>0.375</v>
      </c>
      <c r="AU54" s="1163">
        <v>0.375</v>
      </c>
      <c r="AV54" s="1163">
        <v>0.375</v>
      </c>
      <c r="AX54" s="1157">
        <v>4.2</v>
      </c>
      <c r="AY54" s="1161" t="s">
        <v>2109</v>
      </c>
      <c r="AZ54" s="1158" t="s">
        <v>825</v>
      </c>
      <c r="BA54" s="1163">
        <v>0.3</v>
      </c>
      <c r="BB54" s="1163">
        <v>0.3</v>
      </c>
      <c r="BC54" s="1163">
        <v>0.3</v>
      </c>
      <c r="BD54" s="1163">
        <v>0.3</v>
      </c>
      <c r="BE54" s="1163">
        <v>0.3</v>
      </c>
      <c r="BF54" s="1163">
        <v>0.3</v>
      </c>
      <c r="BG54" s="1163">
        <v>0.4</v>
      </c>
      <c r="BH54" s="1170">
        <v>0.3</v>
      </c>
      <c r="BI54" s="1163">
        <v>0.3</v>
      </c>
      <c r="BJ54" s="1163">
        <v>0.3</v>
      </c>
      <c r="BK54" s="1164">
        <v>0.375</v>
      </c>
      <c r="BL54" s="1163">
        <v>0.375</v>
      </c>
      <c r="BM54" s="1163">
        <v>0.375</v>
      </c>
      <c r="BO54" s="1157">
        <v>4.2</v>
      </c>
      <c r="BP54" s="1161" t="s">
        <v>2109</v>
      </c>
      <c r="BQ54" s="1158" t="s">
        <v>825</v>
      </c>
      <c r="BR54" s="1191">
        <v>0.3</v>
      </c>
      <c r="BS54" s="1191">
        <v>0.3</v>
      </c>
      <c r="BT54" s="1191">
        <v>0.3</v>
      </c>
      <c r="BU54" s="1191">
        <v>0.3</v>
      </c>
      <c r="BV54" s="1191">
        <v>0.3</v>
      </c>
      <c r="BW54" s="1191">
        <v>0.3</v>
      </c>
      <c r="BX54" s="1191">
        <v>0.4</v>
      </c>
      <c r="BY54" s="1484">
        <v>0.3</v>
      </c>
      <c r="BZ54" s="1191">
        <v>0.3</v>
      </c>
      <c r="CA54" s="1191">
        <v>0.3</v>
      </c>
      <c r="CB54" s="1193">
        <v>0.375</v>
      </c>
      <c r="CC54" s="1191">
        <v>0.375</v>
      </c>
      <c r="CD54" s="1191">
        <v>0.375</v>
      </c>
      <c r="CE54" s="1383"/>
      <c r="CG54" s="1157">
        <v>4.2</v>
      </c>
      <c r="CH54" s="1161" t="s">
        <v>2109</v>
      </c>
      <c r="CI54" s="1158" t="s">
        <v>825</v>
      </c>
      <c r="CJ54" s="1531">
        <f t="shared" si="19"/>
        <v>0.3</v>
      </c>
      <c r="CK54" s="1531">
        <f t="shared" si="20"/>
        <v>0.3</v>
      </c>
      <c r="CL54" s="1531">
        <f t="shared" si="21"/>
        <v>0.3</v>
      </c>
      <c r="CM54" s="1531">
        <f t="shared" si="22"/>
        <v>0.3</v>
      </c>
      <c r="CN54" s="1531">
        <f t="shared" si="23"/>
        <v>0.3</v>
      </c>
      <c r="CO54" s="1531">
        <f t="shared" si="24"/>
        <v>0.3</v>
      </c>
      <c r="CP54" s="1531">
        <f t="shared" si="25"/>
        <v>0.4</v>
      </c>
      <c r="CQ54" s="1534">
        <f t="shared" si="26"/>
        <v>0.3</v>
      </c>
      <c r="CR54" s="1531">
        <f t="shared" si="27"/>
        <v>0.3</v>
      </c>
      <c r="CS54" s="1531">
        <f t="shared" si="28"/>
        <v>0.3</v>
      </c>
      <c r="CT54" s="1533">
        <f t="shared" si="13"/>
        <v>0.375</v>
      </c>
      <c r="CU54" s="1531">
        <f t="shared" si="14"/>
        <v>0.375</v>
      </c>
      <c r="CV54" s="1531">
        <f t="shared" si="15"/>
        <v>0.375</v>
      </c>
      <c r="CX54" s="1157">
        <v>4.2</v>
      </c>
      <c r="CY54" s="1161" t="s">
        <v>2109</v>
      </c>
      <c r="CZ54" s="1158" t="s">
        <v>825</v>
      </c>
      <c r="DA54" s="1520">
        <f t="shared" si="29"/>
        <v>0.3</v>
      </c>
      <c r="DB54" s="1520"/>
      <c r="DC54" s="1520"/>
      <c r="DD54" s="1520"/>
      <c r="DE54" s="1520"/>
      <c r="DF54" s="1520"/>
      <c r="DG54" s="1520"/>
      <c r="DH54" s="1630"/>
      <c r="DI54" s="1520"/>
      <c r="DJ54" s="1520"/>
      <c r="DK54" s="1623"/>
      <c r="DL54" s="1520"/>
      <c r="DM54" s="1520"/>
    </row>
    <row r="55" spans="2:117">
      <c r="B55" s="1136" t="str">
        <f t="shared" si="47"/>
        <v>4.2.1</v>
      </c>
      <c r="C55" s="1158" t="str">
        <f t="shared" si="1"/>
        <v>換気量</v>
      </c>
      <c r="D55" s="1146">
        <f t="shared" ref="D55:E58" si="49">IF(I$54&gt;0,G55/I$54,0)</f>
        <v>0.5</v>
      </c>
      <c r="E55" s="1156">
        <f t="shared" si="49"/>
        <v>0.33333333333333331</v>
      </c>
      <c r="G55" s="1156">
        <f t="shared" si="43"/>
        <v>0.44444444444444442</v>
      </c>
      <c r="H55" s="1156">
        <f t="shared" si="44"/>
        <v>0.22222222222222221</v>
      </c>
      <c r="I55" s="1156"/>
      <c r="J55" s="1156"/>
      <c r="K55" s="1156">
        <f>IF(スコア!Q55=0,0,1)</f>
        <v>1</v>
      </c>
      <c r="L55" s="1156">
        <f>IF(スコア!S55=0,0,1)</f>
        <v>1</v>
      </c>
      <c r="M55" s="1156">
        <f t="shared" si="45"/>
        <v>0.44444444444444442</v>
      </c>
      <c r="N55" s="1156">
        <f t="shared" si="46"/>
        <v>0.22222222222222221</v>
      </c>
      <c r="P55" s="1157" t="str">
        <f t="shared" si="6"/>
        <v>4.2.1</v>
      </c>
      <c r="Q55" s="1157" t="str">
        <f t="shared" si="7"/>
        <v xml:space="preserve"> Q1 4.2</v>
      </c>
      <c r="R55" s="1158" t="str">
        <f t="shared" si="8"/>
        <v>換気量</v>
      </c>
      <c r="S55" s="1585">
        <f t="shared" si="16"/>
        <v>0.33333333333333331</v>
      </c>
      <c r="T55" s="1585">
        <f t="shared" si="32"/>
        <v>0.33333333333333331</v>
      </c>
      <c r="U55" s="1585">
        <f t="shared" si="33"/>
        <v>0.5</v>
      </c>
      <c r="V55" s="1585">
        <f t="shared" si="34"/>
        <v>0.5</v>
      </c>
      <c r="W55" s="1585">
        <f t="shared" si="35"/>
        <v>0.5</v>
      </c>
      <c r="X55" s="1585">
        <f t="shared" si="36"/>
        <v>0.5</v>
      </c>
      <c r="Y55" s="1585">
        <f t="shared" si="37"/>
        <v>0.5</v>
      </c>
      <c r="Z55" s="1587">
        <f t="shared" si="38"/>
        <v>0.33333333333333331</v>
      </c>
      <c r="AA55" s="1585">
        <f t="shared" si="17"/>
        <v>0.33333333333333331</v>
      </c>
      <c r="AB55" s="1585">
        <f t="shared" si="10"/>
        <v>0.33333333333333331</v>
      </c>
      <c r="AC55" s="1586">
        <f t="shared" si="11"/>
        <v>0.33333333333333331</v>
      </c>
      <c r="AD55" s="1585">
        <f t="shared" si="12"/>
        <v>0.33333333333333331</v>
      </c>
      <c r="AE55" s="1585">
        <f t="shared" si="18"/>
        <v>0.33333333333333331</v>
      </c>
      <c r="AG55" s="1157" t="s">
        <v>2251</v>
      </c>
      <c r="AH55" s="1161" t="s">
        <v>2114</v>
      </c>
      <c r="AI55" s="1158" t="s">
        <v>2115</v>
      </c>
      <c r="AJ55" s="1191">
        <v>0.25</v>
      </c>
      <c r="AK55" s="1191">
        <v>0.25</v>
      </c>
      <c r="AL55" s="1194">
        <v>0.33333333333333331</v>
      </c>
      <c r="AM55" s="1194">
        <v>0.33333333333333331</v>
      </c>
      <c r="AN55" s="1194">
        <v>0.33333333333333331</v>
      </c>
      <c r="AO55" s="1194">
        <v>0.33333333333333331</v>
      </c>
      <c r="AP55" s="1191"/>
      <c r="AQ55" s="1194">
        <v>0.33333333333333331</v>
      </c>
      <c r="AR55" s="1191">
        <v>0.25</v>
      </c>
      <c r="AS55" s="1163">
        <v>0.25</v>
      </c>
      <c r="AT55" s="1164">
        <v>0.25</v>
      </c>
      <c r="AU55" s="1163">
        <v>0.25</v>
      </c>
      <c r="AV55" s="1163"/>
      <c r="AX55" s="1157" t="s">
        <v>2251</v>
      </c>
      <c r="AY55" s="1161" t="s">
        <v>2114</v>
      </c>
      <c r="AZ55" s="1158" t="s">
        <v>2115</v>
      </c>
      <c r="BA55" s="1163">
        <v>0.33333333333333331</v>
      </c>
      <c r="BB55" s="1163">
        <v>0.33333333333333331</v>
      </c>
      <c r="BC55" s="1163">
        <v>0.5</v>
      </c>
      <c r="BD55" s="1163">
        <v>0.5</v>
      </c>
      <c r="BE55" s="1163">
        <v>0.5</v>
      </c>
      <c r="BF55" s="1163">
        <v>0.5</v>
      </c>
      <c r="BG55" s="1163">
        <v>0.5</v>
      </c>
      <c r="BH55" s="1170">
        <v>0.5</v>
      </c>
      <c r="BI55" s="1163">
        <v>0.33333333333333331</v>
      </c>
      <c r="BJ55" s="1163">
        <v>0.33333333333333331</v>
      </c>
      <c r="BK55" s="1164">
        <v>0.33333333333333331</v>
      </c>
      <c r="BL55" s="1163">
        <v>0.33333333333333331</v>
      </c>
      <c r="BM55" s="1163">
        <v>0.33333333333333331</v>
      </c>
      <c r="BO55" s="1157" t="s">
        <v>2251</v>
      </c>
      <c r="BP55" s="1161" t="s">
        <v>2114</v>
      </c>
      <c r="BQ55" s="1158" t="s">
        <v>2115</v>
      </c>
      <c r="BR55" s="1644">
        <f t="shared" ref="BR55:BS57" si="50">0.25/(0.25+0.25+0.25)</f>
        <v>0.33333333333333331</v>
      </c>
      <c r="BS55" s="1644">
        <f t="shared" si="50"/>
        <v>0.33333333333333331</v>
      </c>
      <c r="BT55" s="1644">
        <f>0.33/(0.33+0.33)</f>
        <v>0.5</v>
      </c>
      <c r="BU55" s="1644">
        <f>0.33/(0.33+0.33)</f>
        <v>0.5</v>
      </c>
      <c r="BV55" s="1644">
        <f>0.33/(0.33+0.33)</f>
        <v>0.5</v>
      </c>
      <c r="BW55" s="1644">
        <f>0.33/(0.33+0.33)</f>
        <v>0.5</v>
      </c>
      <c r="BX55" s="1191">
        <v>0.5</v>
      </c>
      <c r="BY55" s="1644">
        <f t="shared" ref="BY55:CD57" si="51">0.25/(0.25+0.25+0.25)</f>
        <v>0.33333333333333331</v>
      </c>
      <c r="BZ55" s="1644">
        <f t="shared" si="51"/>
        <v>0.33333333333333331</v>
      </c>
      <c r="CA55" s="1644">
        <f t="shared" si="51"/>
        <v>0.33333333333333331</v>
      </c>
      <c r="CB55" s="1644">
        <f t="shared" si="51"/>
        <v>0.33333333333333331</v>
      </c>
      <c r="CC55" s="1644">
        <f t="shared" si="51"/>
        <v>0.33333333333333331</v>
      </c>
      <c r="CD55" s="1644">
        <f t="shared" si="51"/>
        <v>0.33333333333333331</v>
      </c>
      <c r="CE55" s="1383"/>
      <c r="CG55" s="1157" t="s">
        <v>1318</v>
      </c>
      <c r="CH55" s="1161" t="s">
        <v>2114</v>
      </c>
      <c r="CI55" s="1158" t="s">
        <v>2115</v>
      </c>
      <c r="CJ55" s="1531">
        <f t="shared" si="19"/>
        <v>0.33333333333333331</v>
      </c>
      <c r="CK55" s="1531">
        <f t="shared" si="20"/>
        <v>0.33333333333333331</v>
      </c>
      <c r="CL55" s="1531">
        <f t="shared" si="21"/>
        <v>0.5</v>
      </c>
      <c r="CM55" s="1531">
        <f t="shared" si="22"/>
        <v>0.5</v>
      </c>
      <c r="CN55" s="1531">
        <f t="shared" si="23"/>
        <v>0.5</v>
      </c>
      <c r="CO55" s="1531">
        <f t="shared" si="24"/>
        <v>0.5</v>
      </c>
      <c r="CP55" s="1531">
        <f t="shared" si="25"/>
        <v>0.5</v>
      </c>
      <c r="CQ55" s="1532">
        <f t="shared" si="26"/>
        <v>0.33333333333333331</v>
      </c>
      <c r="CR55" s="1531">
        <f t="shared" si="27"/>
        <v>0.33333333333333331</v>
      </c>
      <c r="CS55" s="1531">
        <f t="shared" si="28"/>
        <v>0.33333333333333331</v>
      </c>
      <c r="CT55" s="1533">
        <f t="shared" si="13"/>
        <v>0.33333333333333331</v>
      </c>
      <c r="CU55" s="1531">
        <f t="shared" si="14"/>
        <v>0.33333333333333331</v>
      </c>
      <c r="CV55" s="1531">
        <f t="shared" si="15"/>
        <v>0.33333333333333331</v>
      </c>
      <c r="CX55" s="1157" t="s">
        <v>1318</v>
      </c>
      <c r="CY55" s="1161" t="s">
        <v>2114</v>
      </c>
      <c r="CZ55" s="1158" t="s">
        <v>2115</v>
      </c>
      <c r="DA55" s="1520">
        <f t="shared" si="29"/>
        <v>0.33333333333333331</v>
      </c>
      <c r="DB55" s="1520"/>
      <c r="DC55" s="1520"/>
      <c r="DD55" s="1520"/>
      <c r="DE55" s="1520"/>
      <c r="DF55" s="1520"/>
      <c r="DG55" s="1520"/>
      <c r="DH55" s="1622"/>
      <c r="DI55" s="1520"/>
      <c r="DJ55" s="1520"/>
      <c r="DK55" s="1623"/>
      <c r="DL55" s="1520"/>
      <c r="DM55" s="1520"/>
    </row>
    <row r="56" spans="2:117">
      <c r="B56" s="1136" t="str">
        <f t="shared" si="47"/>
        <v>4.2.2</v>
      </c>
      <c r="C56" s="1158" t="str">
        <f t="shared" si="1"/>
        <v>自然換気性能</v>
      </c>
      <c r="D56" s="1146">
        <f t="shared" si="49"/>
        <v>0</v>
      </c>
      <c r="E56" s="1156">
        <f t="shared" si="49"/>
        <v>0.33333333333333331</v>
      </c>
      <c r="G56" s="1156">
        <f t="shared" si="43"/>
        <v>0</v>
      </c>
      <c r="H56" s="1156">
        <f t="shared" si="44"/>
        <v>0.22222222222222221</v>
      </c>
      <c r="I56" s="1156"/>
      <c r="J56" s="1156"/>
      <c r="K56" s="1156">
        <f>IF(スコア!Q56=0,0,1)</f>
        <v>0</v>
      </c>
      <c r="L56" s="1156">
        <f>IF(スコア!S56=0,0,1)</f>
        <v>1</v>
      </c>
      <c r="M56" s="1156">
        <f t="shared" si="45"/>
        <v>0.1111111111111111</v>
      </c>
      <c r="N56" s="1156">
        <f t="shared" si="46"/>
        <v>0.22222222222222221</v>
      </c>
      <c r="P56" s="1157" t="str">
        <f t="shared" si="6"/>
        <v>4.2.2</v>
      </c>
      <c r="Q56" s="1157" t="str">
        <f t="shared" si="7"/>
        <v xml:space="preserve"> Q1 4.2</v>
      </c>
      <c r="R56" s="1158" t="str">
        <f t="shared" si="8"/>
        <v>自然換気性能</v>
      </c>
      <c r="S56" s="1585">
        <f t="shared" si="16"/>
        <v>0.33333333333333331</v>
      </c>
      <c r="T56" s="1585">
        <f t="shared" si="32"/>
        <v>0.33333333333333331</v>
      </c>
      <c r="U56" s="1585">
        <f t="shared" si="33"/>
        <v>0</v>
      </c>
      <c r="V56" s="1585">
        <f t="shared" si="34"/>
        <v>0</v>
      </c>
      <c r="W56" s="1585">
        <f t="shared" si="35"/>
        <v>0</v>
      </c>
      <c r="X56" s="1585">
        <f t="shared" si="36"/>
        <v>0</v>
      </c>
      <c r="Y56" s="1585">
        <f t="shared" si="37"/>
        <v>0</v>
      </c>
      <c r="Z56" s="1587">
        <f t="shared" si="38"/>
        <v>0.33333333333333331</v>
      </c>
      <c r="AA56" s="1585">
        <f t="shared" si="17"/>
        <v>0.33333333333333331</v>
      </c>
      <c r="AB56" s="1585">
        <f t="shared" si="10"/>
        <v>0.33333333333333331</v>
      </c>
      <c r="AC56" s="1586">
        <f t="shared" si="11"/>
        <v>0.33333333333333331</v>
      </c>
      <c r="AD56" s="1585">
        <f t="shared" si="12"/>
        <v>0.33333333333333331</v>
      </c>
      <c r="AE56" s="1585">
        <f t="shared" si="18"/>
        <v>0.33333333333333331</v>
      </c>
      <c r="AG56" s="1157" t="s">
        <v>2252</v>
      </c>
      <c r="AH56" s="1161" t="s">
        <v>2114</v>
      </c>
      <c r="AI56" s="1158" t="s">
        <v>2116</v>
      </c>
      <c r="AJ56" s="1191">
        <v>0.25</v>
      </c>
      <c r="AK56" s="1191">
        <v>0.25</v>
      </c>
      <c r="AL56" s="1191"/>
      <c r="AM56" s="1191"/>
      <c r="AN56" s="1191"/>
      <c r="AO56" s="1191"/>
      <c r="AP56" s="1191"/>
      <c r="AQ56" s="1192"/>
      <c r="AR56" s="1191">
        <v>0.25</v>
      </c>
      <c r="AS56" s="1163">
        <v>0.25</v>
      </c>
      <c r="AT56" s="1164">
        <v>0.25</v>
      </c>
      <c r="AU56" s="1163">
        <v>0.25</v>
      </c>
      <c r="AV56" s="1163">
        <v>0.33</v>
      </c>
      <c r="AX56" s="1157" t="s">
        <v>2252</v>
      </c>
      <c r="AY56" s="1161" t="s">
        <v>2114</v>
      </c>
      <c r="AZ56" s="1158" t="s">
        <v>2116</v>
      </c>
      <c r="BA56" s="1163">
        <v>0.33333333333333331</v>
      </c>
      <c r="BB56" s="1163">
        <v>0.33333333333333331</v>
      </c>
      <c r="BC56" s="1163"/>
      <c r="BD56" s="1163"/>
      <c r="BE56" s="1163"/>
      <c r="BF56" s="1163"/>
      <c r="BG56" s="1163"/>
      <c r="BH56" s="1170"/>
      <c r="BI56" s="1163">
        <v>0.33333333333333331</v>
      </c>
      <c r="BJ56" s="1163">
        <v>0.33333333333333331</v>
      </c>
      <c r="BK56" s="1164">
        <v>0.33333333333333331</v>
      </c>
      <c r="BL56" s="1163">
        <v>0.33333333333333331</v>
      </c>
      <c r="BM56" s="1163">
        <v>0.33333333333333331</v>
      </c>
      <c r="BO56" s="1157" t="s">
        <v>2252</v>
      </c>
      <c r="BP56" s="1161" t="s">
        <v>2114</v>
      </c>
      <c r="BQ56" s="1158" t="s">
        <v>2116</v>
      </c>
      <c r="BR56" s="1644">
        <f t="shared" si="50"/>
        <v>0.33333333333333331</v>
      </c>
      <c r="BS56" s="1644">
        <f t="shared" si="50"/>
        <v>0.33333333333333331</v>
      </c>
      <c r="BT56" s="1191"/>
      <c r="BU56" s="1191"/>
      <c r="BV56" s="1191"/>
      <c r="BW56" s="1191"/>
      <c r="BX56" s="1191"/>
      <c r="BY56" s="1644">
        <f t="shared" si="51"/>
        <v>0.33333333333333331</v>
      </c>
      <c r="BZ56" s="1644">
        <f t="shared" si="51"/>
        <v>0.33333333333333331</v>
      </c>
      <c r="CA56" s="1644">
        <f t="shared" si="51"/>
        <v>0.33333333333333331</v>
      </c>
      <c r="CB56" s="1644">
        <f t="shared" si="51"/>
        <v>0.33333333333333331</v>
      </c>
      <c r="CC56" s="1644">
        <f t="shared" si="51"/>
        <v>0.33333333333333331</v>
      </c>
      <c r="CD56" s="1644">
        <f t="shared" si="51"/>
        <v>0.33333333333333331</v>
      </c>
      <c r="CE56" s="1383"/>
      <c r="CG56" s="1157" t="s">
        <v>1319</v>
      </c>
      <c r="CH56" s="1161" t="s">
        <v>2114</v>
      </c>
      <c r="CI56" s="1158" t="s">
        <v>2116</v>
      </c>
      <c r="CJ56" s="1531">
        <f t="shared" si="19"/>
        <v>0.33333333333333331</v>
      </c>
      <c r="CK56" s="1531">
        <f t="shared" si="20"/>
        <v>0.33333333333333331</v>
      </c>
      <c r="CL56" s="1531">
        <f t="shared" si="21"/>
        <v>0</v>
      </c>
      <c r="CM56" s="1531">
        <f t="shared" si="22"/>
        <v>0</v>
      </c>
      <c r="CN56" s="1531">
        <f t="shared" si="23"/>
        <v>0</v>
      </c>
      <c r="CO56" s="1531">
        <f t="shared" si="24"/>
        <v>0</v>
      </c>
      <c r="CP56" s="1531">
        <f t="shared" si="25"/>
        <v>0</v>
      </c>
      <c r="CQ56" s="1534">
        <f t="shared" si="26"/>
        <v>0.33333333333333331</v>
      </c>
      <c r="CR56" s="1531">
        <f t="shared" si="27"/>
        <v>0.33333333333333331</v>
      </c>
      <c r="CS56" s="1531">
        <f t="shared" si="28"/>
        <v>0.33333333333333331</v>
      </c>
      <c r="CT56" s="1533">
        <f t="shared" si="13"/>
        <v>0.33333333333333331</v>
      </c>
      <c r="CU56" s="1531">
        <f t="shared" si="14"/>
        <v>0.33333333333333331</v>
      </c>
      <c r="CV56" s="1531">
        <f t="shared" si="15"/>
        <v>0.33333333333333331</v>
      </c>
      <c r="CX56" s="1157" t="s">
        <v>1319</v>
      </c>
      <c r="CY56" s="1161" t="s">
        <v>2114</v>
      </c>
      <c r="CZ56" s="1158" t="s">
        <v>2116</v>
      </c>
      <c r="DA56" s="1520">
        <f t="shared" si="29"/>
        <v>0.33333333333333331</v>
      </c>
      <c r="DB56" s="1520"/>
      <c r="DC56" s="1520"/>
      <c r="DD56" s="1520"/>
      <c r="DE56" s="1520"/>
      <c r="DF56" s="1520"/>
      <c r="DG56" s="1520"/>
      <c r="DH56" s="1630"/>
      <c r="DI56" s="1520"/>
      <c r="DJ56" s="1520"/>
      <c r="DK56" s="1623"/>
      <c r="DL56" s="1520"/>
      <c r="DM56" s="1520"/>
    </row>
    <row r="57" spans="2:117">
      <c r="B57" s="1136" t="str">
        <f t="shared" si="47"/>
        <v>4.2.3</v>
      </c>
      <c r="C57" s="1158" t="str">
        <f t="shared" si="1"/>
        <v>取り入れ外気への配慮</v>
      </c>
      <c r="D57" s="1146">
        <f t="shared" si="49"/>
        <v>0.5</v>
      </c>
      <c r="E57" s="1156">
        <f t="shared" si="49"/>
        <v>0.33333333333333331</v>
      </c>
      <c r="G57" s="1156">
        <f t="shared" si="43"/>
        <v>0.44444444444444442</v>
      </c>
      <c r="H57" s="1156">
        <f t="shared" si="44"/>
        <v>0.22222222222222221</v>
      </c>
      <c r="I57" s="1156"/>
      <c r="J57" s="1156"/>
      <c r="K57" s="1156">
        <f>IF(スコア!Q57=0,0,1)</f>
        <v>1</v>
      </c>
      <c r="L57" s="1156">
        <f>IF(スコア!S57=0,0,1)</f>
        <v>1</v>
      </c>
      <c r="M57" s="1156">
        <f t="shared" si="45"/>
        <v>0.44444444444444442</v>
      </c>
      <c r="N57" s="1156">
        <f t="shared" si="46"/>
        <v>0.22222222222222221</v>
      </c>
      <c r="P57" s="1157" t="str">
        <f t="shared" si="6"/>
        <v>4.2.3</v>
      </c>
      <c r="Q57" s="1157" t="str">
        <f t="shared" si="7"/>
        <v xml:space="preserve"> Q1 4.2</v>
      </c>
      <c r="R57" s="1158" t="str">
        <f t="shared" si="8"/>
        <v>取り入れ外気への配慮</v>
      </c>
      <c r="S57" s="1585">
        <f t="shared" si="16"/>
        <v>0.33333333333333331</v>
      </c>
      <c r="T57" s="1585">
        <f t="shared" si="32"/>
        <v>0.33333333333333331</v>
      </c>
      <c r="U57" s="1585">
        <f t="shared" si="33"/>
        <v>0.5</v>
      </c>
      <c r="V57" s="1585">
        <f t="shared" si="34"/>
        <v>0.5</v>
      </c>
      <c r="W57" s="1585">
        <f t="shared" si="35"/>
        <v>0.5</v>
      </c>
      <c r="X57" s="1585">
        <f t="shared" si="36"/>
        <v>0.5</v>
      </c>
      <c r="Y57" s="1585">
        <f t="shared" si="37"/>
        <v>0.5</v>
      </c>
      <c r="Z57" s="1587">
        <f t="shared" si="38"/>
        <v>0.33333333333333331</v>
      </c>
      <c r="AA57" s="1585">
        <f t="shared" si="17"/>
        <v>0.33333333333333331</v>
      </c>
      <c r="AB57" s="1585">
        <f t="shared" si="10"/>
        <v>0.33333333333333331</v>
      </c>
      <c r="AC57" s="1586">
        <f t="shared" si="11"/>
        <v>0.33333333333333331</v>
      </c>
      <c r="AD57" s="1585">
        <f t="shared" si="12"/>
        <v>0.33333333333333331</v>
      </c>
      <c r="AE57" s="1585">
        <f t="shared" si="18"/>
        <v>0.33333333333333331</v>
      </c>
      <c r="AG57" s="1157" t="s">
        <v>2253</v>
      </c>
      <c r="AH57" s="1161" t="s">
        <v>2114</v>
      </c>
      <c r="AI57" s="1158" t="s">
        <v>2117</v>
      </c>
      <c r="AJ57" s="1191">
        <v>0.25</v>
      </c>
      <c r="AK57" s="1191">
        <v>0.25</v>
      </c>
      <c r="AL57" s="1194">
        <v>0.33333333333333331</v>
      </c>
      <c r="AM57" s="1194">
        <v>0.33333333333333331</v>
      </c>
      <c r="AN57" s="1194">
        <v>0.33333333333333331</v>
      </c>
      <c r="AO57" s="1194">
        <v>0.33333333333333331</v>
      </c>
      <c r="AP57" s="1191">
        <v>1</v>
      </c>
      <c r="AQ57" s="1194">
        <v>0.33333333333333331</v>
      </c>
      <c r="AR57" s="1191">
        <v>0.25</v>
      </c>
      <c r="AS57" s="1163">
        <v>0.25</v>
      </c>
      <c r="AT57" s="1164">
        <v>0.25</v>
      </c>
      <c r="AU57" s="1163">
        <v>0.25</v>
      </c>
      <c r="AV57" s="1163">
        <v>0.33</v>
      </c>
      <c r="AX57" s="1157" t="s">
        <v>2253</v>
      </c>
      <c r="AY57" s="1161" t="s">
        <v>2114</v>
      </c>
      <c r="AZ57" s="1158" t="s">
        <v>2117</v>
      </c>
      <c r="BA57" s="1163">
        <v>0.33333333333333331</v>
      </c>
      <c r="BB57" s="1163">
        <v>0.33333333333333331</v>
      </c>
      <c r="BC57" s="1163">
        <v>0.5</v>
      </c>
      <c r="BD57" s="1163">
        <v>0.5</v>
      </c>
      <c r="BE57" s="1163">
        <v>0.5</v>
      </c>
      <c r="BF57" s="1163">
        <v>0.5</v>
      </c>
      <c r="BG57" s="1163">
        <v>0.5</v>
      </c>
      <c r="BH57" s="1170">
        <v>0.5</v>
      </c>
      <c r="BI57" s="1163">
        <v>0.33333333333333331</v>
      </c>
      <c r="BJ57" s="1163">
        <v>0.33333333333333331</v>
      </c>
      <c r="BK57" s="1164">
        <v>0.33333333333333331</v>
      </c>
      <c r="BL57" s="1163">
        <v>0.33333333333333331</v>
      </c>
      <c r="BM57" s="1163">
        <v>0.33333333333333331</v>
      </c>
      <c r="BO57" s="1157" t="s">
        <v>2253</v>
      </c>
      <c r="BP57" s="1161" t="s">
        <v>2114</v>
      </c>
      <c r="BQ57" s="1158" t="s">
        <v>2117</v>
      </c>
      <c r="BR57" s="1644">
        <f t="shared" si="50"/>
        <v>0.33333333333333331</v>
      </c>
      <c r="BS57" s="1644">
        <f t="shared" si="50"/>
        <v>0.33333333333333331</v>
      </c>
      <c r="BT57" s="1644">
        <f>0.33/(0.33+0.33)</f>
        <v>0.5</v>
      </c>
      <c r="BU57" s="1644">
        <f>0.33/(0.33+0.33)</f>
        <v>0.5</v>
      </c>
      <c r="BV57" s="1644">
        <f>0.33/(0.33+0.33)</f>
        <v>0.5</v>
      </c>
      <c r="BW57" s="1644">
        <f>0.33/(0.33+0.33)</f>
        <v>0.5</v>
      </c>
      <c r="BX57" s="1191">
        <v>0.5</v>
      </c>
      <c r="BY57" s="1644">
        <f t="shared" si="51"/>
        <v>0.33333333333333331</v>
      </c>
      <c r="BZ57" s="1644">
        <f t="shared" si="51"/>
        <v>0.33333333333333331</v>
      </c>
      <c r="CA57" s="1644">
        <f t="shared" si="51"/>
        <v>0.33333333333333331</v>
      </c>
      <c r="CB57" s="1644">
        <f t="shared" si="51"/>
        <v>0.33333333333333331</v>
      </c>
      <c r="CC57" s="1644">
        <f t="shared" si="51"/>
        <v>0.33333333333333331</v>
      </c>
      <c r="CD57" s="1644">
        <f t="shared" si="51"/>
        <v>0.33333333333333331</v>
      </c>
      <c r="CE57" s="1383"/>
      <c r="CG57" s="1157" t="s">
        <v>2253</v>
      </c>
      <c r="CH57" s="1161" t="s">
        <v>2114</v>
      </c>
      <c r="CI57" s="1158" t="s">
        <v>2117</v>
      </c>
      <c r="CJ57" s="1531">
        <f t="shared" si="19"/>
        <v>0.33333333333333331</v>
      </c>
      <c r="CK57" s="1531">
        <f t="shared" si="20"/>
        <v>0.33333333333333331</v>
      </c>
      <c r="CL57" s="1531">
        <f t="shared" si="21"/>
        <v>0.5</v>
      </c>
      <c r="CM57" s="1531">
        <f t="shared" si="22"/>
        <v>0.5</v>
      </c>
      <c r="CN57" s="1531">
        <f t="shared" si="23"/>
        <v>0.5</v>
      </c>
      <c r="CO57" s="1531">
        <f t="shared" si="24"/>
        <v>0.5</v>
      </c>
      <c r="CP57" s="1531">
        <f t="shared" si="25"/>
        <v>0.5</v>
      </c>
      <c r="CQ57" s="1532">
        <f t="shared" si="26"/>
        <v>0.33333333333333331</v>
      </c>
      <c r="CR57" s="1531">
        <f t="shared" si="27"/>
        <v>0.33333333333333331</v>
      </c>
      <c r="CS57" s="1531">
        <f t="shared" si="28"/>
        <v>0.33333333333333331</v>
      </c>
      <c r="CT57" s="1533">
        <f t="shared" si="13"/>
        <v>0.33333333333333331</v>
      </c>
      <c r="CU57" s="1531">
        <f t="shared" si="14"/>
        <v>0.33333333333333331</v>
      </c>
      <c r="CV57" s="1531">
        <f t="shared" si="15"/>
        <v>0.33333333333333331</v>
      </c>
      <c r="CX57" s="1157" t="s">
        <v>2253</v>
      </c>
      <c r="CY57" s="1161" t="s">
        <v>2114</v>
      </c>
      <c r="CZ57" s="1158" t="s">
        <v>2117</v>
      </c>
      <c r="DA57" s="1520">
        <f t="shared" si="29"/>
        <v>0.33333333333333331</v>
      </c>
      <c r="DB57" s="1520"/>
      <c r="DC57" s="1520"/>
      <c r="DD57" s="1520"/>
      <c r="DE57" s="1520"/>
      <c r="DF57" s="1520"/>
      <c r="DG57" s="1520"/>
      <c r="DH57" s="1622"/>
      <c r="DI57" s="1520"/>
      <c r="DJ57" s="1520"/>
      <c r="DK57" s="1623"/>
      <c r="DL57" s="1520"/>
      <c r="DM57" s="1520"/>
    </row>
    <row r="58" spans="2:117" hidden="1">
      <c r="B58" s="1136" t="str">
        <f t="shared" si="47"/>
        <v>4.2.4</v>
      </c>
      <c r="C58" s="1180">
        <f t="shared" si="1"/>
        <v>0</v>
      </c>
      <c r="D58" s="1177">
        <f t="shared" si="49"/>
        <v>0</v>
      </c>
      <c r="E58" s="1178">
        <f t="shared" si="49"/>
        <v>0</v>
      </c>
      <c r="G58" s="1178">
        <f t="shared" si="43"/>
        <v>0</v>
      </c>
      <c r="H58" s="1178">
        <f t="shared" si="44"/>
        <v>0</v>
      </c>
      <c r="I58" s="1178"/>
      <c r="J58" s="1178"/>
      <c r="K58" s="1178">
        <f>IF(スコア!Q58=0,0,1)</f>
        <v>0</v>
      </c>
      <c r="L58" s="1178">
        <f>IF(スコア!S58=0,0,1)</f>
        <v>0</v>
      </c>
      <c r="M58" s="1178">
        <f t="shared" si="45"/>
        <v>0</v>
      </c>
      <c r="N58" s="1178">
        <f t="shared" si="46"/>
        <v>0</v>
      </c>
      <c r="P58" s="1179" t="str">
        <f t="shared" si="6"/>
        <v>4.2.4</v>
      </c>
      <c r="Q58" s="1179" t="str">
        <f t="shared" si="7"/>
        <v xml:space="preserve"> Q1 4.2</v>
      </c>
      <c r="R58" s="1180">
        <f t="shared" si="8"/>
        <v>0</v>
      </c>
      <c r="S58" s="1591">
        <f t="shared" si="16"/>
        <v>0</v>
      </c>
      <c r="T58" s="1591">
        <f t="shared" si="32"/>
        <v>0</v>
      </c>
      <c r="U58" s="1591">
        <f t="shared" si="33"/>
        <v>0</v>
      </c>
      <c r="V58" s="1591">
        <f t="shared" si="34"/>
        <v>0</v>
      </c>
      <c r="W58" s="1591">
        <f t="shared" si="35"/>
        <v>0</v>
      </c>
      <c r="X58" s="1591">
        <f t="shared" si="36"/>
        <v>0</v>
      </c>
      <c r="Y58" s="1591">
        <f t="shared" si="37"/>
        <v>0</v>
      </c>
      <c r="Z58" s="1592">
        <f t="shared" si="38"/>
        <v>0</v>
      </c>
      <c r="AA58" s="1591">
        <f t="shared" si="17"/>
        <v>0</v>
      </c>
      <c r="AB58" s="1591">
        <f t="shared" si="10"/>
        <v>0</v>
      </c>
      <c r="AC58" s="1593">
        <f t="shared" si="11"/>
        <v>0</v>
      </c>
      <c r="AD58" s="1591">
        <f t="shared" si="12"/>
        <v>0</v>
      </c>
      <c r="AE58" s="1591">
        <f t="shared" si="18"/>
        <v>0</v>
      </c>
      <c r="AG58" s="1157" t="s">
        <v>2254</v>
      </c>
      <c r="AH58" s="1161" t="s">
        <v>2114</v>
      </c>
      <c r="AI58" s="1158" t="s">
        <v>2255</v>
      </c>
      <c r="AJ58" s="1186">
        <v>0.25</v>
      </c>
      <c r="AK58" s="1186">
        <v>0.25</v>
      </c>
      <c r="AL58" s="1195">
        <v>0.33333333333333331</v>
      </c>
      <c r="AM58" s="1195">
        <v>0.33333333333333331</v>
      </c>
      <c r="AN58" s="1195">
        <v>0.33333333333333331</v>
      </c>
      <c r="AO58" s="1195">
        <v>0.33333333333333331</v>
      </c>
      <c r="AP58" s="1186"/>
      <c r="AQ58" s="1195">
        <v>0.33333333333333331</v>
      </c>
      <c r="AR58" s="1186">
        <v>0.25</v>
      </c>
      <c r="AS58" s="1163">
        <v>0.25</v>
      </c>
      <c r="AT58" s="1164">
        <v>0.25</v>
      </c>
      <c r="AU58" s="1163">
        <v>0.25</v>
      </c>
      <c r="AV58" s="1163">
        <v>0.33</v>
      </c>
      <c r="AX58" s="1157" t="s">
        <v>2254</v>
      </c>
      <c r="AY58" s="1161" t="s">
        <v>2114</v>
      </c>
      <c r="AZ58" s="1158" t="s">
        <v>2255</v>
      </c>
      <c r="BA58" s="1163"/>
      <c r="BB58" s="1163"/>
      <c r="BC58" s="1163"/>
      <c r="BD58" s="1163"/>
      <c r="BE58" s="1163"/>
      <c r="BF58" s="1163"/>
      <c r="BG58" s="1163"/>
      <c r="BH58" s="1170"/>
      <c r="BI58" s="1163"/>
      <c r="BJ58" s="1163"/>
      <c r="BK58" s="1164"/>
      <c r="BL58" s="1163"/>
      <c r="BM58" s="1163"/>
      <c r="BO58" s="1179" t="s">
        <v>2254</v>
      </c>
      <c r="BP58" s="1182" t="s">
        <v>2114</v>
      </c>
      <c r="BQ58" s="1180"/>
      <c r="BR58" s="1186"/>
      <c r="BS58" s="1186"/>
      <c r="BT58" s="1186"/>
      <c r="BU58" s="1186"/>
      <c r="BV58" s="1186"/>
      <c r="BW58" s="1186"/>
      <c r="BX58" s="1186"/>
      <c r="BY58" s="1186"/>
      <c r="BZ58" s="1186"/>
      <c r="CA58" s="1186"/>
      <c r="CB58" s="1188"/>
      <c r="CC58" s="1186"/>
      <c r="CD58" s="1186"/>
      <c r="CE58" s="1383"/>
      <c r="CG58" s="1179" t="s">
        <v>2254</v>
      </c>
      <c r="CH58" s="1182" t="s">
        <v>2114</v>
      </c>
      <c r="CI58" s="1180"/>
      <c r="CJ58" s="1538"/>
      <c r="CK58" s="1538"/>
      <c r="CL58" s="1538"/>
      <c r="CM58" s="1538"/>
      <c r="CN58" s="1538"/>
      <c r="CO58" s="1538"/>
      <c r="CP58" s="1538"/>
      <c r="CQ58" s="1538"/>
      <c r="CR58" s="1538"/>
      <c r="CS58" s="1538"/>
      <c r="CT58" s="1540"/>
      <c r="CU58" s="1538"/>
      <c r="CV58" s="1538"/>
      <c r="CX58" s="1179"/>
      <c r="CY58" s="1182"/>
      <c r="CZ58" s="1180"/>
      <c r="DA58" s="1627"/>
      <c r="DB58" s="1627"/>
      <c r="DC58" s="1627"/>
      <c r="DD58" s="1627"/>
      <c r="DE58" s="1627"/>
      <c r="DF58" s="1627"/>
      <c r="DG58" s="1627"/>
      <c r="DH58" s="1627"/>
      <c r="DI58" s="1627"/>
      <c r="DJ58" s="1627"/>
      <c r="DK58" s="1629"/>
      <c r="DL58" s="1627"/>
      <c r="DM58" s="1627"/>
    </row>
    <row r="59" spans="2:117">
      <c r="B59" s="1136">
        <f t="shared" si="47"/>
        <v>4.3</v>
      </c>
      <c r="C59" s="1158" t="str">
        <f t="shared" si="1"/>
        <v>運用管理</v>
      </c>
      <c r="D59" s="1155">
        <f>IF(I$48=0,0,G59/I$48)</f>
        <v>0</v>
      </c>
      <c r="E59" s="1156">
        <f>IF(J$48=0,0,H59/J$48)</f>
        <v>0</v>
      </c>
      <c r="G59" s="1156">
        <f t="shared" si="43"/>
        <v>0</v>
      </c>
      <c r="H59" s="1156">
        <f t="shared" si="44"/>
        <v>0</v>
      </c>
      <c r="I59" s="1156">
        <f>G60+G61</f>
        <v>0</v>
      </c>
      <c r="J59" s="1156">
        <f>H60+H61</f>
        <v>0</v>
      </c>
      <c r="K59" s="1156">
        <f>IF(スコア!Q59=0,0,1)</f>
        <v>0</v>
      </c>
      <c r="L59" s="1156">
        <f>IF(スコア!S59=0,0,1)</f>
        <v>0</v>
      </c>
      <c r="M59" s="1156">
        <f t="shared" si="45"/>
        <v>6.6666666666666666E-2</v>
      </c>
      <c r="N59" s="1156">
        <f t="shared" si="46"/>
        <v>0</v>
      </c>
      <c r="P59" s="1157">
        <f t="shared" si="6"/>
        <v>4.3</v>
      </c>
      <c r="Q59" s="1157" t="str">
        <f t="shared" si="7"/>
        <v xml:space="preserve"> Q1 4</v>
      </c>
      <c r="R59" s="1158" t="str">
        <f t="shared" si="8"/>
        <v>運用管理</v>
      </c>
      <c r="S59" s="1585">
        <f t="shared" si="16"/>
        <v>0.2</v>
      </c>
      <c r="T59" s="1585">
        <f t="shared" si="32"/>
        <v>0.2</v>
      </c>
      <c r="U59" s="1585">
        <f t="shared" si="33"/>
        <v>0.2</v>
      </c>
      <c r="V59" s="1585">
        <f t="shared" si="34"/>
        <v>0.2</v>
      </c>
      <c r="W59" s="1585">
        <f t="shared" si="35"/>
        <v>0.2</v>
      </c>
      <c r="X59" s="1585">
        <f t="shared" si="36"/>
        <v>0.2</v>
      </c>
      <c r="Y59" s="1585">
        <f t="shared" si="37"/>
        <v>0</v>
      </c>
      <c r="Z59" s="1587">
        <f t="shared" si="38"/>
        <v>0.2</v>
      </c>
      <c r="AA59" s="1585">
        <f t="shared" si="17"/>
        <v>0.2</v>
      </c>
      <c r="AB59" s="1585">
        <f t="shared" si="10"/>
        <v>0.2</v>
      </c>
      <c r="AC59" s="1586">
        <f t="shared" si="11"/>
        <v>0</v>
      </c>
      <c r="AD59" s="1585">
        <f t="shared" si="12"/>
        <v>0</v>
      </c>
      <c r="AE59" s="1585">
        <f t="shared" si="18"/>
        <v>0</v>
      </c>
      <c r="AG59" s="1157">
        <v>4.3</v>
      </c>
      <c r="AH59" s="1161" t="s">
        <v>2109</v>
      </c>
      <c r="AI59" s="1158" t="s">
        <v>1947</v>
      </c>
      <c r="AJ59" s="1191">
        <v>0.2</v>
      </c>
      <c r="AK59" s="1191">
        <v>0.2</v>
      </c>
      <c r="AL59" s="1191">
        <v>0.2</v>
      </c>
      <c r="AM59" s="1191">
        <v>0.2</v>
      </c>
      <c r="AN59" s="1191">
        <v>0.2</v>
      </c>
      <c r="AO59" s="1191">
        <v>0.2</v>
      </c>
      <c r="AP59" s="1191"/>
      <c r="AQ59" s="1192">
        <v>0.2</v>
      </c>
      <c r="AR59" s="1191">
        <v>0.2</v>
      </c>
      <c r="AS59" s="1163">
        <v>0.2</v>
      </c>
      <c r="AT59" s="1164"/>
      <c r="AU59" s="1163"/>
      <c r="AV59" s="1163"/>
      <c r="AX59" s="1157">
        <v>4.3</v>
      </c>
      <c r="AY59" s="1161" t="s">
        <v>2109</v>
      </c>
      <c r="AZ59" s="1158" t="s">
        <v>1947</v>
      </c>
      <c r="BA59" s="1163">
        <v>0.2</v>
      </c>
      <c r="BB59" s="1163">
        <v>0.2</v>
      </c>
      <c r="BC59" s="1163">
        <v>0.2</v>
      </c>
      <c r="BD59" s="1163">
        <v>0.2</v>
      </c>
      <c r="BE59" s="1163">
        <v>0.2</v>
      </c>
      <c r="BF59" s="1163">
        <v>0.2</v>
      </c>
      <c r="BG59" s="1163"/>
      <c r="BH59" s="1170">
        <v>0.2</v>
      </c>
      <c r="BI59" s="1163">
        <v>0.2</v>
      </c>
      <c r="BJ59" s="1163">
        <v>0.2</v>
      </c>
      <c r="BK59" s="1164"/>
      <c r="BL59" s="1163"/>
      <c r="BM59" s="1163"/>
      <c r="BO59" s="1157">
        <v>4.3</v>
      </c>
      <c r="BP59" s="1161" t="s">
        <v>2109</v>
      </c>
      <c r="BQ59" s="1158" t="s">
        <v>1947</v>
      </c>
      <c r="BR59" s="1191">
        <v>0.2</v>
      </c>
      <c r="BS59" s="1191">
        <v>0.2</v>
      </c>
      <c r="BT59" s="1191">
        <v>0.2</v>
      </c>
      <c r="BU59" s="1191">
        <v>0.2</v>
      </c>
      <c r="BV59" s="1191">
        <v>0.2</v>
      </c>
      <c r="BW59" s="1191">
        <v>0.2</v>
      </c>
      <c r="BX59" s="1191"/>
      <c r="BY59" s="1484">
        <v>0.2</v>
      </c>
      <c r="BZ59" s="1191">
        <v>0.2</v>
      </c>
      <c r="CA59" s="1191">
        <v>0.2</v>
      </c>
      <c r="CB59" s="1193"/>
      <c r="CC59" s="1191"/>
      <c r="CD59" s="1191"/>
      <c r="CE59" s="1383"/>
      <c r="CG59" s="1157">
        <v>4.3</v>
      </c>
      <c r="CH59" s="1161" t="s">
        <v>2109</v>
      </c>
      <c r="CI59" s="1158" t="s">
        <v>1947</v>
      </c>
      <c r="CJ59" s="1531">
        <f t="shared" si="19"/>
        <v>0.2</v>
      </c>
      <c r="CK59" s="1531">
        <f t="shared" si="20"/>
        <v>0.2</v>
      </c>
      <c r="CL59" s="1531">
        <f t="shared" si="21"/>
        <v>0.2</v>
      </c>
      <c r="CM59" s="1531">
        <f t="shared" si="22"/>
        <v>0.2</v>
      </c>
      <c r="CN59" s="1531">
        <f t="shared" si="23"/>
        <v>0.2</v>
      </c>
      <c r="CO59" s="1531">
        <f t="shared" si="24"/>
        <v>0.2</v>
      </c>
      <c r="CP59" s="1531">
        <f t="shared" si="25"/>
        <v>0</v>
      </c>
      <c r="CQ59" s="1534">
        <f t="shared" si="26"/>
        <v>0.2</v>
      </c>
      <c r="CR59" s="1531">
        <f t="shared" si="27"/>
        <v>0.2</v>
      </c>
      <c r="CS59" s="1531">
        <f t="shared" si="28"/>
        <v>0.2</v>
      </c>
      <c r="CT59" s="1533">
        <f t="shared" si="13"/>
        <v>0</v>
      </c>
      <c r="CU59" s="1531">
        <f t="shared" si="14"/>
        <v>0</v>
      </c>
      <c r="CV59" s="1531">
        <f t="shared" si="15"/>
        <v>0</v>
      </c>
      <c r="CX59" s="1157">
        <v>4.3</v>
      </c>
      <c r="CY59" s="1161" t="s">
        <v>2109</v>
      </c>
      <c r="CZ59" s="1158" t="s">
        <v>1947</v>
      </c>
      <c r="DA59" s="1520">
        <f t="shared" si="29"/>
        <v>0.2</v>
      </c>
      <c r="DB59" s="1520"/>
      <c r="DC59" s="1520"/>
      <c r="DD59" s="1520"/>
      <c r="DE59" s="1520"/>
      <c r="DF59" s="1520"/>
      <c r="DG59" s="1520"/>
      <c r="DH59" s="1630"/>
      <c r="DI59" s="1520"/>
      <c r="DJ59" s="1520"/>
      <c r="DK59" s="1623"/>
      <c r="DL59" s="1520"/>
      <c r="DM59" s="1520"/>
    </row>
    <row r="60" spans="2:117">
      <c r="B60" s="1136" t="str">
        <f t="shared" si="47"/>
        <v>4.3.1</v>
      </c>
      <c r="C60" s="1158" t="str">
        <f t="shared" si="1"/>
        <v>CO2の監視</v>
      </c>
      <c r="D60" s="1146">
        <f>IF(I$59&gt;0,G60/I$59,0)</f>
        <v>0</v>
      </c>
      <c r="E60" s="1156">
        <f>IF(J$59&gt;0,H60/J$59,0)</f>
        <v>0</v>
      </c>
      <c r="G60" s="1156">
        <f t="shared" si="43"/>
        <v>0</v>
      </c>
      <c r="H60" s="1156">
        <f t="shared" si="44"/>
        <v>0</v>
      </c>
      <c r="I60" s="1156"/>
      <c r="J60" s="1156"/>
      <c r="K60" s="1156">
        <f>IF(スコア!Q60=0,0,1)</f>
        <v>0</v>
      </c>
      <c r="L60" s="1156">
        <f>IF(スコア!S60=0,0,1)</f>
        <v>0</v>
      </c>
      <c r="M60" s="1156">
        <f t="shared" si="45"/>
        <v>0.16666666666666666</v>
      </c>
      <c r="N60" s="1156">
        <f t="shared" si="46"/>
        <v>0</v>
      </c>
      <c r="P60" s="1157" t="str">
        <f t="shared" si="6"/>
        <v>4.3.1</v>
      </c>
      <c r="Q60" s="1157" t="str">
        <f t="shared" si="7"/>
        <v xml:space="preserve"> Q1 4.3</v>
      </c>
      <c r="R60" s="1158" t="str">
        <f t="shared" si="8"/>
        <v>CO2の監視</v>
      </c>
      <c r="S60" s="1585">
        <f t="shared" si="16"/>
        <v>0.5</v>
      </c>
      <c r="T60" s="1585">
        <f t="shared" si="32"/>
        <v>0.5</v>
      </c>
      <c r="U60" s="1585">
        <f t="shared" si="33"/>
        <v>0.5</v>
      </c>
      <c r="V60" s="1585">
        <f t="shared" si="34"/>
        <v>0.5</v>
      </c>
      <c r="W60" s="1585">
        <f t="shared" si="35"/>
        <v>0</v>
      </c>
      <c r="X60" s="1585">
        <f t="shared" si="36"/>
        <v>0</v>
      </c>
      <c r="Y60" s="1585">
        <f t="shared" si="37"/>
        <v>0</v>
      </c>
      <c r="Z60" s="1587">
        <f t="shared" si="38"/>
        <v>0.5</v>
      </c>
      <c r="AA60" s="1585">
        <f t="shared" si="17"/>
        <v>0.5</v>
      </c>
      <c r="AB60" s="1585">
        <f t="shared" si="10"/>
        <v>0.5</v>
      </c>
      <c r="AC60" s="1586">
        <f t="shared" si="11"/>
        <v>0</v>
      </c>
      <c r="AD60" s="1585">
        <f t="shared" si="12"/>
        <v>0</v>
      </c>
      <c r="AE60" s="1585">
        <f t="shared" si="18"/>
        <v>0</v>
      </c>
      <c r="AG60" s="1157" t="s">
        <v>2256</v>
      </c>
      <c r="AH60" s="1161" t="s">
        <v>2118</v>
      </c>
      <c r="AI60" s="1158" t="s">
        <v>2257</v>
      </c>
      <c r="AJ60" s="1191">
        <v>0.5</v>
      </c>
      <c r="AK60" s="1191">
        <v>0.5</v>
      </c>
      <c r="AL60" s="1191">
        <v>0.5</v>
      </c>
      <c r="AM60" s="1191">
        <v>0.5</v>
      </c>
      <c r="AN60" s="1191"/>
      <c r="AO60" s="1191"/>
      <c r="AP60" s="1191"/>
      <c r="AQ60" s="1192">
        <v>0.5</v>
      </c>
      <c r="AR60" s="1191">
        <v>0.5</v>
      </c>
      <c r="AS60" s="1163">
        <v>0.5</v>
      </c>
      <c r="AT60" s="1164"/>
      <c r="AU60" s="1163"/>
      <c r="AV60" s="1163"/>
      <c r="AX60" s="1157" t="s">
        <v>2256</v>
      </c>
      <c r="AY60" s="1161" t="s">
        <v>2118</v>
      </c>
      <c r="AZ60" s="1158" t="s">
        <v>2257</v>
      </c>
      <c r="BA60" s="1163">
        <v>0.5</v>
      </c>
      <c r="BB60" s="1163">
        <v>0.5</v>
      </c>
      <c r="BC60" s="1163">
        <v>0.5</v>
      </c>
      <c r="BD60" s="1163">
        <v>0.5</v>
      </c>
      <c r="BE60" s="1163"/>
      <c r="BF60" s="1163"/>
      <c r="BG60" s="1163"/>
      <c r="BH60" s="1170">
        <v>0.5</v>
      </c>
      <c r="BI60" s="1163">
        <v>0.5</v>
      </c>
      <c r="BJ60" s="1163">
        <v>0.5</v>
      </c>
      <c r="BK60" s="1164"/>
      <c r="BL60" s="1163"/>
      <c r="BM60" s="1163"/>
      <c r="BO60" s="1157" t="s">
        <v>2256</v>
      </c>
      <c r="BP60" s="1161" t="s">
        <v>2118</v>
      </c>
      <c r="BQ60" s="1158" t="s">
        <v>2257</v>
      </c>
      <c r="BR60" s="1191">
        <v>0.5</v>
      </c>
      <c r="BS60" s="1191">
        <v>0.5</v>
      </c>
      <c r="BT60" s="1191">
        <v>0.5</v>
      </c>
      <c r="BU60" s="1191">
        <v>0.5</v>
      </c>
      <c r="BV60" s="1191"/>
      <c r="BW60" s="1191"/>
      <c r="BX60" s="1191"/>
      <c r="BY60" s="1484">
        <v>0.5</v>
      </c>
      <c r="BZ60" s="1191">
        <v>0.5</v>
      </c>
      <c r="CA60" s="1191">
        <v>0.5</v>
      </c>
      <c r="CB60" s="1193"/>
      <c r="CC60" s="1191"/>
      <c r="CD60" s="1191"/>
      <c r="CE60" s="1383"/>
      <c r="CG60" s="1157" t="s">
        <v>2256</v>
      </c>
      <c r="CH60" s="1161" t="s">
        <v>2118</v>
      </c>
      <c r="CI60" s="1158" t="s">
        <v>2257</v>
      </c>
      <c r="CJ60" s="1531">
        <f t="shared" si="19"/>
        <v>0.5</v>
      </c>
      <c r="CK60" s="1531">
        <f t="shared" si="20"/>
        <v>0.5</v>
      </c>
      <c r="CL60" s="1531">
        <f t="shared" si="21"/>
        <v>0.5</v>
      </c>
      <c r="CM60" s="1531">
        <f t="shared" si="22"/>
        <v>0.5</v>
      </c>
      <c r="CN60" s="1531">
        <f t="shared" si="23"/>
        <v>0</v>
      </c>
      <c r="CO60" s="1531">
        <f t="shared" si="24"/>
        <v>0</v>
      </c>
      <c r="CP60" s="1531">
        <f t="shared" si="25"/>
        <v>0</v>
      </c>
      <c r="CQ60" s="1534">
        <f t="shared" si="26"/>
        <v>0.5</v>
      </c>
      <c r="CR60" s="1531">
        <f t="shared" si="27"/>
        <v>0.5</v>
      </c>
      <c r="CS60" s="1531">
        <f t="shared" si="28"/>
        <v>0.5</v>
      </c>
      <c r="CT60" s="1533">
        <f t="shared" si="13"/>
        <v>0</v>
      </c>
      <c r="CU60" s="1531">
        <f t="shared" si="14"/>
        <v>0</v>
      </c>
      <c r="CV60" s="1531">
        <f t="shared" si="15"/>
        <v>0</v>
      </c>
      <c r="CX60" s="1157" t="s">
        <v>2256</v>
      </c>
      <c r="CY60" s="1161" t="s">
        <v>2118</v>
      </c>
      <c r="CZ60" s="1158" t="s">
        <v>2257</v>
      </c>
      <c r="DA60" s="1520">
        <f t="shared" si="29"/>
        <v>0.5</v>
      </c>
      <c r="DB60" s="1520"/>
      <c r="DC60" s="1520"/>
      <c r="DD60" s="1520"/>
      <c r="DE60" s="1520"/>
      <c r="DF60" s="1520"/>
      <c r="DG60" s="1520"/>
      <c r="DH60" s="1630"/>
      <c r="DI60" s="1520"/>
      <c r="DJ60" s="1520"/>
      <c r="DK60" s="1623"/>
      <c r="DL60" s="1520"/>
      <c r="DM60" s="1520"/>
    </row>
    <row r="61" spans="2:117">
      <c r="B61" s="1136" t="str">
        <f t="shared" si="47"/>
        <v>4.3.2</v>
      </c>
      <c r="C61" s="1158" t="str">
        <f t="shared" si="1"/>
        <v>喫煙の制御</v>
      </c>
      <c r="D61" s="1146">
        <f>IF(I$59&gt;0,G61/I$59,0)</f>
        <v>0</v>
      </c>
      <c r="E61" s="1156">
        <f>IF(J$59&gt;0,H61/J$59,0)</f>
        <v>0</v>
      </c>
      <c r="G61" s="1156">
        <f t="shared" si="43"/>
        <v>0</v>
      </c>
      <c r="H61" s="1156">
        <f t="shared" si="44"/>
        <v>0</v>
      </c>
      <c r="I61" s="1156"/>
      <c r="J61" s="1156"/>
      <c r="K61" s="1156">
        <f>IF(スコア!Q61=0,0,1)</f>
        <v>0</v>
      </c>
      <c r="L61" s="1156">
        <f>IF(スコア!S61=0,0,1)</f>
        <v>0</v>
      </c>
      <c r="M61" s="1156">
        <f t="shared" si="45"/>
        <v>0.16666666666666666</v>
      </c>
      <c r="N61" s="1156">
        <f t="shared" si="46"/>
        <v>0</v>
      </c>
      <c r="P61" s="1157" t="str">
        <f t="shared" si="6"/>
        <v>4.3.2</v>
      </c>
      <c r="Q61" s="1157" t="str">
        <f t="shared" si="7"/>
        <v xml:space="preserve"> Q1 4.3</v>
      </c>
      <c r="R61" s="1158" t="str">
        <f t="shared" si="8"/>
        <v>喫煙の制御</v>
      </c>
      <c r="S61" s="1585">
        <f t="shared" si="16"/>
        <v>0.5</v>
      </c>
      <c r="T61" s="1585">
        <f t="shared" si="32"/>
        <v>0.5</v>
      </c>
      <c r="U61" s="1585">
        <f t="shared" si="33"/>
        <v>0.5</v>
      </c>
      <c r="V61" s="1585">
        <f t="shared" si="34"/>
        <v>0.5</v>
      </c>
      <c r="W61" s="1585">
        <f t="shared" si="35"/>
        <v>1</v>
      </c>
      <c r="X61" s="1585">
        <f t="shared" si="36"/>
        <v>1</v>
      </c>
      <c r="Y61" s="1585">
        <f t="shared" si="37"/>
        <v>0</v>
      </c>
      <c r="Z61" s="1587">
        <f t="shared" si="38"/>
        <v>0.5</v>
      </c>
      <c r="AA61" s="1585">
        <f t="shared" si="17"/>
        <v>0.5</v>
      </c>
      <c r="AB61" s="1585">
        <f t="shared" si="10"/>
        <v>0.5</v>
      </c>
      <c r="AC61" s="1586">
        <f t="shared" si="11"/>
        <v>0</v>
      </c>
      <c r="AD61" s="1585">
        <f t="shared" si="12"/>
        <v>0</v>
      </c>
      <c r="AE61" s="1585">
        <f t="shared" si="18"/>
        <v>0</v>
      </c>
      <c r="AG61" s="1157" t="s">
        <v>2258</v>
      </c>
      <c r="AH61" s="1161" t="s">
        <v>2118</v>
      </c>
      <c r="AI61" s="1158" t="s">
        <v>2259</v>
      </c>
      <c r="AJ61" s="1191">
        <v>0.5</v>
      </c>
      <c r="AK61" s="1191">
        <v>0.5</v>
      </c>
      <c r="AL61" s="1191">
        <v>0.5</v>
      </c>
      <c r="AM61" s="1191">
        <v>0.5</v>
      </c>
      <c r="AN61" s="1191">
        <v>1</v>
      </c>
      <c r="AO61" s="1191">
        <v>1</v>
      </c>
      <c r="AP61" s="1191"/>
      <c r="AQ61" s="1192">
        <v>0.5</v>
      </c>
      <c r="AR61" s="1191">
        <v>0.5</v>
      </c>
      <c r="AS61" s="1163">
        <v>0.5</v>
      </c>
      <c r="AT61" s="1164"/>
      <c r="AU61" s="1163"/>
      <c r="AV61" s="1163"/>
      <c r="AX61" s="1157" t="s">
        <v>2258</v>
      </c>
      <c r="AY61" s="1161" t="s">
        <v>2118</v>
      </c>
      <c r="AZ61" s="1158" t="s">
        <v>2259</v>
      </c>
      <c r="BA61" s="1163">
        <v>0.5</v>
      </c>
      <c r="BB61" s="1163">
        <v>0.5</v>
      </c>
      <c r="BC61" s="1163">
        <v>0.5</v>
      </c>
      <c r="BD61" s="1163">
        <v>0.5</v>
      </c>
      <c r="BE61" s="1163">
        <v>1</v>
      </c>
      <c r="BF61" s="1163">
        <v>1</v>
      </c>
      <c r="BG61" s="1163"/>
      <c r="BH61" s="1170">
        <v>0.5</v>
      </c>
      <c r="BI61" s="1163">
        <v>0.5</v>
      </c>
      <c r="BJ61" s="1163">
        <v>0.5</v>
      </c>
      <c r="BK61" s="1164"/>
      <c r="BL61" s="1163"/>
      <c r="BM61" s="1163"/>
      <c r="BO61" s="1157" t="s">
        <v>2258</v>
      </c>
      <c r="BP61" s="1161" t="s">
        <v>2118</v>
      </c>
      <c r="BQ61" s="1158" t="s">
        <v>2259</v>
      </c>
      <c r="BR61" s="1191">
        <v>0.5</v>
      </c>
      <c r="BS61" s="1191">
        <v>0.5</v>
      </c>
      <c r="BT61" s="1191">
        <v>0.5</v>
      </c>
      <c r="BU61" s="1191">
        <v>0.5</v>
      </c>
      <c r="BV61" s="1191">
        <v>1</v>
      </c>
      <c r="BW61" s="1191">
        <v>1</v>
      </c>
      <c r="BX61" s="1191"/>
      <c r="BY61" s="1484">
        <v>0.5</v>
      </c>
      <c r="BZ61" s="1191">
        <v>0.5</v>
      </c>
      <c r="CA61" s="1191">
        <v>0.5</v>
      </c>
      <c r="CB61" s="1193"/>
      <c r="CC61" s="1191"/>
      <c r="CD61" s="1191"/>
      <c r="CE61" s="1383"/>
      <c r="CG61" s="1157" t="s">
        <v>2258</v>
      </c>
      <c r="CH61" s="1161" t="s">
        <v>2118</v>
      </c>
      <c r="CI61" s="1158" t="s">
        <v>2259</v>
      </c>
      <c r="CJ61" s="1531">
        <f t="shared" si="19"/>
        <v>0.5</v>
      </c>
      <c r="CK61" s="1531">
        <f t="shared" si="20"/>
        <v>0.5</v>
      </c>
      <c r="CL61" s="1531">
        <f t="shared" si="21"/>
        <v>0.5</v>
      </c>
      <c r="CM61" s="1531">
        <f t="shared" si="22"/>
        <v>0.5</v>
      </c>
      <c r="CN61" s="1531">
        <f t="shared" si="23"/>
        <v>1</v>
      </c>
      <c r="CO61" s="1531">
        <f t="shared" si="24"/>
        <v>1</v>
      </c>
      <c r="CP61" s="1531">
        <f t="shared" si="25"/>
        <v>0</v>
      </c>
      <c r="CQ61" s="1534">
        <f t="shared" si="26"/>
        <v>0.5</v>
      </c>
      <c r="CR61" s="1531">
        <f t="shared" si="27"/>
        <v>0.5</v>
      </c>
      <c r="CS61" s="1531">
        <f t="shared" si="28"/>
        <v>0.5</v>
      </c>
      <c r="CT61" s="1533">
        <f t="shared" si="13"/>
        <v>0</v>
      </c>
      <c r="CU61" s="1531">
        <f t="shared" si="14"/>
        <v>0</v>
      </c>
      <c r="CV61" s="1531">
        <f t="shared" si="15"/>
        <v>0</v>
      </c>
      <c r="CX61" s="1157" t="s">
        <v>2258</v>
      </c>
      <c r="CY61" s="1161" t="s">
        <v>2118</v>
      </c>
      <c r="CZ61" s="1158" t="s">
        <v>2259</v>
      </c>
      <c r="DA61" s="1520">
        <f t="shared" si="29"/>
        <v>0.5</v>
      </c>
      <c r="DB61" s="1520"/>
      <c r="DC61" s="1520"/>
      <c r="DD61" s="1520"/>
      <c r="DE61" s="1520"/>
      <c r="DF61" s="1520"/>
      <c r="DG61" s="1520"/>
      <c r="DH61" s="1630"/>
      <c r="DI61" s="1520"/>
      <c r="DJ61" s="1520"/>
      <c r="DK61" s="1623"/>
      <c r="DL61" s="1520"/>
      <c r="DM61" s="1520"/>
    </row>
    <row r="62" spans="2:117">
      <c r="B62" s="1136" t="str">
        <f t="shared" si="47"/>
        <v>Q2</v>
      </c>
      <c r="C62" s="1139" t="str">
        <f t="shared" si="1"/>
        <v>サービス性能</v>
      </c>
      <c r="D62" s="1137">
        <f>IF(I$8=0,0,G62/I$8)</f>
        <v>0.3</v>
      </c>
      <c r="E62" s="1138">
        <f>IF(J$8=0,0,H62/J$8)</f>
        <v>0</v>
      </c>
      <c r="G62" s="1138">
        <f t="shared" si="43"/>
        <v>0.3</v>
      </c>
      <c r="H62" s="1138">
        <f t="shared" si="44"/>
        <v>0</v>
      </c>
      <c r="I62" s="1138">
        <f>G63+G78+G100</f>
        <v>1</v>
      </c>
      <c r="J62" s="1138">
        <f>H63+H78+H100</f>
        <v>0</v>
      </c>
      <c r="K62" s="1138">
        <f>IF(スコア!U62=0,0,1)</f>
        <v>1</v>
      </c>
      <c r="L62" s="1138">
        <f>IF(スコア!S62=0,0,1)</f>
        <v>0</v>
      </c>
      <c r="M62" s="1138">
        <f t="shared" si="45"/>
        <v>0.3</v>
      </c>
      <c r="N62" s="1138">
        <f t="shared" si="46"/>
        <v>0</v>
      </c>
      <c r="P62" s="1136" t="str">
        <f t="shared" si="6"/>
        <v>Q2</v>
      </c>
      <c r="Q62" s="1136" t="str">
        <f t="shared" si="7"/>
        <v xml:space="preserve"> Q</v>
      </c>
      <c r="R62" s="1139" t="str">
        <f t="shared" si="8"/>
        <v>サービス性能</v>
      </c>
      <c r="S62" s="1579">
        <f t="shared" si="16"/>
        <v>0.3</v>
      </c>
      <c r="T62" s="1579">
        <f t="shared" si="32"/>
        <v>0.3</v>
      </c>
      <c r="U62" s="1579">
        <f t="shared" si="33"/>
        <v>0.3</v>
      </c>
      <c r="V62" s="1579">
        <f t="shared" si="34"/>
        <v>0.3</v>
      </c>
      <c r="W62" s="1579">
        <f t="shared" si="35"/>
        <v>0.3</v>
      </c>
      <c r="X62" s="1579">
        <f t="shared" si="36"/>
        <v>0.3</v>
      </c>
      <c r="Y62" s="1579">
        <f t="shared" si="37"/>
        <v>0.3</v>
      </c>
      <c r="Z62" s="1579">
        <f t="shared" si="38"/>
        <v>0.3</v>
      </c>
      <c r="AA62" s="1579">
        <f t="shared" si="17"/>
        <v>0.3</v>
      </c>
      <c r="AB62" s="1579">
        <f t="shared" si="10"/>
        <v>0.3</v>
      </c>
      <c r="AC62" s="1581">
        <f t="shared" si="11"/>
        <v>0</v>
      </c>
      <c r="AD62" s="1579">
        <f t="shared" si="12"/>
        <v>0</v>
      </c>
      <c r="AE62" s="1579">
        <f t="shared" si="18"/>
        <v>0</v>
      </c>
      <c r="AG62" s="1136" t="s">
        <v>2260</v>
      </c>
      <c r="AH62" s="1141" t="s">
        <v>780</v>
      </c>
      <c r="AI62" s="1139" t="s">
        <v>2261</v>
      </c>
      <c r="AJ62" s="1140">
        <v>0.3</v>
      </c>
      <c r="AK62" s="1140">
        <v>0.3</v>
      </c>
      <c r="AL62" s="1140">
        <v>0.3</v>
      </c>
      <c r="AM62" s="1140">
        <v>0.3</v>
      </c>
      <c r="AN62" s="1140">
        <v>0.3</v>
      </c>
      <c r="AO62" s="1140">
        <v>0.3</v>
      </c>
      <c r="AP62" s="1140">
        <v>0.3</v>
      </c>
      <c r="AQ62" s="1140">
        <v>0.3</v>
      </c>
      <c r="AR62" s="1140">
        <v>0.3</v>
      </c>
      <c r="AS62" s="1142">
        <v>0.3</v>
      </c>
      <c r="AT62" s="1143">
        <v>0</v>
      </c>
      <c r="AU62" s="1142">
        <v>0</v>
      </c>
      <c r="AV62" s="1142">
        <v>0</v>
      </c>
      <c r="AX62" s="1136" t="s">
        <v>2260</v>
      </c>
      <c r="AY62" s="1141" t="s">
        <v>780</v>
      </c>
      <c r="AZ62" s="1139" t="s">
        <v>2261</v>
      </c>
      <c r="BA62" s="1142">
        <v>0.3</v>
      </c>
      <c r="BB62" s="1142">
        <v>0.3</v>
      </c>
      <c r="BC62" s="1142">
        <v>0.3</v>
      </c>
      <c r="BD62" s="1142">
        <v>0.3</v>
      </c>
      <c r="BE62" s="1142">
        <v>0.3</v>
      </c>
      <c r="BF62" s="1142">
        <v>0.3</v>
      </c>
      <c r="BG62" s="1142">
        <v>0.3</v>
      </c>
      <c r="BH62" s="1142">
        <v>0.3</v>
      </c>
      <c r="BI62" s="1142">
        <v>0.3</v>
      </c>
      <c r="BJ62" s="1142">
        <v>0.3</v>
      </c>
      <c r="BK62" s="1143"/>
      <c r="BL62" s="1142"/>
      <c r="BM62" s="1142"/>
      <c r="BO62" s="1136" t="s">
        <v>2260</v>
      </c>
      <c r="BP62" s="1141" t="s">
        <v>780</v>
      </c>
      <c r="BQ62" s="1139" t="s">
        <v>2261</v>
      </c>
      <c r="BR62" s="1142">
        <v>0.3</v>
      </c>
      <c r="BS62" s="1142">
        <v>0.3</v>
      </c>
      <c r="BT62" s="1142">
        <v>0.3</v>
      </c>
      <c r="BU62" s="1142">
        <v>0.3</v>
      </c>
      <c r="BV62" s="1142">
        <v>0.3</v>
      </c>
      <c r="BW62" s="1142">
        <v>0.3</v>
      </c>
      <c r="BX62" s="1142">
        <v>0.3</v>
      </c>
      <c r="BY62" s="1142">
        <v>0.3</v>
      </c>
      <c r="BZ62" s="1142">
        <v>0.3</v>
      </c>
      <c r="CA62" s="1142">
        <v>0.3</v>
      </c>
      <c r="CB62" s="1143"/>
      <c r="CC62" s="1142"/>
      <c r="CD62" s="1142"/>
      <c r="CE62" s="1380"/>
      <c r="CG62" s="1136" t="s">
        <v>2005</v>
      </c>
      <c r="CH62" s="1141" t="s">
        <v>780</v>
      </c>
      <c r="CI62" s="1139" t="s">
        <v>1579</v>
      </c>
      <c r="CJ62" s="1516">
        <v>0.15</v>
      </c>
      <c r="CK62" s="1516">
        <v>0.15</v>
      </c>
      <c r="CL62" s="1516">
        <v>0.15</v>
      </c>
      <c r="CM62" s="1516">
        <v>0.15</v>
      </c>
      <c r="CN62" s="1516">
        <v>0.15</v>
      </c>
      <c r="CO62" s="1516">
        <v>0.15</v>
      </c>
      <c r="CP62" s="1516">
        <v>0.15</v>
      </c>
      <c r="CQ62" s="1516">
        <v>0.15</v>
      </c>
      <c r="CR62" s="1516">
        <v>0.15</v>
      </c>
      <c r="CS62" s="1516">
        <v>0.15</v>
      </c>
      <c r="CT62" s="1517">
        <f t="shared" si="13"/>
        <v>0</v>
      </c>
      <c r="CU62" s="1516">
        <f t="shared" si="14"/>
        <v>0</v>
      </c>
      <c r="CV62" s="1516">
        <f t="shared" si="15"/>
        <v>0</v>
      </c>
      <c r="CX62" s="1136" t="s">
        <v>2005</v>
      </c>
      <c r="CY62" s="1141" t="s">
        <v>780</v>
      </c>
      <c r="CZ62" s="1139" t="s">
        <v>1579</v>
      </c>
      <c r="DA62" s="1641">
        <v>0.4</v>
      </c>
      <c r="DB62" s="1516"/>
      <c r="DC62" s="1516"/>
      <c r="DD62" s="1516"/>
      <c r="DE62" s="1516"/>
      <c r="DF62" s="1516"/>
      <c r="DG62" s="1516"/>
      <c r="DH62" s="1516"/>
      <c r="DI62" s="1516"/>
      <c r="DJ62" s="1516"/>
      <c r="DK62" s="1517"/>
      <c r="DL62" s="1516"/>
      <c r="DM62" s="1516"/>
    </row>
    <row r="63" spans="2:117">
      <c r="B63" s="1136">
        <f t="shared" si="47"/>
        <v>1</v>
      </c>
      <c r="C63" s="1148" t="str">
        <f t="shared" si="1"/>
        <v>機能性</v>
      </c>
      <c r="D63" s="1144">
        <f>IF(I$62=0,0,G63/I$62)</f>
        <v>0.4</v>
      </c>
      <c r="E63" s="1145">
        <f>IF(J$62=0,0,H63/J$62)</f>
        <v>0</v>
      </c>
      <c r="G63" s="1145">
        <f t="shared" si="43"/>
        <v>0.4</v>
      </c>
      <c r="H63" s="1145">
        <f t="shared" si="44"/>
        <v>0</v>
      </c>
      <c r="I63" s="1145">
        <f>G64+G68+G74</f>
        <v>1</v>
      </c>
      <c r="J63" s="1145">
        <f>H64+H68+H74</f>
        <v>0.66666666666666663</v>
      </c>
      <c r="K63" s="1145">
        <f>IF(L63&gt;0,1,IF(スコア!Q63=0,0,1))</f>
        <v>1</v>
      </c>
      <c r="L63" s="1145">
        <f>IF(スコア!S63=0,0,1)</f>
        <v>1</v>
      </c>
      <c r="M63" s="1145">
        <f t="shared" si="45"/>
        <v>0.4</v>
      </c>
      <c r="N63" s="1145">
        <f t="shared" si="46"/>
        <v>0</v>
      </c>
      <c r="P63" s="1147">
        <f t="shared" si="6"/>
        <v>1</v>
      </c>
      <c r="Q63" s="1147" t="str">
        <f t="shared" si="7"/>
        <v xml:space="preserve"> Q2</v>
      </c>
      <c r="R63" s="1148" t="str">
        <f t="shared" si="8"/>
        <v>機能性</v>
      </c>
      <c r="S63" s="1594">
        <f t="shared" si="16"/>
        <v>0.4</v>
      </c>
      <c r="T63" s="1594">
        <f t="shared" si="32"/>
        <v>0.4</v>
      </c>
      <c r="U63" s="1594">
        <f t="shared" si="33"/>
        <v>0.4</v>
      </c>
      <c r="V63" s="1594">
        <f t="shared" si="34"/>
        <v>0.4</v>
      </c>
      <c r="W63" s="1594">
        <f t="shared" si="35"/>
        <v>0.4</v>
      </c>
      <c r="X63" s="1594">
        <f t="shared" si="36"/>
        <v>0.4</v>
      </c>
      <c r="Y63" s="1594">
        <f t="shared" si="37"/>
        <v>0.4</v>
      </c>
      <c r="Z63" s="1588">
        <f t="shared" si="38"/>
        <v>0.4</v>
      </c>
      <c r="AA63" s="1580">
        <f>IF($Q$3="coCASB",0,IF($P$3=1,BI63,IF($P$3=2,BZ63,IF($P$3=3,CR63,IF($P$3=4,DI63,AR63)))))</f>
        <v>0.4</v>
      </c>
      <c r="AB63" s="1594">
        <f t="shared" si="10"/>
        <v>0.4</v>
      </c>
      <c r="AC63" s="1595">
        <f t="shared" si="11"/>
        <v>0</v>
      </c>
      <c r="AD63" s="1594">
        <f t="shared" si="12"/>
        <v>0</v>
      </c>
      <c r="AE63" s="1594">
        <f t="shared" si="18"/>
        <v>0</v>
      </c>
      <c r="AG63" s="1147">
        <v>1</v>
      </c>
      <c r="AH63" s="1151" t="s">
        <v>2119</v>
      </c>
      <c r="AI63" s="1148" t="s">
        <v>2120</v>
      </c>
      <c r="AJ63" s="1196">
        <v>0.4</v>
      </c>
      <c r="AK63" s="1196">
        <v>0.4</v>
      </c>
      <c r="AL63" s="1196">
        <v>0.4</v>
      </c>
      <c r="AM63" s="1196">
        <v>0.4</v>
      </c>
      <c r="AN63" s="1196">
        <v>0.4</v>
      </c>
      <c r="AO63" s="1196">
        <v>0.4</v>
      </c>
      <c r="AP63" s="1196">
        <v>0.4</v>
      </c>
      <c r="AQ63" s="1171">
        <v>0.4</v>
      </c>
      <c r="AR63" s="1196">
        <v>0.4</v>
      </c>
      <c r="AS63" s="1197">
        <v>0.4</v>
      </c>
      <c r="AT63" s="1198"/>
      <c r="AU63" s="1197"/>
      <c r="AV63" s="1197"/>
      <c r="AX63" s="1147">
        <v>1</v>
      </c>
      <c r="AY63" s="1151" t="s">
        <v>2119</v>
      </c>
      <c r="AZ63" s="1148" t="s">
        <v>2120</v>
      </c>
      <c r="BA63" s="1197">
        <v>0.4</v>
      </c>
      <c r="BB63" s="1197">
        <v>0.4</v>
      </c>
      <c r="BC63" s="1197">
        <v>0.4</v>
      </c>
      <c r="BD63" s="1197">
        <v>0.4</v>
      </c>
      <c r="BE63" s="1197">
        <v>0.4</v>
      </c>
      <c r="BF63" s="1197">
        <v>0.4</v>
      </c>
      <c r="BG63" s="1197">
        <v>0.4</v>
      </c>
      <c r="BH63" s="1199">
        <v>0.4</v>
      </c>
      <c r="BI63" s="1197">
        <v>0.4</v>
      </c>
      <c r="BJ63" s="1197">
        <v>0.4</v>
      </c>
      <c r="BK63" s="1198"/>
      <c r="BL63" s="1197"/>
      <c r="BM63" s="1197"/>
      <c r="BO63" s="1147">
        <v>1</v>
      </c>
      <c r="BP63" s="1151" t="s">
        <v>2119</v>
      </c>
      <c r="BQ63" s="1148" t="s">
        <v>2120</v>
      </c>
      <c r="BR63" s="1197">
        <v>0.4</v>
      </c>
      <c r="BS63" s="1197">
        <v>0.4</v>
      </c>
      <c r="BT63" s="1197">
        <v>0.4</v>
      </c>
      <c r="BU63" s="1197">
        <v>0.4</v>
      </c>
      <c r="BV63" s="1197">
        <v>0.4</v>
      </c>
      <c r="BW63" s="1197">
        <v>0.4</v>
      </c>
      <c r="BX63" s="1197">
        <v>0.4</v>
      </c>
      <c r="BY63" s="1199">
        <v>0.4</v>
      </c>
      <c r="BZ63" s="1197">
        <v>0.4</v>
      </c>
      <c r="CA63" s="1197">
        <v>0.4</v>
      </c>
      <c r="CB63" s="1198"/>
      <c r="CC63" s="1197"/>
      <c r="CD63" s="1197"/>
      <c r="CE63" s="1380"/>
      <c r="CG63" s="1147">
        <v>1</v>
      </c>
      <c r="CH63" s="1151" t="s">
        <v>2119</v>
      </c>
      <c r="CI63" s="1148" t="s">
        <v>2120</v>
      </c>
      <c r="CJ63" s="1521">
        <v>0.75</v>
      </c>
      <c r="CK63" s="1521">
        <v>0.75</v>
      </c>
      <c r="CL63" s="1521">
        <v>0.75</v>
      </c>
      <c r="CM63" s="1521">
        <v>0.75</v>
      </c>
      <c r="CN63" s="1521">
        <v>0.75</v>
      </c>
      <c r="CO63" s="1521">
        <v>0.75</v>
      </c>
      <c r="CP63" s="1521">
        <v>0.75</v>
      </c>
      <c r="CQ63" s="1521">
        <v>0.75</v>
      </c>
      <c r="CR63" s="1521">
        <v>0.75</v>
      </c>
      <c r="CS63" s="1521">
        <v>0.75</v>
      </c>
      <c r="CT63" s="1522">
        <f t="shared" si="13"/>
        <v>0</v>
      </c>
      <c r="CU63" s="1521">
        <f t="shared" si="14"/>
        <v>0</v>
      </c>
      <c r="CV63" s="1521">
        <f t="shared" si="15"/>
        <v>0</v>
      </c>
      <c r="CX63" s="1147">
        <v>1</v>
      </c>
      <c r="CY63" s="1151" t="s">
        <v>2119</v>
      </c>
      <c r="CZ63" s="1148" t="s">
        <v>2120</v>
      </c>
      <c r="DA63" s="1645">
        <v>0.6</v>
      </c>
      <c r="DB63" s="1521"/>
      <c r="DC63" s="1521"/>
      <c r="DD63" s="1521"/>
      <c r="DE63" s="1521"/>
      <c r="DF63" s="1521"/>
      <c r="DG63" s="1521"/>
      <c r="DH63" s="1521"/>
      <c r="DI63" s="1521"/>
      <c r="DJ63" s="1521"/>
      <c r="DK63" s="1522"/>
      <c r="DL63" s="1521"/>
      <c r="DM63" s="1521"/>
    </row>
    <row r="64" spans="2:117">
      <c r="B64" s="1136">
        <f t="shared" si="47"/>
        <v>1.1000000000000001</v>
      </c>
      <c r="C64" s="1158" t="str">
        <f t="shared" si="1"/>
        <v>機能性・使いやすさ</v>
      </c>
      <c r="D64" s="1155">
        <f>IF(I$63=0,0,G64/I$63)</f>
        <v>0.4</v>
      </c>
      <c r="E64" s="1156">
        <f>IF(J$63=0,0,H64/J$63)</f>
        <v>0.6</v>
      </c>
      <c r="G64" s="1156">
        <f t="shared" si="43"/>
        <v>0.4</v>
      </c>
      <c r="H64" s="1156">
        <f t="shared" si="44"/>
        <v>0.39999999999999997</v>
      </c>
      <c r="I64" s="1156">
        <f>SUM(G65:G67)</f>
        <v>0.88888888888888884</v>
      </c>
      <c r="J64" s="1156">
        <f>SUM(H65:H67)</f>
        <v>0.66666666666666663</v>
      </c>
      <c r="K64" s="1156">
        <f>IF(スコア!Q64=0,0,1)</f>
        <v>1</v>
      </c>
      <c r="L64" s="1156">
        <f>IF(スコア!S64=0,0,1)</f>
        <v>1</v>
      </c>
      <c r="M64" s="1156">
        <f t="shared" si="45"/>
        <v>0.4</v>
      </c>
      <c r="N64" s="1156">
        <f t="shared" si="46"/>
        <v>0.39999999999999997</v>
      </c>
      <c r="P64" s="1157">
        <f t="shared" si="6"/>
        <v>1.1000000000000001</v>
      </c>
      <c r="Q64" s="1157" t="str">
        <f t="shared" si="7"/>
        <v xml:space="preserve"> Q2 1</v>
      </c>
      <c r="R64" s="1158" t="str">
        <f t="shared" si="8"/>
        <v>機能性・使いやすさ</v>
      </c>
      <c r="S64" s="1585">
        <f t="shared" ref="S64:S127" si="52">IF($P$3=1,BA64,IF($P$3=2,BR64,IF($P$3=3,CJ64,IF($P$3=4,DA64,AJ64))))</f>
        <v>0.4</v>
      </c>
      <c r="T64" s="1585">
        <f t="shared" ref="T64:T127" si="53">IF($P$3=1,BB64,IF($P$3=2,BS64,IF($P$3=3,CK64,IF($P$3=4,DB64,AK64))))</f>
        <v>0.4</v>
      </c>
      <c r="U64" s="1585">
        <f t="shared" ref="U64:U127" si="54">IF($P$3=1,BC64,IF($P$3=2,BT64,IF($P$3=3,CL64,IF($P$3=4,DC64,AL64))))</f>
        <v>0.4</v>
      </c>
      <c r="V64" s="1585">
        <f t="shared" ref="V64:V127" si="55">IF($P$3=1,BD64,IF($P$3=2,BU64,IF($P$3=3,CM64,IF($P$3=4,DD64,AM64))))</f>
        <v>0.4</v>
      </c>
      <c r="W64" s="1585">
        <f t="shared" ref="W64:W127" si="56">IF($P$3=1,BE64,IF($P$3=2,BV64,IF($P$3=3,CN64,IF($P$3=4,DE64,AN64))))</f>
        <v>0.4</v>
      </c>
      <c r="X64" s="1585">
        <f t="shared" ref="X64:X127" si="57">IF($P$3=1,BF64,IF($P$3=2,BW64,IF($P$3=3,CO64,IF($P$3=4,DF64,AO64))))</f>
        <v>0.4</v>
      </c>
      <c r="Y64" s="1585">
        <f t="shared" ref="Y64:Y127" si="58">IF($P$3=1,BG64,IF($P$3=2,BX64,IF($P$3=3,CP64,IF($P$3=4,DG64,AP64))))</f>
        <v>0.4</v>
      </c>
      <c r="Z64" s="1589">
        <f t="shared" ref="Z64:Z127" si="59">IF($P$3=1,BH64,IF($P$3=2,BY64,IF($P$3=3,CQ64,IF($P$3=4,DH64,AQ64))))</f>
        <v>0.4</v>
      </c>
      <c r="AA64" s="1585">
        <f t="shared" ref="AA64:AA127" si="60">IF($P$3=1,BI64,IF($P$3=2,BZ64,IF($P$3=3,CR64,IF($P$3=4,DI64,AR64))))</f>
        <v>0.4</v>
      </c>
      <c r="AB64" s="1585">
        <f t="shared" ref="AB64:AB127" si="61">IF($P$3=1,BJ64,IF($P$3=2,CA64,IF($P$3=3,CS64,IF($P$3=4,DJ64,AS64))))</f>
        <v>0.4</v>
      </c>
      <c r="AC64" s="1586">
        <f t="shared" ref="AC64:AC127" si="62">IF($P$3=1,BK64,IF($P$3=2,CB64,IF($P$3=3,CT64,IF($P$3=4,DK64,AT64))))</f>
        <v>0.6</v>
      </c>
      <c r="AD64" s="1585">
        <f t="shared" ref="AD64:AD127" si="63">IF($P$3=1,BL64,IF($P$3=2,CC64,IF($P$3=3,CU64,IF($P$3=4,DL64,AU64))))</f>
        <v>0.6</v>
      </c>
      <c r="AE64" s="1585">
        <f t="shared" ref="AE64:AE127" si="64">IF($P$3=1,BM64,IF($P$3=2,CD64,IF($P$3=3,CV64,IF($P$3=4,DM64,AV64))))</f>
        <v>0.6</v>
      </c>
      <c r="AG64" s="1157">
        <v>1.1000000000000001</v>
      </c>
      <c r="AH64" s="1161" t="s">
        <v>2121</v>
      </c>
      <c r="AI64" s="1158" t="s">
        <v>2122</v>
      </c>
      <c r="AJ64" s="1159">
        <v>0.4</v>
      </c>
      <c r="AK64" s="1159">
        <v>0.4</v>
      </c>
      <c r="AL64" s="1159">
        <v>0.4</v>
      </c>
      <c r="AM64" s="1162">
        <v>0.4</v>
      </c>
      <c r="AN64" s="1162">
        <v>0.4</v>
      </c>
      <c r="AO64" s="1159">
        <v>0.4</v>
      </c>
      <c r="AP64" s="1162">
        <v>0.4</v>
      </c>
      <c r="AQ64" s="1159">
        <v>0.4</v>
      </c>
      <c r="AR64" s="1162">
        <v>0.4</v>
      </c>
      <c r="AS64" s="1163">
        <v>0.4</v>
      </c>
      <c r="AT64" s="1163">
        <v>0.6</v>
      </c>
      <c r="AU64" s="1163">
        <v>0.6</v>
      </c>
      <c r="AV64" s="1163">
        <v>0.6</v>
      </c>
      <c r="AX64" s="1157">
        <v>1.1000000000000001</v>
      </c>
      <c r="AY64" s="1161" t="s">
        <v>2121</v>
      </c>
      <c r="AZ64" s="1158" t="s">
        <v>2122</v>
      </c>
      <c r="BA64" s="1163">
        <v>0.4</v>
      </c>
      <c r="BB64" s="1163">
        <v>0.4</v>
      </c>
      <c r="BC64" s="1163">
        <v>0.4</v>
      </c>
      <c r="BD64" s="1163">
        <v>0.4</v>
      </c>
      <c r="BE64" s="1163">
        <v>0.4</v>
      </c>
      <c r="BF64" s="1163">
        <v>0.4</v>
      </c>
      <c r="BG64" s="1163">
        <v>0.4</v>
      </c>
      <c r="BH64" s="1170">
        <v>0.4</v>
      </c>
      <c r="BI64" s="1163">
        <v>0.4</v>
      </c>
      <c r="BJ64" s="1163">
        <v>0.4</v>
      </c>
      <c r="BK64" s="1163">
        <v>0.6</v>
      </c>
      <c r="BL64" s="1163">
        <v>0.6</v>
      </c>
      <c r="BM64" s="1163">
        <v>0.6</v>
      </c>
      <c r="BO64" s="1157">
        <v>1.1000000000000001</v>
      </c>
      <c r="BP64" s="1161" t="s">
        <v>2121</v>
      </c>
      <c r="BQ64" s="1158" t="s">
        <v>2122</v>
      </c>
      <c r="BR64" s="1163">
        <v>0.4</v>
      </c>
      <c r="BS64" s="1163">
        <v>0.4</v>
      </c>
      <c r="BT64" s="1163">
        <v>0.4</v>
      </c>
      <c r="BU64" s="1163">
        <v>0.4</v>
      </c>
      <c r="BV64" s="1163">
        <v>0.4</v>
      </c>
      <c r="BW64" s="1163">
        <v>0.4</v>
      </c>
      <c r="BX64" s="1163">
        <v>0.4</v>
      </c>
      <c r="BY64" s="1170">
        <v>0.4</v>
      </c>
      <c r="BZ64" s="1163">
        <v>0.4</v>
      </c>
      <c r="CA64" s="1163">
        <v>0.4</v>
      </c>
      <c r="CB64" s="1163">
        <v>0.6</v>
      </c>
      <c r="CC64" s="1163">
        <v>0.6</v>
      </c>
      <c r="CD64" s="1163">
        <v>0.6</v>
      </c>
      <c r="CE64" s="1382"/>
      <c r="CG64" s="1157">
        <v>1.1000000000000001</v>
      </c>
      <c r="CH64" s="1161" t="s">
        <v>2121</v>
      </c>
      <c r="CI64" s="1158" t="s">
        <v>2122</v>
      </c>
      <c r="CJ64" s="1531">
        <f t="shared" si="19"/>
        <v>0.4</v>
      </c>
      <c r="CK64" s="1531">
        <f t="shared" si="20"/>
        <v>0.4</v>
      </c>
      <c r="CL64" s="1531">
        <f t="shared" si="21"/>
        <v>0.4</v>
      </c>
      <c r="CM64" s="1531">
        <f t="shared" si="22"/>
        <v>0.4</v>
      </c>
      <c r="CN64" s="1531">
        <f t="shared" si="23"/>
        <v>0.4</v>
      </c>
      <c r="CO64" s="1531">
        <f t="shared" si="24"/>
        <v>0.4</v>
      </c>
      <c r="CP64" s="1531">
        <f t="shared" si="25"/>
        <v>0.4</v>
      </c>
      <c r="CQ64" s="1543">
        <f t="shared" si="26"/>
        <v>0.4</v>
      </c>
      <c r="CR64" s="1531">
        <f t="shared" si="27"/>
        <v>0.4</v>
      </c>
      <c r="CS64" s="1531">
        <f t="shared" si="28"/>
        <v>0.4</v>
      </c>
      <c r="CT64" s="1531">
        <f t="shared" si="13"/>
        <v>0.6</v>
      </c>
      <c r="CU64" s="1531">
        <f t="shared" si="14"/>
        <v>0.6</v>
      </c>
      <c r="CV64" s="1531">
        <f t="shared" si="15"/>
        <v>0.6</v>
      </c>
      <c r="CX64" s="1157">
        <v>1.1000000000000001</v>
      </c>
      <c r="CY64" s="1161" t="s">
        <v>2121</v>
      </c>
      <c r="CZ64" s="1158" t="s">
        <v>2122</v>
      </c>
      <c r="DA64" s="1520">
        <f t="shared" si="29"/>
        <v>0.4</v>
      </c>
      <c r="DB64" s="1520"/>
      <c r="DC64" s="1520"/>
      <c r="DD64" s="1520"/>
      <c r="DE64" s="1520"/>
      <c r="DF64" s="1520"/>
      <c r="DG64" s="1520"/>
      <c r="DH64" s="1576"/>
      <c r="DI64" s="1520"/>
      <c r="DJ64" s="1520"/>
      <c r="DK64" s="1520"/>
      <c r="DL64" s="1520"/>
      <c r="DM64" s="1520"/>
    </row>
    <row r="65" spans="2:117">
      <c r="B65" s="1136" t="str">
        <f t="shared" si="47"/>
        <v>1.1.1</v>
      </c>
      <c r="C65" s="1158" t="str">
        <f t="shared" si="1"/>
        <v>広さ・収納性</v>
      </c>
      <c r="D65" s="1146">
        <f t="shared" ref="D65:E67" si="65">IF(I$64&gt;0,G65/I$64,0)</f>
        <v>0</v>
      </c>
      <c r="E65" s="1156">
        <f t="shared" si="65"/>
        <v>0</v>
      </c>
      <c r="G65" s="1156">
        <f t="shared" si="43"/>
        <v>0</v>
      </c>
      <c r="H65" s="1156">
        <f t="shared" si="44"/>
        <v>0</v>
      </c>
      <c r="I65" s="1156"/>
      <c r="J65" s="1156"/>
      <c r="K65" s="1156">
        <f>IF(スコア!Q65=0,0,1)</f>
        <v>0</v>
      </c>
      <c r="L65" s="1156">
        <f>IF(スコア!S65=0,0,1)</f>
        <v>0</v>
      </c>
      <c r="M65" s="1156">
        <f t="shared" si="45"/>
        <v>0.1111111111111111</v>
      </c>
      <c r="N65" s="1156">
        <f t="shared" si="46"/>
        <v>0</v>
      </c>
      <c r="P65" s="1157" t="str">
        <f t="shared" si="6"/>
        <v>1.1.1</v>
      </c>
      <c r="Q65" s="1157" t="str">
        <f t="shared" si="7"/>
        <v xml:space="preserve"> Q2 1.1</v>
      </c>
      <c r="R65" s="1158" t="str">
        <f t="shared" si="8"/>
        <v>広さ・収納性</v>
      </c>
      <c r="S65" s="1585">
        <f t="shared" si="52"/>
        <v>0.33333333333333331</v>
      </c>
      <c r="T65" s="1585">
        <f t="shared" si="53"/>
        <v>0</v>
      </c>
      <c r="U65" s="1585">
        <f t="shared" si="54"/>
        <v>0</v>
      </c>
      <c r="V65" s="1585">
        <f t="shared" si="55"/>
        <v>0</v>
      </c>
      <c r="W65" s="1585">
        <f t="shared" si="56"/>
        <v>0</v>
      </c>
      <c r="X65" s="1585">
        <f t="shared" si="57"/>
        <v>0</v>
      </c>
      <c r="Y65" s="1585">
        <f t="shared" si="58"/>
        <v>0</v>
      </c>
      <c r="Z65" s="1589">
        <f t="shared" si="59"/>
        <v>0</v>
      </c>
      <c r="AA65" s="1585">
        <f t="shared" si="60"/>
        <v>0.33333333333333331</v>
      </c>
      <c r="AB65" s="1585">
        <f t="shared" si="61"/>
        <v>0</v>
      </c>
      <c r="AC65" s="1586">
        <f t="shared" si="62"/>
        <v>1</v>
      </c>
      <c r="AD65" s="1585">
        <f t="shared" si="63"/>
        <v>0.5</v>
      </c>
      <c r="AE65" s="1585">
        <f t="shared" si="64"/>
        <v>0</v>
      </c>
      <c r="AG65" s="1157" t="s">
        <v>2262</v>
      </c>
      <c r="AH65" s="1161" t="s">
        <v>2123</v>
      </c>
      <c r="AI65" s="1158" t="s">
        <v>2124</v>
      </c>
      <c r="AJ65" s="1194">
        <v>0.33333333333333331</v>
      </c>
      <c r="AK65" s="1159"/>
      <c r="AL65" s="1159"/>
      <c r="AM65" s="1159"/>
      <c r="AN65" s="1159"/>
      <c r="AO65" s="1159"/>
      <c r="AP65" s="1159"/>
      <c r="AQ65" s="1173"/>
      <c r="AR65" s="1194">
        <v>0.33333333333333331</v>
      </c>
      <c r="AS65" s="1176">
        <v>0.5</v>
      </c>
      <c r="AT65" s="1164">
        <v>1</v>
      </c>
      <c r="AU65" s="1163">
        <v>0.5</v>
      </c>
      <c r="AV65" s="1163"/>
      <c r="AX65" s="1157" t="s">
        <v>2262</v>
      </c>
      <c r="AY65" s="1161" t="s">
        <v>2123</v>
      </c>
      <c r="AZ65" s="1158" t="s">
        <v>2124</v>
      </c>
      <c r="BA65" s="1163">
        <v>0.33333333333333331</v>
      </c>
      <c r="BB65" s="1163"/>
      <c r="BC65" s="1163"/>
      <c r="BD65" s="1163"/>
      <c r="BE65" s="1163"/>
      <c r="BF65" s="1163"/>
      <c r="BG65" s="1163"/>
      <c r="BH65" s="1170"/>
      <c r="BI65" s="1163">
        <v>0.33333333333333331</v>
      </c>
      <c r="BJ65" s="1163">
        <v>0.5</v>
      </c>
      <c r="BK65" s="1164">
        <v>1</v>
      </c>
      <c r="BL65" s="1163">
        <v>0.5</v>
      </c>
      <c r="BM65" s="1163"/>
      <c r="BO65" s="1157" t="s">
        <v>2262</v>
      </c>
      <c r="BP65" s="1161" t="s">
        <v>2123</v>
      </c>
      <c r="BQ65" s="1158" t="s">
        <v>2124</v>
      </c>
      <c r="BR65" s="1163">
        <v>0.33333333333333331</v>
      </c>
      <c r="BS65" s="1163"/>
      <c r="BT65" s="1163"/>
      <c r="BU65" s="1163"/>
      <c r="BV65" s="1163"/>
      <c r="BW65" s="1163"/>
      <c r="BX65" s="1163"/>
      <c r="BY65" s="1170"/>
      <c r="BZ65" s="1163">
        <v>0.33333333333333331</v>
      </c>
      <c r="CA65" s="1163"/>
      <c r="CB65" s="1164">
        <v>1</v>
      </c>
      <c r="CC65" s="1163">
        <v>0.5</v>
      </c>
      <c r="CD65" s="1163"/>
      <c r="CE65" s="1382"/>
      <c r="CG65" s="1157" t="s">
        <v>2262</v>
      </c>
      <c r="CH65" s="1161" t="s">
        <v>2123</v>
      </c>
      <c r="CI65" s="1158" t="s">
        <v>2124</v>
      </c>
      <c r="CJ65" s="1531">
        <f t="shared" si="19"/>
        <v>0.33333333333333331</v>
      </c>
      <c r="CK65" s="1531">
        <f t="shared" si="20"/>
        <v>0</v>
      </c>
      <c r="CL65" s="1531">
        <f t="shared" si="21"/>
        <v>0</v>
      </c>
      <c r="CM65" s="1531">
        <f t="shared" si="22"/>
        <v>0</v>
      </c>
      <c r="CN65" s="1531">
        <f t="shared" si="23"/>
        <v>0</v>
      </c>
      <c r="CO65" s="1531">
        <f t="shared" si="24"/>
        <v>0</v>
      </c>
      <c r="CP65" s="1531">
        <f t="shared" si="25"/>
        <v>0</v>
      </c>
      <c r="CQ65" s="1543">
        <f t="shared" si="26"/>
        <v>0</v>
      </c>
      <c r="CR65" s="1531">
        <f t="shared" si="27"/>
        <v>0.33333333333333331</v>
      </c>
      <c r="CS65" s="1531">
        <f t="shared" si="28"/>
        <v>0</v>
      </c>
      <c r="CT65" s="1533">
        <f t="shared" si="13"/>
        <v>1</v>
      </c>
      <c r="CU65" s="1531">
        <f t="shared" si="14"/>
        <v>0.5</v>
      </c>
      <c r="CV65" s="1531">
        <f t="shared" si="15"/>
        <v>0</v>
      </c>
      <c r="CX65" s="1157" t="s">
        <v>2262</v>
      </c>
      <c r="CY65" s="1161" t="s">
        <v>2123</v>
      </c>
      <c r="CZ65" s="1158" t="s">
        <v>2124</v>
      </c>
      <c r="DA65" s="1520">
        <f t="shared" si="29"/>
        <v>0.33333333333333331</v>
      </c>
      <c r="DB65" s="1520"/>
      <c r="DC65" s="1520"/>
      <c r="DD65" s="1520"/>
      <c r="DE65" s="1520"/>
      <c r="DF65" s="1520"/>
      <c r="DG65" s="1520"/>
      <c r="DH65" s="1576"/>
      <c r="DI65" s="1520"/>
      <c r="DJ65" s="1520"/>
      <c r="DK65" s="1623"/>
      <c r="DL65" s="1520"/>
      <c r="DM65" s="1520"/>
    </row>
    <row r="66" spans="2:117">
      <c r="B66" s="1136" t="str">
        <f t="shared" si="47"/>
        <v>1.1.2</v>
      </c>
      <c r="C66" s="1158" t="str">
        <f t="shared" si="1"/>
        <v>高度情報通信設備対応</v>
      </c>
      <c r="D66" s="1146">
        <f t="shared" si="65"/>
        <v>0.125</v>
      </c>
      <c r="E66" s="1156">
        <f t="shared" si="65"/>
        <v>1</v>
      </c>
      <c r="G66" s="1156">
        <f t="shared" si="43"/>
        <v>0.1111111111111111</v>
      </c>
      <c r="H66" s="1156">
        <f t="shared" si="44"/>
        <v>0.66666666666666663</v>
      </c>
      <c r="I66" s="1156"/>
      <c r="J66" s="1156"/>
      <c r="K66" s="1156">
        <f>IF(スコア!Q66=0,0,1)</f>
        <v>1</v>
      </c>
      <c r="L66" s="1156">
        <f>IF(スコア!S66=0,0,1)</f>
        <v>1</v>
      </c>
      <c r="M66" s="1156">
        <f t="shared" si="45"/>
        <v>0.1111111111111111</v>
      </c>
      <c r="N66" s="1156">
        <f t="shared" si="46"/>
        <v>0.66666666666666663</v>
      </c>
      <c r="P66" s="1157" t="str">
        <f t="shared" si="6"/>
        <v>1.1.2</v>
      </c>
      <c r="Q66" s="1157" t="str">
        <f t="shared" si="7"/>
        <v xml:space="preserve"> Q2 1.1</v>
      </c>
      <c r="R66" s="1158" t="str">
        <f t="shared" si="8"/>
        <v>高度情報通信設備対応</v>
      </c>
      <c r="S66" s="1585">
        <f t="shared" si="52"/>
        <v>0.33333333333333331</v>
      </c>
      <c r="T66" s="1585">
        <f t="shared" si="53"/>
        <v>0</v>
      </c>
      <c r="U66" s="1585">
        <f t="shared" si="54"/>
        <v>0</v>
      </c>
      <c r="V66" s="1585">
        <f t="shared" si="55"/>
        <v>0</v>
      </c>
      <c r="W66" s="1585">
        <f t="shared" si="56"/>
        <v>0</v>
      </c>
      <c r="X66" s="1585">
        <f t="shared" si="57"/>
        <v>0</v>
      </c>
      <c r="Y66" s="1585">
        <f t="shared" si="58"/>
        <v>0</v>
      </c>
      <c r="Z66" s="1589">
        <f t="shared" si="59"/>
        <v>0</v>
      </c>
      <c r="AA66" s="1585">
        <f t="shared" si="60"/>
        <v>0.33333333333333331</v>
      </c>
      <c r="AB66" s="1585">
        <f t="shared" si="61"/>
        <v>0</v>
      </c>
      <c r="AC66" s="1586">
        <f t="shared" si="62"/>
        <v>0</v>
      </c>
      <c r="AD66" s="1585">
        <f t="shared" si="63"/>
        <v>0.5</v>
      </c>
      <c r="AE66" s="1585">
        <f t="shared" si="64"/>
        <v>1</v>
      </c>
      <c r="AG66" s="1157" t="s">
        <v>2263</v>
      </c>
      <c r="AH66" s="1161" t="s">
        <v>2123</v>
      </c>
      <c r="AI66" s="1158" t="s">
        <v>2264</v>
      </c>
      <c r="AJ66" s="1194">
        <v>0.33333333333333331</v>
      </c>
      <c r="AK66" s="1159"/>
      <c r="AL66" s="1159"/>
      <c r="AM66" s="1159"/>
      <c r="AN66" s="1159"/>
      <c r="AO66" s="1159"/>
      <c r="AP66" s="1159"/>
      <c r="AQ66" s="1173"/>
      <c r="AR66" s="1194">
        <v>0.33333333333333331</v>
      </c>
      <c r="AS66" s="1176"/>
      <c r="AT66" s="1164"/>
      <c r="AU66" s="1163">
        <v>0.5</v>
      </c>
      <c r="AV66" s="1163">
        <v>1</v>
      </c>
      <c r="AX66" s="1157" t="s">
        <v>2263</v>
      </c>
      <c r="AY66" s="1161" t="s">
        <v>2123</v>
      </c>
      <c r="AZ66" s="1158" t="s">
        <v>2264</v>
      </c>
      <c r="BA66" s="1163">
        <v>0.33333333333333331</v>
      </c>
      <c r="BB66" s="1163"/>
      <c r="BC66" s="1163"/>
      <c r="BD66" s="1163"/>
      <c r="BE66" s="1163"/>
      <c r="BF66" s="1163"/>
      <c r="BG66" s="1163"/>
      <c r="BH66" s="1170"/>
      <c r="BI66" s="1163">
        <v>0.33333333333333331</v>
      </c>
      <c r="BJ66" s="1163"/>
      <c r="BK66" s="1164"/>
      <c r="BL66" s="1163">
        <v>0.5</v>
      </c>
      <c r="BM66" s="1163">
        <v>1</v>
      </c>
      <c r="BO66" s="1157" t="s">
        <v>2263</v>
      </c>
      <c r="BP66" s="1161" t="s">
        <v>2123</v>
      </c>
      <c r="BQ66" s="1158" t="s">
        <v>2264</v>
      </c>
      <c r="BR66" s="1163">
        <v>0.33333333333333331</v>
      </c>
      <c r="BS66" s="1163"/>
      <c r="BT66" s="1163"/>
      <c r="BU66" s="1163"/>
      <c r="BV66" s="1163"/>
      <c r="BW66" s="1163"/>
      <c r="BX66" s="1163"/>
      <c r="BY66" s="1170"/>
      <c r="BZ66" s="1163">
        <v>0.33333333333333331</v>
      </c>
      <c r="CA66" s="1163"/>
      <c r="CB66" s="1164"/>
      <c r="CC66" s="1163">
        <v>0.5</v>
      </c>
      <c r="CD66" s="1163">
        <v>1</v>
      </c>
      <c r="CE66" s="1382"/>
      <c r="CG66" s="1157" t="s">
        <v>2263</v>
      </c>
      <c r="CH66" s="1161" t="s">
        <v>2123</v>
      </c>
      <c r="CI66" s="1158" t="s">
        <v>2264</v>
      </c>
      <c r="CJ66" s="1531">
        <f t="shared" si="19"/>
        <v>0.33333333333333331</v>
      </c>
      <c r="CK66" s="1531">
        <f t="shared" si="20"/>
        <v>0</v>
      </c>
      <c r="CL66" s="1531">
        <f t="shared" si="21"/>
        <v>0</v>
      </c>
      <c r="CM66" s="1531">
        <f t="shared" si="22"/>
        <v>0</v>
      </c>
      <c r="CN66" s="1531">
        <f t="shared" si="23"/>
        <v>0</v>
      </c>
      <c r="CO66" s="1531">
        <f t="shared" si="24"/>
        <v>0</v>
      </c>
      <c r="CP66" s="1531">
        <f t="shared" si="25"/>
        <v>0</v>
      </c>
      <c r="CQ66" s="1543">
        <f t="shared" si="26"/>
        <v>0</v>
      </c>
      <c r="CR66" s="1531">
        <f t="shared" si="27"/>
        <v>0.33333333333333331</v>
      </c>
      <c r="CS66" s="1531">
        <f t="shared" si="28"/>
        <v>0</v>
      </c>
      <c r="CT66" s="1533">
        <f t="shared" si="13"/>
        <v>0</v>
      </c>
      <c r="CU66" s="1531">
        <f t="shared" si="14"/>
        <v>0.5</v>
      </c>
      <c r="CV66" s="1531">
        <f t="shared" si="15"/>
        <v>1</v>
      </c>
      <c r="CX66" s="1157" t="s">
        <v>2263</v>
      </c>
      <c r="CY66" s="1161" t="s">
        <v>2123</v>
      </c>
      <c r="CZ66" s="1158" t="s">
        <v>2264</v>
      </c>
      <c r="DA66" s="1520">
        <f t="shared" si="29"/>
        <v>0.33333333333333331</v>
      </c>
      <c r="DB66" s="1520"/>
      <c r="DC66" s="1520"/>
      <c r="DD66" s="1520"/>
      <c r="DE66" s="1520"/>
      <c r="DF66" s="1520"/>
      <c r="DG66" s="1520"/>
      <c r="DH66" s="1576"/>
      <c r="DI66" s="1520"/>
      <c r="DJ66" s="1520"/>
      <c r="DK66" s="1623"/>
      <c r="DL66" s="1520"/>
      <c r="DM66" s="1520"/>
    </row>
    <row r="67" spans="2:117">
      <c r="B67" s="1136" t="str">
        <f t="shared" si="47"/>
        <v>1.1.3</v>
      </c>
      <c r="C67" s="1158" t="str">
        <f t="shared" si="1"/>
        <v>バリアフリー計画</v>
      </c>
      <c r="D67" s="1146">
        <f t="shared" si="65"/>
        <v>0.87499999999999989</v>
      </c>
      <c r="E67" s="1156">
        <f t="shared" si="65"/>
        <v>0</v>
      </c>
      <c r="G67" s="1156">
        <f t="shared" si="43"/>
        <v>0.77777777777777768</v>
      </c>
      <c r="H67" s="1156">
        <f t="shared" si="44"/>
        <v>0</v>
      </c>
      <c r="I67" s="1156"/>
      <c r="J67" s="1156"/>
      <c r="K67" s="1156">
        <f>IF(スコア!Q67=0,0,1)</f>
        <v>1</v>
      </c>
      <c r="L67" s="1156">
        <f>IF(スコア!S67=0,0,1)</f>
        <v>0</v>
      </c>
      <c r="M67" s="1156">
        <f t="shared" si="45"/>
        <v>0.77777777777777768</v>
      </c>
      <c r="N67" s="1156">
        <f t="shared" si="46"/>
        <v>0</v>
      </c>
      <c r="P67" s="1157" t="str">
        <f t="shared" si="6"/>
        <v>1.1.3</v>
      </c>
      <c r="Q67" s="1157" t="str">
        <f t="shared" si="7"/>
        <v xml:space="preserve"> Q2 1.1</v>
      </c>
      <c r="R67" s="1158" t="str">
        <f t="shared" si="8"/>
        <v>バリアフリー計画</v>
      </c>
      <c r="S67" s="1585">
        <f t="shared" si="52"/>
        <v>0.33333333333333331</v>
      </c>
      <c r="T67" s="1585">
        <f t="shared" si="53"/>
        <v>1</v>
      </c>
      <c r="U67" s="1585">
        <f t="shared" si="54"/>
        <v>1</v>
      </c>
      <c r="V67" s="1585">
        <f t="shared" si="55"/>
        <v>1</v>
      </c>
      <c r="W67" s="1585">
        <f t="shared" si="56"/>
        <v>1</v>
      </c>
      <c r="X67" s="1585">
        <f t="shared" si="57"/>
        <v>1</v>
      </c>
      <c r="Y67" s="1585">
        <f t="shared" si="58"/>
        <v>1</v>
      </c>
      <c r="Z67" s="1589">
        <f t="shared" si="59"/>
        <v>1</v>
      </c>
      <c r="AA67" s="1585">
        <f t="shared" si="60"/>
        <v>0.33333333333333331</v>
      </c>
      <c r="AB67" s="1585">
        <f t="shared" si="61"/>
        <v>1</v>
      </c>
      <c r="AC67" s="1586">
        <f t="shared" si="62"/>
        <v>0</v>
      </c>
      <c r="AD67" s="1585">
        <f t="shared" si="63"/>
        <v>0</v>
      </c>
      <c r="AE67" s="1585">
        <f t="shared" si="64"/>
        <v>0</v>
      </c>
      <c r="AG67" s="1157" t="s">
        <v>2265</v>
      </c>
      <c r="AH67" s="1161" t="s">
        <v>2123</v>
      </c>
      <c r="AI67" s="1158" t="s">
        <v>2125</v>
      </c>
      <c r="AJ67" s="1194">
        <v>0.33333333333333331</v>
      </c>
      <c r="AK67" s="1159">
        <v>1</v>
      </c>
      <c r="AL67" s="1159">
        <v>1</v>
      </c>
      <c r="AM67" s="1159">
        <v>1</v>
      </c>
      <c r="AN67" s="1159">
        <v>1</v>
      </c>
      <c r="AO67" s="1159">
        <v>1</v>
      </c>
      <c r="AP67" s="1159">
        <v>1</v>
      </c>
      <c r="AQ67" s="1173">
        <v>1</v>
      </c>
      <c r="AR67" s="1194">
        <v>0.33333333333333331</v>
      </c>
      <c r="AS67" s="1176">
        <v>0.5</v>
      </c>
      <c r="AT67" s="1164"/>
      <c r="AU67" s="1163"/>
      <c r="AV67" s="1163"/>
      <c r="AX67" s="1157" t="s">
        <v>2265</v>
      </c>
      <c r="AY67" s="1161" t="s">
        <v>2123</v>
      </c>
      <c r="AZ67" s="1158" t="s">
        <v>2125</v>
      </c>
      <c r="BA67" s="1163">
        <v>0.33333333333333331</v>
      </c>
      <c r="BB67" s="1163">
        <v>1</v>
      </c>
      <c r="BC67" s="1163">
        <v>1</v>
      </c>
      <c r="BD67" s="1163">
        <v>1</v>
      </c>
      <c r="BE67" s="1163">
        <v>1</v>
      </c>
      <c r="BF67" s="1163">
        <v>1</v>
      </c>
      <c r="BG67" s="1163">
        <v>1</v>
      </c>
      <c r="BH67" s="1170">
        <v>1</v>
      </c>
      <c r="BI67" s="1163">
        <v>0.33333333333333331</v>
      </c>
      <c r="BJ67" s="1163">
        <v>0.5</v>
      </c>
      <c r="BK67" s="1164"/>
      <c r="BL67" s="1163"/>
      <c r="BM67" s="1163"/>
      <c r="BO67" s="1157" t="s">
        <v>2265</v>
      </c>
      <c r="BP67" s="1161" t="s">
        <v>2123</v>
      </c>
      <c r="BQ67" s="1158" t="s">
        <v>2125</v>
      </c>
      <c r="BR67" s="1163">
        <v>0.33333333333333331</v>
      </c>
      <c r="BS67" s="1163">
        <v>1</v>
      </c>
      <c r="BT67" s="1163">
        <v>1</v>
      </c>
      <c r="BU67" s="1163">
        <v>1</v>
      </c>
      <c r="BV67" s="1163">
        <v>1</v>
      </c>
      <c r="BW67" s="1163">
        <v>1</v>
      </c>
      <c r="BX67" s="1163">
        <v>1</v>
      </c>
      <c r="BY67" s="1170">
        <v>1</v>
      </c>
      <c r="BZ67" s="1163">
        <v>0.33333333333333331</v>
      </c>
      <c r="CA67" s="1163">
        <v>1</v>
      </c>
      <c r="CB67" s="1164"/>
      <c r="CC67" s="1163"/>
      <c r="CD67" s="1163"/>
      <c r="CE67" s="1382"/>
      <c r="CG67" s="1157" t="s">
        <v>2265</v>
      </c>
      <c r="CH67" s="1161" t="s">
        <v>2123</v>
      </c>
      <c r="CI67" s="1158" t="s">
        <v>2125</v>
      </c>
      <c r="CJ67" s="1531">
        <f t="shared" si="19"/>
        <v>0.33333333333333331</v>
      </c>
      <c r="CK67" s="1531">
        <f t="shared" si="20"/>
        <v>1</v>
      </c>
      <c r="CL67" s="1531">
        <f t="shared" si="21"/>
        <v>1</v>
      </c>
      <c r="CM67" s="1531">
        <f t="shared" si="22"/>
        <v>1</v>
      </c>
      <c r="CN67" s="1531">
        <f t="shared" si="23"/>
        <v>1</v>
      </c>
      <c r="CO67" s="1531">
        <f t="shared" si="24"/>
        <v>1</v>
      </c>
      <c r="CP67" s="1531">
        <f t="shared" si="25"/>
        <v>1</v>
      </c>
      <c r="CQ67" s="1543">
        <f t="shared" si="26"/>
        <v>1</v>
      </c>
      <c r="CR67" s="1531">
        <f t="shared" si="27"/>
        <v>0.33333333333333331</v>
      </c>
      <c r="CS67" s="1531">
        <f t="shared" si="28"/>
        <v>1</v>
      </c>
      <c r="CT67" s="1533">
        <f t="shared" si="13"/>
        <v>0</v>
      </c>
      <c r="CU67" s="1531">
        <f t="shared" si="14"/>
        <v>0</v>
      </c>
      <c r="CV67" s="1531">
        <f t="shared" si="15"/>
        <v>0</v>
      </c>
      <c r="CX67" s="1157" t="s">
        <v>2265</v>
      </c>
      <c r="CY67" s="1161" t="s">
        <v>2123</v>
      </c>
      <c r="CZ67" s="1158" t="s">
        <v>2125</v>
      </c>
      <c r="DA67" s="1520">
        <f t="shared" si="29"/>
        <v>0.33333333333333331</v>
      </c>
      <c r="DB67" s="1520"/>
      <c r="DC67" s="1520"/>
      <c r="DD67" s="1520"/>
      <c r="DE67" s="1520"/>
      <c r="DF67" s="1520"/>
      <c r="DG67" s="1520"/>
      <c r="DH67" s="1576"/>
      <c r="DI67" s="1520"/>
      <c r="DJ67" s="1520"/>
      <c r="DK67" s="1623"/>
      <c r="DL67" s="1520"/>
      <c r="DM67" s="1520"/>
    </row>
    <row r="68" spans="2:117">
      <c r="B68" s="1136">
        <f t="shared" si="47"/>
        <v>1.2</v>
      </c>
      <c r="C68" s="1158" t="str">
        <f t="shared" si="1"/>
        <v>心理性・快適性</v>
      </c>
      <c r="D68" s="1155">
        <f>IF(I$63=0,0,G68/I$63)</f>
        <v>0.3</v>
      </c>
      <c r="E68" s="1156">
        <f>IF(J$63=0,0,H68/J$63)</f>
        <v>0.4</v>
      </c>
      <c r="G68" s="1156">
        <f t="shared" si="43"/>
        <v>0.3</v>
      </c>
      <c r="H68" s="1156">
        <f t="shared" si="44"/>
        <v>0.26666666666666666</v>
      </c>
      <c r="I68" s="1156">
        <f>SUM(G69:G73)</f>
        <v>0.88888888888888884</v>
      </c>
      <c r="J68" s="1156">
        <f>SUM(H69:H73)</f>
        <v>0.66666666666666663</v>
      </c>
      <c r="K68" s="1156">
        <f>IF(スコア!Q68=0,0,1)</f>
        <v>1</v>
      </c>
      <c r="L68" s="1156">
        <f>IF(スコア!S68=0,0,1)</f>
        <v>1</v>
      </c>
      <c r="M68" s="1156">
        <f t="shared" si="45"/>
        <v>0.3</v>
      </c>
      <c r="N68" s="1156">
        <f t="shared" si="46"/>
        <v>0.26666666666666666</v>
      </c>
      <c r="P68" s="1157">
        <f t="shared" si="6"/>
        <v>1.2</v>
      </c>
      <c r="Q68" s="1157" t="str">
        <f t="shared" si="7"/>
        <v xml:space="preserve"> Q2 1</v>
      </c>
      <c r="R68" s="1158" t="str">
        <f t="shared" si="8"/>
        <v>心理性・快適性</v>
      </c>
      <c r="S68" s="1585">
        <f t="shared" si="52"/>
        <v>0.3</v>
      </c>
      <c r="T68" s="1585">
        <f t="shared" si="53"/>
        <v>0.3</v>
      </c>
      <c r="U68" s="1585">
        <f t="shared" si="54"/>
        <v>0.3</v>
      </c>
      <c r="V68" s="1585">
        <f t="shared" si="55"/>
        <v>0.3</v>
      </c>
      <c r="W68" s="1585">
        <f t="shared" si="56"/>
        <v>0.3</v>
      </c>
      <c r="X68" s="1585">
        <f t="shared" si="57"/>
        <v>0.3</v>
      </c>
      <c r="Y68" s="1585">
        <f t="shared" si="58"/>
        <v>0.3</v>
      </c>
      <c r="Z68" s="1589">
        <f t="shared" si="59"/>
        <v>0.3</v>
      </c>
      <c r="AA68" s="1585">
        <f t="shared" si="60"/>
        <v>0.3</v>
      </c>
      <c r="AB68" s="1585">
        <f t="shared" si="61"/>
        <v>0.3</v>
      </c>
      <c r="AC68" s="1586">
        <f t="shared" si="62"/>
        <v>0.4</v>
      </c>
      <c r="AD68" s="1585">
        <f t="shared" si="63"/>
        <v>0.4</v>
      </c>
      <c r="AE68" s="1585">
        <f t="shared" si="64"/>
        <v>0.4</v>
      </c>
      <c r="AG68" s="1157">
        <v>1.2</v>
      </c>
      <c r="AH68" s="1161" t="s">
        <v>2121</v>
      </c>
      <c r="AI68" s="1158" t="s">
        <v>2191</v>
      </c>
      <c r="AJ68" s="1159">
        <v>0.3</v>
      </c>
      <c r="AK68" s="1159">
        <v>0.3</v>
      </c>
      <c r="AL68" s="1159">
        <v>0.3</v>
      </c>
      <c r="AM68" s="1162">
        <v>0.3</v>
      </c>
      <c r="AN68" s="1162">
        <v>0.3</v>
      </c>
      <c r="AO68" s="1159">
        <v>0.3</v>
      </c>
      <c r="AP68" s="1162">
        <v>0.3</v>
      </c>
      <c r="AQ68" s="1159">
        <v>0.3</v>
      </c>
      <c r="AR68" s="1162">
        <v>0.3</v>
      </c>
      <c r="AS68" s="1163">
        <v>0.3</v>
      </c>
      <c r="AT68" s="1163">
        <v>0.4</v>
      </c>
      <c r="AU68" s="1163">
        <v>0.4</v>
      </c>
      <c r="AV68" s="1163">
        <v>0.4</v>
      </c>
      <c r="AX68" s="1157">
        <v>1.2</v>
      </c>
      <c r="AY68" s="1161" t="s">
        <v>2121</v>
      </c>
      <c r="AZ68" s="1158" t="s">
        <v>2191</v>
      </c>
      <c r="BA68" s="1163">
        <v>0.3</v>
      </c>
      <c r="BB68" s="1163">
        <v>0.3</v>
      </c>
      <c r="BC68" s="1163">
        <v>0.3</v>
      </c>
      <c r="BD68" s="1163">
        <v>0.3</v>
      </c>
      <c r="BE68" s="1163">
        <v>0.3</v>
      </c>
      <c r="BF68" s="1163">
        <v>0.3</v>
      </c>
      <c r="BG68" s="1163">
        <v>0.3</v>
      </c>
      <c r="BH68" s="1170">
        <v>0.3</v>
      </c>
      <c r="BI68" s="1163">
        <v>0.3</v>
      </c>
      <c r="BJ68" s="1163">
        <v>0.3</v>
      </c>
      <c r="BK68" s="1163">
        <v>0.4</v>
      </c>
      <c r="BL68" s="1163">
        <v>0.4</v>
      </c>
      <c r="BM68" s="1163">
        <v>0.4</v>
      </c>
      <c r="BO68" s="1157">
        <v>1.2</v>
      </c>
      <c r="BP68" s="1161" t="s">
        <v>2121</v>
      </c>
      <c r="BQ68" s="1158" t="s">
        <v>2191</v>
      </c>
      <c r="BR68" s="1163">
        <v>0.3</v>
      </c>
      <c r="BS68" s="1163">
        <v>0.3</v>
      </c>
      <c r="BT68" s="1163">
        <v>0.3</v>
      </c>
      <c r="BU68" s="1163">
        <v>0.3</v>
      </c>
      <c r="BV68" s="1163">
        <v>0.3</v>
      </c>
      <c r="BW68" s="1163">
        <v>0.3</v>
      </c>
      <c r="BX68" s="1163">
        <v>0.3</v>
      </c>
      <c r="BY68" s="1170">
        <v>0.3</v>
      </c>
      <c r="BZ68" s="1163">
        <v>0.3</v>
      </c>
      <c r="CA68" s="1163">
        <v>0.3</v>
      </c>
      <c r="CB68" s="1163">
        <v>0.4</v>
      </c>
      <c r="CC68" s="1163">
        <v>0.4</v>
      </c>
      <c r="CD68" s="1163">
        <v>0.4</v>
      </c>
      <c r="CE68" s="1382"/>
      <c r="CG68" s="1157">
        <v>1.2</v>
      </c>
      <c r="CH68" s="1161" t="s">
        <v>2121</v>
      </c>
      <c r="CI68" s="1158" t="s">
        <v>2191</v>
      </c>
      <c r="CJ68" s="1531">
        <f t="shared" si="19"/>
        <v>0.3</v>
      </c>
      <c r="CK68" s="1531">
        <f t="shared" si="20"/>
        <v>0.3</v>
      </c>
      <c r="CL68" s="1531">
        <f t="shared" si="21"/>
        <v>0.3</v>
      </c>
      <c r="CM68" s="1531">
        <f t="shared" si="22"/>
        <v>0.3</v>
      </c>
      <c r="CN68" s="1531">
        <f t="shared" si="23"/>
        <v>0.3</v>
      </c>
      <c r="CO68" s="1531">
        <f t="shared" si="24"/>
        <v>0.3</v>
      </c>
      <c r="CP68" s="1531">
        <f t="shared" si="25"/>
        <v>0.3</v>
      </c>
      <c r="CQ68" s="1543">
        <f t="shared" si="26"/>
        <v>0.3</v>
      </c>
      <c r="CR68" s="1531">
        <f t="shared" si="27"/>
        <v>0.3</v>
      </c>
      <c r="CS68" s="1531">
        <f t="shared" si="28"/>
        <v>0.3</v>
      </c>
      <c r="CT68" s="1531">
        <f t="shared" si="13"/>
        <v>0.4</v>
      </c>
      <c r="CU68" s="1531">
        <f t="shared" si="14"/>
        <v>0.4</v>
      </c>
      <c r="CV68" s="1531">
        <f t="shared" si="15"/>
        <v>0.4</v>
      </c>
      <c r="CX68" s="1157">
        <v>1.2</v>
      </c>
      <c r="CY68" s="1161" t="s">
        <v>2121</v>
      </c>
      <c r="CZ68" s="1158" t="s">
        <v>2191</v>
      </c>
      <c r="DA68" s="1648">
        <v>0.45</v>
      </c>
      <c r="DB68" s="1520"/>
      <c r="DC68" s="1520"/>
      <c r="DD68" s="1520"/>
      <c r="DE68" s="1520"/>
      <c r="DF68" s="1520"/>
      <c r="DG68" s="1520"/>
      <c r="DH68" s="1576"/>
      <c r="DI68" s="1520"/>
      <c r="DJ68" s="1520"/>
      <c r="DK68" s="1520"/>
      <c r="DL68" s="1520"/>
      <c r="DM68" s="1520"/>
    </row>
    <row r="69" spans="2:117">
      <c r="B69" s="1136" t="str">
        <f t="shared" si="47"/>
        <v>1.2.1</v>
      </c>
      <c r="C69" s="1158" t="str">
        <f t="shared" si="1"/>
        <v>広さ感・景観</v>
      </c>
      <c r="D69" s="1146">
        <f>IF(I$68&gt;0,G69/I$68,0)</f>
        <v>0</v>
      </c>
      <c r="E69" s="1146">
        <f>IF(J$68&gt;0,H69/J$68,0)</f>
        <v>0.5</v>
      </c>
      <c r="G69" s="1156">
        <f t="shared" si="43"/>
        <v>0</v>
      </c>
      <c r="H69" s="1156">
        <f t="shared" si="44"/>
        <v>0.33333333333333331</v>
      </c>
      <c r="I69" s="1156"/>
      <c r="J69" s="1156"/>
      <c r="K69" s="1156">
        <f>IF(スコア!Q69=0,0,1)</f>
        <v>0</v>
      </c>
      <c r="L69" s="1156">
        <f>IF(スコア!S69=0,0,1)</f>
        <v>1</v>
      </c>
      <c r="M69" s="1156">
        <f t="shared" si="45"/>
        <v>0.1111111111111111</v>
      </c>
      <c r="N69" s="1156">
        <f t="shared" si="46"/>
        <v>0.33333333333333331</v>
      </c>
      <c r="P69" s="1157" t="str">
        <f t="shared" si="6"/>
        <v>1.2.1</v>
      </c>
      <c r="Q69" s="1157" t="str">
        <f t="shared" si="7"/>
        <v xml:space="preserve"> Q2 1.2</v>
      </c>
      <c r="R69" s="1158" t="str">
        <f t="shared" si="8"/>
        <v>広さ感・景観</v>
      </c>
      <c r="S69" s="1585">
        <f t="shared" si="52"/>
        <v>0.33333333333333331</v>
      </c>
      <c r="T69" s="1585">
        <f t="shared" si="53"/>
        <v>0.5</v>
      </c>
      <c r="U69" s="1585">
        <f t="shared" si="54"/>
        <v>0.33333333333333331</v>
      </c>
      <c r="V69" s="1585">
        <f t="shared" si="55"/>
        <v>0.5</v>
      </c>
      <c r="W69" s="1585">
        <f t="shared" si="56"/>
        <v>0</v>
      </c>
      <c r="X69" s="1585">
        <f t="shared" si="57"/>
        <v>0</v>
      </c>
      <c r="Y69" s="1585">
        <f t="shared" si="58"/>
        <v>0</v>
      </c>
      <c r="Z69" s="1589">
        <f t="shared" si="59"/>
        <v>0</v>
      </c>
      <c r="AA69" s="1585">
        <f t="shared" si="60"/>
        <v>0.33333333333333331</v>
      </c>
      <c r="AB69" s="1585">
        <f t="shared" si="61"/>
        <v>0.5</v>
      </c>
      <c r="AC69" s="1586">
        <f t="shared" si="62"/>
        <v>0.5</v>
      </c>
      <c r="AD69" s="1586">
        <f t="shared" si="63"/>
        <v>0.5</v>
      </c>
      <c r="AE69" s="1586">
        <f t="shared" si="64"/>
        <v>0.5</v>
      </c>
      <c r="AG69" s="1157" t="s">
        <v>2266</v>
      </c>
      <c r="AH69" s="1161" t="s">
        <v>2126</v>
      </c>
      <c r="AI69" s="1158" t="s">
        <v>2127</v>
      </c>
      <c r="AJ69" s="1194">
        <v>0.33333333333333331</v>
      </c>
      <c r="AK69" s="1159"/>
      <c r="AL69" s="1159"/>
      <c r="AM69" s="1159"/>
      <c r="AN69" s="1159"/>
      <c r="AO69" s="1159"/>
      <c r="AP69" s="1159"/>
      <c r="AQ69" s="1173"/>
      <c r="AR69" s="1159"/>
      <c r="AS69" s="1163"/>
      <c r="AT69" s="1164"/>
      <c r="AU69" s="1164"/>
      <c r="AV69" s="1164"/>
      <c r="AX69" s="1157" t="s">
        <v>2266</v>
      </c>
      <c r="AY69" s="1161" t="s">
        <v>2126</v>
      </c>
      <c r="AZ69" s="1158" t="s">
        <v>2127</v>
      </c>
      <c r="BA69" s="1163">
        <v>0.33333333333333331</v>
      </c>
      <c r="BB69" s="1163">
        <v>0.5</v>
      </c>
      <c r="BC69" s="1163">
        <v>0.33333333333333331</v>
      </c>
      <c r="BD69" s="1163">
        <v>0.5</v>
      </c>
      <c r="BE69" s="1163"/>
      <c r="BF69" s="1163"/>
      <c r="BG69" s="1163"/>
      <c r="BH69" s="1170"/>
      <c r="BI69" s="1163">
        <v>0.33333333333333331</v>
      </c>
      <c r="BJ69" s="1163">
        <v>0.5</v>
      </c>
      <c r="BK69" s="1164">
        <v>0.5</v>
      </c>
      <c r="BL69" s="1164">
        <v>0.5</v>
      </c>
      <c r="BM69" s="1164">
        <v>0.5</v>
      </c>
      <c r="BO69" s="1157" t="s">
        <v>2266</v>
      </c>
      <c r="BP69" s="1161" t="s">
        <v>2126</v>
      </c>
      <c r="BQ69" s="1158" t="s">
        <v>2127</v>
      </c>
      <c r="BR69" s="1163">
        <v>0.33333333333333331</v>
      </c>
      <c r="BS69" s="1163">
        <v>0.5</v>
      </c>
      <c r="BT69" s="1163">
        <v>0.33333333333333331</v>
      </c>
      <c r="BU69" s="1163">
        <v>0.5</v>
      </c>
      <c r="BV69" s="1163"/>
      <c r="BW69" s="1163"/>
      <c r="BX69" s="1163"/>
      <c r="BY69" s="1170"/>
      <c r="BZ69" s="1163">
        <v>0.33333333333333331</v>
      </c>
      <c r="CA69" s="1163">
        <v>0.5</v>
      </c>
      <c r="CB69" s="1164">
        <v>0.5</v>
      </c>
      <c r="CC69" s="1164">
        <v>0.5</v>
      </c>
      <c r="CD69" s="1164">
        <v>0.5</v>
      </c>
      <c r="CE69" s="1382"/>
      <c r="CG69" s="1157" t="s">
        <v>207</v>
      </c>
      <c r="CH69" s="1161" t="s">
        <v>2126</v>
      </c>
      <c r="CI69" s="1158" t="s">
        <v>2127</v>
      </c>
      <c r="CJ69" s="1531">
        <f t="shared" si="19"/>
        <v>0.33333333333333331</v>
      </c>
      <c r="CK69" s="1531">
        <f t="shared" si="20"/>
        <v>0.5</v>
      </c>
      <c r="CL69" s="1531">
        <f t="shared" si="21"/>
        <v>0.33333333333333331</v>
      </c>
      <c r="CM69" s="1531">
        <f t="shared" si="22"/>
        <v>0.5</v>
      </c>
      <c r="CN69" s="1531">
        <f t="shared" si="23"/>
        <v>0</v>
      </c>
      <c r="CO69" s="1531">
        <f t="shared" si="24"/>
        <v>0</v>
      </c>
      <c r="CP69" s="1531">
        <f t="shared" si="25"/>
        <v>0</v>
      </c>
      <c r="CQ69" s="1543">
        <f t="shared" si="26"/>
        <v>0</v>
      </c>
      <c r="CR69" s="1531">
        <f t="shared" si="27"/>
        <v>0.33333333333333331</v>
      </c>
      <c r="CS69" s="1531">
        <f t="shared" si="28"/>
        <v>0.5</v>
      </c>
      <c r="CT69" s="1533">
        <f t="shared" si="13"/>
        <v>0.5</v>
      </c>
      <c r="CU69" s="1533">
        <f t="shared" si="14"/>
        <v>0.5</v>
      </c>
      <c r="CV69" s="1533">
        <f t="shared" si="15"/>
        <v>0.5</v>
      </c>
      <c r="CX69" s="1157" t="s">
        <v>207</v>
      </c>
      <c r="CY69" s="1161" t="s">
        <v>2126</v>
      </c>
      <c r="CZ69" s="1647" t="s">
        <v>2766</v>
      </c>
      <c r="DA69" s="1648">
        <v>0.15</v>
      </c>
      <c r="DB69" s="1520"/>
      <c r="DC69" s="1520"/>
      <c r="DD69" s="1520"/>
      <c r="DE69" s="1520"/>
      <c r="DF69" s="1520"/>
      <c r="DG69" s="1520"/>
      <c r="DH69" s="1576"/>
      <c r="DI69" s="1520"/>
      <c r="DJ69" s="1520"/>
      <c r="DK69" s="1623"/>
      <c r="DL69" s="1623"/>
      <c r="DM69" s="1623"/>
    </row>
    <row r="70" spans="2:117" hidden="1">
      <c r="B70" s="1136"/>
      <c r="C70" s="1158">
        <f t="shared" si="1"/>
        <v>0</v>
      </c>
      <c r="D70" s="1146">
        <f>IF(I$68&gt;0,G70/I$68,0)</f>
        <v>0</v>
      </c>
      <c r="E70" s="1146">
        <f>IF(J$68&gt;0,H70/J$68,0)</f>
        <v>0</v>
      </c>
      <c r="G70" s="1156">
        <f>K70*M70</f>
        <v>0</v>
      </c>
      <c r="H70" s="1156">
        <f t="shared" si="44"/>
        <v>0</v>
      </c>
      <c r="I70" s="1156"/>
      <c r="J70" s="1156"/>
      <c r="K70" s="1156">
        <f>IF(スコア!Q70=0,0,1)</f>
        <v>1</v>
      </c>
      <c r="L70" s="1156">
        <f>IF(スコア!S70=0,0,1)</f>
        <v>0</v>
      </c>
      <c r="M70" s="1156">
        <f>SUMPRODUCT($S$7:$AB$7,S70:AB70)</f>
        <v>0</v>
      </c>
      <c r="N70" s="1156">
        <f>(AC$7*AC70)+(AD$7*AD70)+(AE$7*AE70)</f>
        <v>0</v>
      </c>
      <c r="P70" s="1157">
        <f t="shared" si="6"/>
        <v>0</v>
      </c>
      <c r="Q70" s="1157">
        <f t="shared" si="7"/>
        <v>0</v>
      </c>
      <c r="R70" s="1158">
        <f t="shared" si="8"/>
        <v>0</v>
      </c>
      <c r="S70" s="1585">
        <f t="shared" si="52"/>
        <v>0</v>
      </c>
      <c r="T70" s="1585">
        <f t="shared" si="53"/>
        <v>0</v>
      </c>
      <c r="U70" s="1585">
        <f t="shared" si="54"/>
        <v>0</v>
      </c>
      <c r="V70" s="1585">
        <f t="shared" si="55"/>
        <v>0</v>
      </c>
      <c r="W70" s="1585">
        <f t="shared" si="56"/>
        <v>0</v>
      </c>
      <c r="X70" s="1585">
        <f t="shared" si="57"/>
        <v>0</v>
      </c>
      <c r="Y70" s="1585">
        <f t="shared" si="58"/>
        <v>0</v>
      </c>
      <c r="Z70" s="1589">
        <f t="shared" si="59"/>
        <v>0</v>
      </c>
      <c r="AA70" s="1585">
        <f t="shared" si="60"/>
        <v>0</v>
      </c>
      <c r="AB70" s="1585">
        <f t="shared" si="61"/>
        <v>0</v>
      </c>
      <c r="AC70" s="1586">
        <f t="shared" si="62"/>
        <v>0</v>
      </c>
      <c r="AD70" s="1586">
        <f t="shared" si="63"/>
        <v>0</v>
      </c>
      <c r="AE70" s="1586">
        <f t="shared" si="64"/>
        <v>0</v>
      </c>
      <c r="AG70" s="1157"/>
      <c r="AH70" s="1161"/>
      <c r="AI70" s="1158"/>
      <c r="AJ70" s="1194"/>
      <c r="AK70" s="1159"/>
      <c r="AL70" s="1159"/>
      <c r="AM70" s="1159"/>
      <c r="AN70" s="1159"/>
      <c r="AO70" s="1159"/>
      <c r="AP70" s="1159"/>
      <c r="AQ70" s="1173"/>
      <c r="AR70" s="1159"/>
      <c r="AS70" s="1163"/>
      <c r="AT70" s="1164"/>
      <c r="AU70" s="1164"/>
      <c r="AV70" s="1164"/>
      <c r="AX70" s="1157"/>
      <c r="AY70" s="1161"/>
      <c r="AZ70" s="1158"/>
      <c r="BA70" s="1163"/>
      <c r="BB70" s="1163"/>
      <c r="BC70" s="1163"/>
      <c r="BD70" s="1163"/>
      <c r="BE70" s="1163"/>
      <c r="BF70" s="1163"/>
      <c r="BG70" s="1163"/>
      <c r="BH70" s="1170"/>
      <c r="BI70" s="1163"/>
      <c r="BJ70" s="1163"/>
      <c r="BK70" s="1164"/>
      <c r="BL70" s="1164"/>
      <c r="BM70" s="1164"/>
      <c r="BO70" s="1157"/>
      <c r="BP70" s="1161"/>
      <c r="BQ70" s="1158"/>
      <c r="BR70" s="1163"/>
      <c r="BS70" s="1163"/>
      <c r="BT70" s="1163"/>
      <c r="BU70" s="1163"/>
      <c r="BV70" s="1163"/>
      <c r="BW70" s="1163"/>
      <c r="BX70" s="1163"/>
      <c r="BY70" s="1170"/>
      <c r="BZ70" s="1163"/>
      <c r="CA70" s="1163"/>
      <c r="CB70" s="1164"/>
      <c r="CC70" s="1164"/>
      <c r="CD70" s="1164"/>
      <c r="CE70" s="1382"/>
      <c r="CG70" s="1157"/>
      <c r="CH70" s="1161"/>
      <c r="CI70" s="1158"/>
      <c r="CJ70" s="1531"/>
      <c r="CK70" s="1531"/>
      <c r="CL70" s="1531"/>
      <c r="CM70" s="1531"/>
      <c r="CN70" s="1531"/>
      <c r="CO70" s="1531"/>
      <c r="CP70" s="1531"/>
      <c r="CQ70" s="1543"/>
      <c r="CR70" s="1531"/>
      <c r="CS70" s="1531"/>
      <c r="CT70" s="1533"/>
      <c r="CU70" s="1533"/>
      <c r="CV70" s="1533"/>
      <c r="CX70" s="1157" t="s">
        <v>2768</v>
      </c>
      <c r="CY70" s="1161" t="s">
        <v>2126</v>
      </c>
      <c r="CZ70" s="1647" t="s">
        <v>2767</v>
      </c>
      <c r="DA70" s="1648">
        <v>0.15</v>
      </c>
      <c r="DB70" s="1520"/>
      <c r="DC70" s="1520"/>
      <c r="DD70" s="1520"/>
      <c r="DE70" s="1520"/>
      <c r="DF70" s="1520"/>
      <c r="DG70" s="1520"/>
      <c r="DH70" s="1576"/>
      <c r="DI70" s="1520"/>
      <c r="DJ70" s="1520"/>
      <c r="DK70" s="1623"/>
      <c r="DL70" s="1623"/>
      <c r="DM70" s="1623"/>
    </row>
    <row r="71" spans="2:117">
      <c r="B71" s="1136" t="str">
        <f t="shared" si="47"/>
        <v>1.2.2</v>
      </c>
      <c r="C71" s="1158" t="str">
        <f t="shared" si="1"/>
        <v>リフレッシュスペース</v>
      </c>
      <c r="D71" s="1146">
        <f t="shared" ref="D71:E73" si="66">IF(I$68&gt;0,G71/I$68,0)</f>
        <v>0.125</v>
      </c>
      <c r="E71" s="1146">
        <f t="shared" si="66"/>
        <v>0</v>
      </c>
      <c r="G71" s="1156">
        <f t="shared" si="43"/>
        <v>0.1111111111111111</v>
      </c>
      <c r="H71" s="1156">
        <f>L71*N71</f>
        <v>0</v>
      </c>
      <c r="I71" s="1156"/>
      <c r="J71" s="1156"/>
      <c r="K71" s="1156">
        <f>IF(スコア!Q71=0,0,1)</f>
        <v>1</v>
      </c>
      <c r="L71" s="1156">
        <f>IF(スコア!S71=0,0,1)</f>
        <v>0</v>
      </c>
      <c r="M71" s="1156">
        <f>SUMPRODUCT($S$7:$AB$7,S71:AB71)</f>
        <v>0.1111111111111111</v>
      </c>
      <c r="N71" s="1156">
        <f>(AC$7*AC71)+(AD$7*AD71)+(AE$7*AE71)</f>
        <v>0</v>
      </c>
      <c r="P71" s="1157" t="str">
        <f t="shared" si="6"/>
        <v>1.2.2</v>
      </c>
      <c r="Q71" s="1157" t="str">
        <f t="shared" si="7"/>
        <v xml:space="preserve"> Q2 1.2</v>
      </c>
      <c r="R71" s="1158" t="str">
        <f t="shared" si="8"/>
        <v>リフレッシュスペース</v>
      </c>
      <c r="S71" s="1585">
        <f t="shared" si="52"/>
        <v>0.33333333333333331</v>
      </c>
      <c r="T71" s="1585">
        <f t="shared" si="53"/>
        <v>0</v>
      </c>
      <c r="U71" s="1585">
        <f t="shared" si="54"/>
        <v>0.33333333333333331</v>
      </c>
      <c r="V71" s="1585">
        <f t="shared" si="55"/>
        <v>0</v>
      </c>
      <c r="W71" s="1585">
        <f t="shared" si="56"/>
        <v>0</v>
      </c>
      <c r="X71" s="1585">
        <f t="shared" si="57"/>
        <v>0</v>
      </c>
      <c r="Y71" s="1585">
        <f t="shared" si="58"/>
        <v>0</v>
      </c>
      <c r="Z71" s="1589">
        <f t="shared" si="59"/>
        <v>0</v>
      </c>
      <c r="AA71" s="1585">
        <f t="shared" si="60"/>
        <v>0.33333333333333331</v>
      </c>
      <c r="AB71" s="1585">
        <f t="shared" si="61"/>
        <v>0</v>
      </c>
      <c r="AC71" s="1586">
        <f t="shared" si="62"/>
        <v>0</v>
      </c>
      <c r="AD71" s="1586">
        <f t="shared" si="63"/>
        <v>0</v>
      </c>
      <c r="AE71" s="1586">
        <f t="shared" si="64"/>
        <v>0</v>
      </c>
      <c r="AG71" s="1157" t="s">
        <v>2267</v>
      </c>
      <c r="AH71" s="1161" t="s">
        <v>2126</v>
      </c>
      <c r="AI71" s="1158" t="s">
        <v>2128</v>
      </c>
      <c r="AJ71" s="1194">
        <v>0.33333333333333331</v>
      </c>
      <c r="AK71" s="1159"/>
      <c r="AL71" s="1159">
        <v>0.5</v>
      </c>
      <c r="AM71" s="1159"/>
      <c r="AN71" s="1159"/>
      <c r="AO71" s="1159"/>
      <c r="AP71" s="1159"/>
      <c r="AQ71" s="1173"/>
      <c r="AR71" s="1159"/>
      <c r="AS71" s="1163"/>
      <c r="AT71" s="1164"/>
      <c r="AU71" s="1164"/>
      <c r="AV71" s="1164"/>
      <c r="AX71" s="1157" t="s">
        <v>2267</v>
      </c>
      <c r="AY71" s="1161" t="s">
        <v>2126</v>
      </c>
      <c r="AZ71" s="1158" t="s">
        <v>2128</v>
      </c>
      <c r="BA71" s="1163">
        <v>0.33333333333333331</v>
      </c>
      <c r="BB71" s="1163">
        <v>0</v>
      </c>
      <c r="BC71" s="1163">
        <v>0.33333333333333331</v>
      </c>
      <c r="BD71" s="1163"/>
      <c r="BE71" s="1163"/>
      <c r="BF71" s="1163"/>
      <c r="BG71" s="1163"/>
      <c r="BH71" s="1170"/>
      <c r="BI71" s="1163">
        <v>0.33333333333333331</v>
      </c>
      <c r="BJ71" s="1163">
        <v>0</v>
      </c>
      <c r="BK71" s="1164"/>
      <c r="BL71" s="1164"/>
      <c r="BM71" s="1164"/>
      <c r="BO71" s="1157" t="s">
        <v>2267</v>
      </c>
      <c r="BP71" s="1161" t="s">
        <v>2126</v>
      </c>
      <c r="BQ71" s="1158" t="s">
        <v>2128</v>
      </c>
      <c r="BR71" s="1163">
        <v>0.33333333333333331</v>
      </c>
      <c r="BS71" s="1163"/>
      <c r="BT71" s="1163">
        <v>0.33333333333333331</v>
      </c>
      <c r="BU71" s="1163"/>
      <c r="BV71" s="1163"/>
      <c r="BW71" s="1163"/>
      <c r="BX71" s="1163"/>
      <c r="BY71" s="1170"/>
      <c r="BZ71" s="1163">
        <v>0.33333333333333331</v>
      </c>
      <c r="CA71" s="1163"/>
      <c r="CB71" s="1164"/>
      <c r="CC71" s="1164"/>
      <c r="CD71" s="1164"/>
      <c r="CE71" s="1382"/>
      <c r="CG71" s="1157" t="s">
        <v>209</v>
      </c>
      <c r="CH71" s="1161" t="s">
        <v>2126</v>
      </c>
      <c r="CI71" s="1158" t="s">
        <v>2128</v>
      </c>
      <c r="CJ71" s="1531">
        <f t="shared" si="19"/>
        <v>0.33333333333333331</v>
      </c>
      <c r="CK71" s="1531">
        <f t="shared" si="20"/>
        <v>0</v>
      </c>
      <c r="CL71" s="1531">
        <f t="shared" si="21"/>
        <v>0.33333333333333331</v>
      </c>
      <c r="CM71" s="1531">
        <f t="shared" si="22"/>
        <v>0</v>
      </c>
      <c r="CN71" s="1531">
        <f t="shared" si="23"/>
        <v>0</v>
      </c>
      <c r="CO71" s="1531">
        <f t="shared" si="24"/>
        <v>0</v>
      </c>
      <c r="CP71" s="1531">
        <f t="shared" si="25"/>
        <v>0</v>
      </c>
      <c r="CQ71" s="1543">
        <f t="shared" si="26"/>
        <v>0</v>
      </c>
      <c r="CR71" s="1531">
        <f t="shared" si="27"/>
        <v>0.33333333333333331</v>
      </c>
      <c r="CS71" s="1531">
        <f t="shared" si="28"/>
        <v>0</v>
      </c>
      <c r="CT71" s="1533">
        <f t="shared" si="13"/>
        <v>0</v>
      </c>
      <c r="CU71" s="1533">
        <f t="shared" si="14"/>
        <v>0</v>
      </c>
      <c r="CV71" s="1533">
        <f t="shared" si="15"/>
        <v>0</v>
      </c>
      <c r="CX71" s="1157" t="s">
        <v>2769</v>
      </c>
      <c r="CY71" s="1161" t="s">
        <v>2126</v>
      </c>
      <c r="CZ71" s="1158" t="s">
        <v>2128</v>
      </c>
      <c r="DA71" s="1648">
        <v>0.25</v>
      </c>
      <c r="DB71" s="1520"/>
      <c r="DC71" s="1520"/>
      <c r="DD71" s="1520"/>
      <c r="DE71" s="1520"/>
      <c r="DF71" s="1520"/>
      <c r="DG71" s="1520"/>
      <c r="DH71" s="1576"/>
      <c r="DI71" s="1520"/>
      <c r="DJ71" s="1520"/>
      <c r="DK71" s="1623"/>
      <c r="DL71" s="1623"/>
      <c r="DM71" s="1623"/>
    </row>
    <row r="72" spans="2:117">
      <c r="B72" s="1136" t="str">
        <f t="shared" si="47"/>
        <v>1.2.3</v>
      </c>
      <c r="C72" s="1158" t="str">
        <f t="shared" si="1"/>
        <v>内装計画</v>
      </c>
      <c r="D72" s="1146">
        <f t="shared" si="66"/>
        <v>0.87499999999999989</v>
      </c>
      <c r="E72" s="1146">
        <f t="shared" si="66"/>
        <v>0.5</v>
      </c>
      <c r="G72" s="1156">
        <f>K72*M72</f>
        <v>0.77777777777777768</v>
      </c>
      <c r="H72" s="1156">
        <f>L72*N72</f>
        <v>0.33333333333333331</v>
      </c>
      <c r="I72" s="1156"/>
      <c r="J72" s="1156"/>
      <c r="K72" s="1156">
        <f>IF(スコア!Q72=0,0,1)</f>
        <v>1</v>
      </c>
      <c r="L72" s="1156">
        <f>IF(スコア!S72=0,0,1)</f>
        <v>1</v>
      </c>
      <c r="M72" s="1156">
        <f>SUMPRODUCT($S$7:$AB$7,S72:AB72)</f>
        <v>0.77777777777777768</v>
      </c>
      <c r="N72" s="1156">
        <f>(AC$7*AC72)+(AD$7*AD72)+(AE$7*AE72)</f>
        <v>0.33333333333333331</v>
      </c>
      <c r="P72" s="1157" t="str">
        <f t="shared" si="6"/>
        <v>1.2.3</v>
      </c>
      <c r="Q72" s="1157" t="str">
        <f t="shared" si="7"/>
        <v xml:space="preserve"> Q2 1.2</v>
      </c>
      <c r="R72" s="1158" t="str">
        <f t="shared" si="8"/>
        <v>内装計画</v>
      </c>
      <c r="S72" s="1585">
        <f t="shared" si="52"/>
        <v>0.33333333333333331</v>
      </c>
      <c r="T72" s="1585">
        <f t="shared" si="53"/>
        <v>0.5</v>
      </c>
      <c r="U72" s="1585">
        <f t="shared" si="54"/>
        <v>0.33333333333333331</v>
      </c>
      <c r="V72" s="1585">
        <f t="shared" si="55"/>
        <v>0.5</v>
      </c>
      <c r="W72" s="1585">
        <f t="shared" si="56"/>
        <v>1</v>
      </c>
      <c r="X72" s="1585">
        <f t="shared" si="57"/>
        <v>1</v>
      </c>
      <c r="Y72" s="1585">
        <f t="shared" si="58"/>
        <v>1</v>
      </c>
      <c r="Z72" s="1589">
        <f t="shared" si="59"/>
        <v>1</v>
      </c>
      <c r="AA72" s="1585">
        <f t="shared" si="60"/>
        <v>0.33333333333333331</v>
      </c>
      <c r="AB72" s="1585">
        <f t="shared" si="61"/>
        <v>0.5</v>
      </c>
      <c r="AC72" s="1586">
        <f t="shared" si="62"/>
        <v>0.5</v>
      </c>
      <c r="AD72" s="1586">
        <f t="shared" si="63"/>
        <v>0.5</v>
      </c>
      <c r="AE72" s="1586">
        <f t="shared" si="64"/>
        <v>0.5</v>
      </c>
      <c r="AG72" s="1157" t="s">
        <v>2268</v>
      </c>
      <c r="AH72" s="1161" t="s">
        <v>2126</v>
      </c>
      <c r="AI72" s="1158" t="s">
        <v>2129</v>
      </c>
      <c r="AJ72" s="1194">
        <v>0.33333333333333331</v>
      </c>
      <c r="AK72" s="1159">
        <v>1</v>
      </c>
      <c r="AL72" s="1159">
        <v>0.5</v>
      </c>
      <c r="AM72" s="1159">
        <v>1</v>
      </c>
      <c r="AN72" s="1159">
        <v>1</v>
      </c>
      <c r="AO72" s="1159">
        <v>1</v>
      </c>
      <c r="AP72" s="1159">
        <v>1</v>
      </c>
      <c r="AQ72" s="1173">
        <v>1</v>
      </c>
      <c r="AR72" s="1159">
        <v>1</v>
      </c>
      <c r="AS72" s="1163">
        <v>1</v>
      </c>
      <c r="AT72" s="1164">
        <v>1</v>
      </c>
      <c r="AU72" s="1164">
        <v>1</v>
      </c>
      <c r="AV72" s="1164">
        <v>1</v>
      </c>
      <c r="AX72" s="1157" t="s">
        <v>2268</v>
      </c>
      <c r="AY72" s="1161" t="s">
        <v>2126</v>
      </c>
      <c r="AZ72" s="1158" t="s">
        <v>2129</v>
      </c>
      <c r="BA72" s="1163">
        <v>0.33333333333333331</v>
      </c>
      <c r="BB72" s="1163">
        <v>0.5</v>
      </c>
      <c r="BC72" s="1163">
        <v>0.33333333333333331</v>
      </c>
      <c r="BD72" s="1163">
        <v>0.5</v>
      </c>
      <c r="BE72" s="1163">
        <v>1</v>
      </c>
      <c r="BF72" s="1163">
        <v>1</v>
      </c>
      <c r="BG72" s="1163">
        <v>1</v>
      </c>
      <c r="BH72" s="1170">
        <v>1</v>
      </c>
      <c r="BI72" s="1163">
        <v>0.33333333333333331</v>
      </c>
      <c r="BJ72" s="1163">
        <v>0.5</v>
      </c>
      <c r="BK72" s="1164">
        <v>0.5</v>
      </c>
      <c r="BL72" s="1164">
        <v>0.5</v>
      </c>
      <c r="BM72" s="1164">
        <v>0.5</v>
      </c>
      <c r="BO72" s="1157" t="s">
        <v>2268</v>
      </c>
      <c r="BP72" s="1161" t="s">
        <v>2126</v>
      </c>
      <c r="BQ72" s="1158" t="s">
        <v>2129</v>
      </c>
      <c r="BR72" s="1163">
        <v>0.33333333333333331</v>
      </c>
      <c r="BS72" s="1163">
        <v>0.5</v>
      </c>
      <c r="BT72" s="1163">
        <v>0.33333333333333331</v>
      </c>
      <c r="BU72" s="1163">
        <v>0.5</v>
      </c>
      <c r="BV72" s="1163">
        <v>1</v>
      </c>
      <c r="BW72" s="1163">
        <v>1</v>
      </c>
      <c r="BX72" s="1163">
        <v>1</v>
      </c>
      <c r="BY72" s="1170">
        <v>1</v>
      </c>
      <c r="BZ72" s="1163">
        <v>0.33333333333333331</v>
      </c>
      <c r="CA72" s="1163">
        <v>0.5</v>
      </c>
      <c r="CB72" s="1164">
        <v>0.5</v>
      </c>
      <c r="CC72" s="1164">
        <v>0.5</v>
      </c>
      <c r="CD72" s="1164">
        <v>0.5</v>
      </c>
      <c r="CE72" s="1382"/>
      <c r="CG72" s="1157" t="s">
        <v>210</v>
      </c>
      <c r="CH72" s="1161" t="s">
        <v>2126</v>
      </c>
      <c r="CI72" s="1158" t="s">
        <v>2129</v>
      </c>
      <c r="CJ72" s="1531">
        <f t="shared" si="19"/>
        <v>0.33333333333333331</v>
      </c>
      <c r="CK72" s="1531">
        <f t="shared" si="20"/>
        <v>0.5</v>
      </c>
      <c r="CL72" s="1531">
        <f t="shared" si="21"/>
        <v>0.33333333333333331</v>
      </c>
      <c r="CM72" s="1531">
        <f t="shared" si="22"/>
        <v>0.5</v>
      </c>
      <c r="CN72" s="1531">
        <f t="shared" si="23"/>
        <v>1</v>
      </c>
      <c r="CO72" s="1531">
        <f t="shared" si="24"/>
        <v>1</v>
      </c>
      <c r="CP72" s="1531">
        <f t="shared" si="25"/>
        <v>1</v>
      </c>
      <c r="CQ72" s="1543">
        <f t="shared" si="26"/>
        <v>1</v>
      </c>
      <c r="CR72" s="1531">
        <f t="shared" si="27"/>
        <v>0.33333333333333331</v>
      </c>
      <c r="CS72" s="1531">
        <f t="shared" si="28"/>
        <v>0.5</v>
      </c>
      <c r="CT72" s="1533">
        <f t="shared" si="13"/>
        <v>0.5</v>
      </c>
      <c r="CU72" s="1533">
        <f t="shared" si="14"/>
        <v>0.5</v>
      </c>
      <c r="CV72" s="1533">
        <f t="shared" si="15"/>
        <v>0.5</v>
      </c>
      <c r="CX72" s="1157" t="s">
        <v>2770</v>
      </c>
      <c r="CY72" s="1161" t="s">
        <v>2126</v>
      </c>
      <c r="CZ72" s="1158" t="s">
        <v>2129</v>
      </c>
      <c r="DA72" s="1648">
        <v>0.25</v>
      </c>
      <c r="DB72" s="1520"/>
      <c r="DC72" s="1520"/>
      <c r="DD72" s="1520"/>
      <c r="DE72" s="1520"/>
      <c r="DF72" s="1520"/>
      <c r="DG72" s="1520"/>
      <c r="DH72" s="1576"/>
      <c r="DI72" s="1520"/>
      <c r="DJ72" s="1520"/>
      <c r="DK72" s="1623"/>
      <c r="DL72" s="1623"/>
      <c r="DM72" s="1623"/>
    </row>
    <row r="73" spans="2:117" hidden="1">
      <c r="B73" s="1136"/>
      <c r="C73" s="1158">
        <f t="shared" ref="C73:C136" si="67">R73</f>
        <v>0</v>
      </c>
      <c r="D73" s="1146">
        <f t="shared" si="66"/>
        <v>0</v>
      </c>
      <c r="E73" s="1146">
        <f>IF(J$68&gt;0,H73/J$68,0)</f>
        <v>0</v>
      </c>
      <c r="G73" s="1156">
        <f>K73*M73</f>
        <v>0</v>
      </c>
      <c r="H73" s="1156">
        <f>L73*N73</f>
        <v>0</v>
      </c>
      <c r="I73" s="1156"/>
      <c r="J73" s="1156"/>
      <c r="K73" s="1156">
        <f>IF(スコア!Q73=0,0,1)</f>
        <v>1</v>
      </c>
      <c r="L73" s="1156">
        <f>IF(スコア!S73=0,0,1)</f>
        <v>0</v>
      </c>
      <c r="M73" s="1156">
        <f>SUMPRODUCT($S$7:$AB$7,S73:AB73)</f>
        <v>0</v>
      </c>
      <c r="N73" s="1156">
        <f>(AC$7*AC73)+(AD$7*AD73)+(AE$7*AE73)</f>
        <v>0</v>
      </c>
      <c r="P73" s="1157">
        <f t="shared" si="6"/>
        <v>0</v>
      </c>
      <c r="Q73" s="1157">
        <f t="shared" si="7"/>
        <v>0</v>
      </c>
      <c r="R73" s="1158">
        <f t="shared" si="8"/>
        <v>0</v>
      </c>
      <c r="S73" s="1585">
        <f t="shared" si="52"/>
        <v>0</v>
      </c>
      <c r="T73" s="1585">
        <f t="shared" si="53"/>
        <v>0</v>
      </c>
      <c r="U73" s="1585">
        <f t="shared" si="54"/>
        <v>0</v>
      </c>
      <c r="V73" s="1585">
        <f t="shared" si="55"/>
        <v>0</v>
      </c>
      <c r="W73" s="1585">
        <f t="shared" si="56"/>
        <v>0</v>
      </c>
      <c r="X73" s="1585">
        <f t="shared" si="57"/>
        <v>0</v>
      </c>
      <c r="Y73" s="1585">
        <f t="shared" si="58"/>
        <v>0</v>
      </c>
      <c r="Z73" s="1589">
        <f t="shared" si="59"/>
        <v>0</v>
      </c>
      <c r="AA73" s="1585">
        <f t="shared" si="60"/>
        <v>0</v>
      </c>
      <c r="AB73" s="1585">
        <f t="shared" si="61"/>
        <v>0</v>
      </c>
      <c r="AC73" s="1586">
        <f t="shared" si="62"/>
        <v>0</v>
      </c>
      <c r="AD73" s="1586">
        <f t="shared" si="63"/>
        <v>0</v>
      </c>
      <c r="AE73" s="1586">
        <f t="shared" si="64"/>
        <v>0</v>
      </c>
      <c r="AG73" s="1157"/>
      <c r="AH73" s="1161"/>
      <c r="AI73" s="1158"/>
      <c r="AJ73" s="1194"/>
      <c r="AK73" s="1159"/>
      <c r="AL73" s="1159"/>
      <c r="AM73" s="1159"/>
      <c r="AN73" s="1159"/>
      <c r="AO73" s="1159"/>
      <c r="AP73" s="1159"/>
      <c r="AQ73" s="1173"/>
      <c r="AR73" s="1159"/>
      <c r="AS73" s="1163"/>
      <c r="AT73" s="1164"/>
      <c r="AU73" s="1164"/>
      <c r="AV73" s="1164"/>
      <c r="AX73" s="1157"/>
      <c r="AY73" s="1161"/>
      <c r="AZ73" s="1158"/>
      <c r="BA73" s="1163"/>
      <c r="BB73" s="1163"/>
      <c r="BC73" s="1163"/>
      <c r="BD73" s="1163"/>
      <c r="BE73" s="1163"/>
      <c r="BF73" s="1163"/>
      <c r="BG73" s="1163"/>
      <c r="BH73" s="1170"/>
      <c r="BI73" s="1163"/>
      <c r="BJ73" s="1163"/>
      <c r="BK73" s="1164"/>
      <c r="BL73" s="1164"/>
      <c r="BM73" s="1164"/>
      <c r="BO73" s="1157"/>
      <c r="BP73" s="1161"/>
      <c r="BQ73" s="1158"/>
      <c r="BR73" s="1163"/>
      <c r="BS73" s="1163"/>
      <c r="BT73" s="1163"/>
      <c r="BU73" s="1163"/>
      <c r="BV73" s="1163"/>
      <c r="BW73" s="1163"/>
      <c r="BX73" s="1163"/>
      <c r="BY73" s="1170"/>
      <c r="BZ73" s="1163"/>
      <c r="CA73" s="1163"/>
      <c r="CB73" s="1164"/>
      <c r="CC73" s="1164"/>
      <c r="CD73" s="1164"/>
      <c r="CE73" s="1382"/>
      <c r="CG73" s="1157"/>
      <c r="CH73" s="1161"/>
      <c r="CI73" s="1158"/>
      <c r="CJ73" s="1531"/>
      <c r="CK73" s="1531"/>
      <c r="CL73" s="1531"/>
      <c r="CM73" s="1531"/>
      <c r="CN73" s="1531"/>
      <c r="CO73" s="1531"/>
      <c r="CP73" s="1531"/>
      <c r="CQ73" s="1543"/>
      <c r="CR73" s="1531"/>
      <c r="CS73" s="1531"/>
      <c r="CT73" s="1533"/>
      <c r="CU73" s="1533"/>
      <c r="CV73" s="1533"/>
      <c r="CX73" s="1157" t="s">
        <v>2771</v>
      </c>
      <c r="CY73" s="1646" t="s">
        <v>2126</v>
      </c>
      <c r="CZ73" s="1647" t="s">
        <v>2764</v>
      </c>
      <c r="DA73" s="1648">
        <v>0.2</v>
      </c>
      <c r="DB73" s="1520"/>
      <c r="DC73" s="1520"/>
      <c r="DD73" s="1520"/>
      <c r="DE73" s="1520"/>
      <c r="DF73" s="1520"/>
      <c r="DG73" s="1520"/>
      <c r="DH73" s="1576"/>
      <c r="DI73" s="1520"/>
      <c r="DJ73" s="1520"/>
      <c r="DK73" s="1623"/>
      <c r="DL73" s="1623"/>
      <c r="DM73" s="1623"/>
    </row>
    <row r="74" spans="2:117">
      <c r="B74" s="1136">
        <f t="shared" si="47"/>
        <v>1.3</v>
      </c>
      <c r="C74" s="1158" t="str">
        <f t="shared" si="67"/>
        <v>維持管理</v>
      </c>
      <c r="D74" s="1155">
        <f>IF(I$63=0,0,G74/I$63)</f>
        <v>0.3</v>
      </c>
      <c r="E74" s="1156">
        <f>IF(J$63=0,0,H74/J$63)</f>
        <v>0</v>
      </c>
      <c r="G74" s="1156">
        <f t="shared" si="43"/>
        <v>0.3</v>
      </c>
      <c r="H74" s="1156">
        <f t="shared" si="44"/>
        <v>0</v>
      </c>
      <c r="I74" s="1156">
        <f>G75+G76+G77</f>
        <v>1</v>
      </c>
      <c r="J74" s="1156">
        <f>H75+H76+H77</f>
        <v>0</v>
      </c>
      <c r="K74" s="1156">
        <f>IF(スコア!Q74=0,0,1)</f>
        <v>1</v>
      </c>
      <c r="L74" s="1156">
        <f>IF(スコア!S78=0,0,1)</f>
        <v>0</v>
      </c>
      <c r="M74" s="1156">
        <f t="shared" si="45"/>
        <v>0.3</v>
      </c>
      <c r="N74" s="1156">
        <f t="shared" si="46"/>
        <v>0</v>
      </c>
      <c r="P74" s="1157">
        <f t="shared" ref="P74:P137" si="68">IF($P$3=1,AX74,IF($P$3=2,BO74,IF($P$3=3,CG74,IF($P$3=4,CX74,AG74))))</f>
        <v>1.3</v>
      </c>
      <c r="Q74" s="1157" t="str">
        <f t="shared" ref="Q74:Q137" si="69">IF($P$3=1,AY74,IF($P$3=2,BP74,IF($P$3=3,CH74,IF($P$3=4,CY74,AH74))))</f>
        <v xml:space="preserve"> Q2 1</v>
      </c>
      <c r="R74" s="1158" t="str">
        <f t="shared" ref="R74:R137" si="70">IF($P$3=1,AZ74,IF($P$3=2,BQ74,IF($P$3=3,CI74,IF($P$3=4,CZ74,AI74))))</f>
        <v>維持管理</v>
      </c>
      <c r="S74" s="1585">
        <f t="shared" si="52"/>
        <v>0.3</v>
      </c>
      <c r="T74" s="1585">
        <f t="shared" si="53"/>
        <v>0.3</v>
      </c>
      <c r="U74" s="1585">
        <f t="shared" si="54"/>
        <v>0.3</v>
      </c>
      <c r="V74" s="1585">
        <f t="shared" si="55"/>
        <v>0.3</v>
      </c>
      <c r="W74" s="1585">
        <f t="shared" si="56"/>
        <v>0.3</v>
      </c>
      <c r="X74" s="1585">
        <f t="shared" si="57"/>
        <v>0.3</v>
      </c>
      <c r="Y74" s="1585">
        <f t="shared" si="58"/>
        <v>0.3</v>
      </c>
      <c r="Z74" s="1589">
        <f t="shared" si="59"/>
        <v>0.3</v>
      </c>
      <c r="AA74" s="1585">
        <f t="shared" si="60"/>
        <v>0.3</v>
      </c>
      <c r="AB74" s="1585">
        <f t="shared" si="61"/>
        <v>0.3</v>
      </c>
      <c r="AC74" s="1586">
        <f t="shared" si="62"/>
        <v>0</v>
      </c>
      <c r="AD74" s="1586">
        <f t="shared" si="63"/>
        <v>0</v>
      </c>
      <c r="AE74" s="1586">
        <f t="shared" si="64"/>
        <v>0</v>
      </c>
      <c r="AG74" s="1157">
        <v>1.3</v>
      </c>
      <c r="AH74" s="1161" t="s">
        <v>2121</v>
      </c>
      <c r="AI74" s="1158" t="s">
        <v>1</v>
      </c>
      <c r="AJ74" s="1194">
        <v>0.3</v>
      </c>
      <c r="AK74" s="1194">
        <v>0.3</v>
      </c>
      <c r="AL74" s="1194">
        <v>0.3</v>
      </c>
      <c r="AM74" s="1162">
        <v>0.3</v>
      </c>
      <c r="AN74" s="1162">
        <v>0.3</v>
      </c>
      <c r="AO74" s="1194">
        <v>0.3</v>
      </c>
      <c r="AP74" s="1162">
        <v>0.3</v>
      </c>
      <c r="AQ74" s="1194">
        <v>0.3</v>
      </c>
      <c r="AR74" s="1162">
        <v>0.3</v>
      </c>
      <c r="AS74" s="1163">
        <v>0.3</v>
      </c>
      <c r="AT74" s="1164">
        <v>0</v>
      </c>
      <c r="AU74" s="1164">
        <v>0</v>
      </c>
      <c r="AV74" s="1164">
        <v>0</v>
      </c>
      <c r="AX74" s="1157">
        <v>1.3</v>
      </c>
      <c r="AY74" s="1161" t="s">
        <v>2121</v>
      </c>
      <c r="AZ74" s="1158" t="s">
        <v>1</v>
      </c>
      <c r="BA74" s="1163">
        <v>0.3</v>
      </c>
      <c r="BB74" s="1163">
        <v>0.3</v>
      </c>
      <c r="BC74" s="1163">
        <v>0.3</v>
      </c>
      <c r="BD74" s="1163">
        <v>0.3</v>
      </c>
      <c r="BE74" s="1163">
        <v>0.3</v>
      </c>
      <c r="BF74" s="1163">
        <v>0.3</v>
      </c>
      <c r="BG74" s="1163">
        <v>0.3</v>
      </c>
      <c r="BH74" s="1170">
        <v>0.3</v>
      </c>
      <c r="BI74" s="1163">
        <v>0.3</v>
      </c>
      <c r="BJ74" s="1163">
        <v>0.3</v>
      </c>
      <c r="BK74" s="1164"/>
      <c r="BL74" s="1164"/>
      <c r="BM74" s="1164"/>
      <c r="BO74" s="1157">
        <v>1.3</v>
      </c>
      <c r="BP74" s="1161" t="s">
        <v>2121</v>
      </c>
      <c r="BQ74" s="1158" t="s">
        <v>1</v>
      </c>
      <c r="BR74" s="1163">
        <v>0.3</v>
      </c>
      <c r="BS74" s="1163">
        <v>0.3</v>
      </c>
      <c r="BT74" s="1163">
        <v>0.3</v>
      </c>
      <c r="BU74" s="1163">
        <v>0.3</v>
      </c>
      <c r="BV74" s="1163">
        <v>0.3</v>
      </c>
      <c r="BW74" s="1163">
        <v>0.3</v>
      </c>
      <c r="BX74" s="1163">
        <v>0.3</v>
      </c>
      <c r="BY74" s="1170">
        <v>0.3</v>
      </c>
      <c r="BZ74" s="1163">
        <v>0.3</v>
      </c>
      <c r="CA74" s="1163">
        <v>0.3</v>
      </c>
      <c r="CB74" s="1164"/>
      <c r="CC74" s="1164"/>
      <c r="CD74" s="1164"/>
      <c r="CE74" s="1382"/>
      <c r="CG74" s="1157">
        <v>1.3</v>
      </c>
      <c r="CH74" s="1161" t="s">
        <v>2121</v>
      </c>
      <c r="CI74" s="1158" t="s">
        <v>1</v>
      </c>
      <c r="CJ74" s="1531">
        <f t="shared" si="19"/>
        <v>0.3</v>
      </c>
      <c r="CK74" s="1531">
        <f t="shared" si="20"/>
        <v>0.3</v>
      </c>
      <c r="CL74" s="1531">
        <f t="shared" si="21"/>
        <v>0.3</v>
      </c>
      <c r="CM74" s="1531">
        <f t="shared" si="22"/>
        <v>0.3</v>
      </c>
      <c r="CN74" s="1531">
        <f t="shared" si="23"/>
        <v>0.3</v>
      </c>
      <c r="CO74" s="1531">
        <f t="shared" si="24"/>
        <v>0.3</v>
      </c>
      <c r="CP74" s="1531">
        <f t="shared" si="25"/>
        <v>0.3</v>
      </c>
      <c r="CQ74" s="1543">
        <f t="shared" si="26"/>
        <v>0.3</v>
      </c>
      <c r="CR74" s="1531">
        <f t="shared" si="27"/>
        <v>0.3</v>
      </c>
      <c r="CS74" s="1531">
        <f t="shared" si="28"/>
        <v>0.3</v>
      </c>
      <c r="CT74" s="1533">
        <f t="shared" si="13"/>
        <v>0</v>
      </c>
      <c r="CU74" s="1533">
        <f t="shared" si="14"/>
        <v>0</v>
      </c>
      <c r="CV74" s="1533">
        <f t="shared" si="15"/>
        <v>0</v>
      </c>
      <c r="CX74" s="1157">
        <v>1.3</v>
      </c>
      <c r="CY74" s="1161" t="s">
        <v>2121</v>
      </c>
      <c r="CZ74" s="1158" t="s">
        <v>1</v>
      </c>
      <c r="DA74" s="1642">
        <v>0.15</v>
      </c>
      <c r="DB74" s="1520"/>
      <c r="DC74" s="1520"/>
      <c r="DD74" s="1520"/>
      <c r="DE74" s="1520"/>
      <c r="DF74" s="1520"/>
      <c r="DG74" s="1520"/>
      <c r="DH74" s="1576"/>
      <c r="DI74" s="1520"/>
      <c r="DJ74" s="1520"/>
      <c r="DK74" s="1623"/>
      <c r="DL74" s="1623"/>
      <c r="DM74" s="1623"/>
    </row>
    <row r="75" spans="2:117">
      <c r="B75" s="1136" t="str">
        <f t="shared" si="47"/>
        <v>1.3.1</v>
      </c>
      <c r="C75" s="1158" t="str">
        <f t="shared" si="67"/>
        <v>維持管理に配慮した設計</v>
      </c>
      <c r="D75" s="1146">
        <f t="shared" ref="D75:E77" si="71">IF(I$74&gt;0,G75/I$74,0)</f>
        <v>0.5</v>
      </c>
      <c r="E75" s="1146">
        <f t="shared" si="71"/>
        <v>0</v>
      </c>
      <c r="G75" s="1156">
        <f t="shared" si="43"/>
        <v>0.5</v>
      </c>
      <c r="H75" s="1156">
        <f t="shared" si="44"/>
        <v>0</v>
      </c>
      <c r="I75" s="1156"/>
      <c r="J75" s="1156"/>
      <c r="K75" s="1156">
        <f>IF(スコア!Q75=0,0,1)</f>
        <v>1</v>
      </c>
      <c r="L75" s="1156">
        <f>IF(スコア!S79=0,0,1)</f>
        <v>0</v>
      </c>
      <c r="M75" s="1156">
        <f t="shared" si="45"/>
        <v>0.5</v>
      </c>
      <c r="N75" s="1156">
        <f t="shared" si="46"/>
        <v>0</v>
      </c>
      <c r="P75" s="1157" t="str">
        <f t="shared" si="68"/>
        <v>1.3.1</v>
      </c>
      <c r="Q75" s="1157" t="str">
        <f t="shared" si="69"/>
        <v xml:space="preserve"> Q2 1.3</v>
      </c>
      <c r="R75" s="1158" t="str">
        <f t="shared" si="70"/>
        <v>維持管理に配慮した設計</v>
      </c>
      <c r="S75" s="1585">
        <f t="shared" si="52"/>
        <v>0.5</v>
      </c>
      <c r="T75" s="1585">
        <f t="shared" si="53"/>
        <v>0.5</v>
      </c>
      <c r="U75" s="1585">
        <f t="shared" si="54"/>
        <v>0.5</v>
      </c>
      <c r="V75" s="1585">
        <f t="shared" si="55"/>
        <v>0.5</v>
      </c>
      <c r="W75" s="1585">
        <f t="shared" si="56"/>
        <v>0.5</v>
      </c>
      <c r="X75" s="1585">
        <f t="shared" si="57"/>
        <v>0.5</v>
      </c>
      <c r="Y75" s="1585">
        <f t="shared" si="58"/>
        <v>0.5</v>
      </c>
      <c r="Z75" s="1589">
        <f t="shared" si="59"/>
        <v>0.5</v>
      </c>
      <c r="AA75" s="1585">
        <f t="shared" si="60"/>
        <v>0.5</v>
      </c>
      <c r="AB75" s="1585">
        <f t="shared" si="61"/>
        <v>0.5</v>
      </c>
      <c r="AC75" s="1586">
        <f t="shared" si="62"/>
        <v>0</v>
      </c>
      <c r="AD75" s="1586">
        <f t="shared" si="63"/>
        <v>0</v>
      </c>
      <c r="AE75" s="1586">
        <f t="shared" si="64"/>
        <v>0</v>
      </c>
      <c r="AG75" s="1157" t="s">
        <v>2130</v>
      </c>
      <c r="AH75" s="1161" t="s">
        <v>1690</v>
      </c>
      <c r="AI75" s="422" t="s">
        <v>1691</v>
      </c>
      <c r="AJ75" s="1194">
        <v>0.5</v>
      </c>
      <c r="AK75" s="1194">
        <v>0.5</v>
      </c>
      <c r="AL75" s="1194">
        <v>0.5</v>
      </c>
      <c r="AM75" s="1169">
        <v>0.5</v>
      </c>
      <c r="AN75" s="1169">
        <v>0.5</v>
      </c>
      <c r="AO75" s="1194">
        <v>0.5</v>
      </c>
      <c r="AP75" s="1169">
        <v>0.5</v>
      </c>
      <c r="AQ75" s="1194">
        <v>0.5</v>
      </c>
      <c r="AR75" s="1169">
        <v>0.5</v>
      </c>
      <c r="AS75" s="1163">
        <v>0.5</v>
      </c>
      <c r="AT75" s="1164">
        <v>0</v>
      </c>
      <c r="AU75" s="1164">
        <v>0</v>
      </c>
      <c r="AV75" s="1164">
        <v>0</v>
      </c>
      <c r="AX75" s="1157" t="s">
        <v>2130</v>
      </c>
      <c r="AY75" s="1161" t="s">
        <v>1690</v>
      </c>
      <c r="AZ75" s="1158" t="s">
        <v>1692</v>
      </c>
      <c r="BA75" s="1163">
        <v>0.5</v>
      </c>
      <c r="BB75" s="1163">
        <v>0.5</v>
      </c>
      <c r="BC75" s="1163">
        <v>0.5</v>
      </c>
      <c r="BD75" s="1163">
        <v>0.5</v>
      </c>
      <c r="BE75" s="1163">
        <v>0.5</v>
      </c>
      <c r="BF75" s="1163">
        <v>0.5</v>
      </c>
      <c r="BG75" s="1163">
        <v>0.5</v>
      </c>
      <c r="BH75" s="1170">
        <v>0.5</v>
      </c>
      <c r="BI75" s="1163">
        <v>0.5</v>
      </c>
      <c r="BJ75" s="1163">
        <v>0.5</v>
      </c>
      <c r="BK75" s="1164"/>
      <c r="BL75" s="1164"/>
      <c r="BM75" s="1164"/>
      <c r="BO75" s="1157" t="s">
        <v>2130</v>
      </c>
      <c r="BP75" s="1161" t="s">
        <v>1690</v>
      </c>
      <c r="BQ75" s="1158" t="s">
        <v>1692</v>
      </c>
      <c r="BR75" s="1163">
        <v>0.5</v>
      </c>
      <c r="BS75" s="1163">
        <v>0.5</v>
      </c>
      <c r="BT75" s="1163">
        <v>0.5</v>
      </c>
      <c r="BU75" s="1163">
        <v>0.5</v>
      </c>
      <c r="BV75" s="1163">
        <v>0.5</v>
      </c>
      <c r="BW75" s="1163">
        <v>0.5</v>
      </c>
      <c r="BX75" s="1163">
        <v>0.5</v>
      </c>
      <c r="BY75" s="1170">
        <v>0.5</v>
      </c>
      <c r="BZ75" s="1163">
        <v>0.5</v>
      </c>
      <c r="CA75" s="1163">
        <v>0.5</v>
      </c>
      <c r="CB75" s="1164"/>
      <c r="CC75" s="1164"/>
      <c r="CD75" s="1164"/>
      <c r="CE75" s="1382"/>
      <c r="CG75" s="1157" t="s">
        <v>2130</v>
      </c>
      <c r="CH75" s="1161" t="s">
        <v>1690</v>
      </c>
      <c r="CI75" s="1158" t="s">
        <v>1692</v>
      </c>
      <c r="CJ75" s="1531">
        <f t="shared" si="19"/>
        <v>0.5</v>
      </c>
      <c r="CK75" s="1531">
        <f t="shared" si="20"/>
        <v>0.5</v>
      </c>
      <c r="CL75" s="1531">
        <f t="shared" si="21"/>
        <v>0.5</v>
      </c>
      <c r="CM75" s="1531">
        <f t="shared" si="22"/>
        <v>0.5</v>
      </c>
      <c r="CN75" s="1531">
        <f t="shared" si="23"/>
        <v>0.5</v>
      </c>
      <c r="CO75" s="1531">
        <f t="shared" si="24"/>
        <v>0.5</v>
      </c>
      <c r="CP75" s="1531">
        <f t="shared" si="25"/>
        <v>0.5</v>
      </c>
      <c r="CQ75" s="1543">
        <f t="shared" si="26"/>
        <v>0.5</v>
      </c>
      <c r="CR75" s="1531">
        <f t="shared" si="27"/>
        <v>0.5</v>
      </c>
      <c r="CS75" s="1531">
        <f t="shared" si="28"/>
        <v>0.5</v>
      </c>
      <c r="CT75" s="1533">
        <f t="shared" si="13"/>
        <v>0</v>
      </c>
      <c r="CU75" s="1533">
        <f t="shared" si="14"/>
        <v>0</v>
      </c>
      <c r="CV75" s="1533">
        <f t="shared" si="15"/>
        <v>0</v>
      </c>
      <c r="CX75" s="1157" t="s">
        <v>2130</v>
      </c>
      <c r="CY75" s="1161" t="s">
        <v>1690</v>
      </c>
      <c r="CZ75" s="1158" t="s">
        <v>1692</v>
      </c>
      <c r="DA75" s="1642">
        <v>1</v>
      </c>
      <c r="DB75" s="1520"/>
      <c r="DC75" s="1520"/>
      <c r="DD75" s="1520"/>
      <c r="DE75" s="1520"/>
      <c r="DF75" s="1520"/>
      <c r="DG75" s="1520"/>
      <c r="DH75" s="1576"/>
      <c r="DI75" s="1520"/>
      <c r="DJ75" s="1520"/>
      <c r="DK75" s="1623"/>
      <c r="DL75" s="1623"/>
      <c r="DM75" s="1623"/>
    </row>
    <row r="76" spans="2:117">
      <c r="B76" s="1136" t="str">
        <f t="shared" si="47"/>
        <v>1.3.2</v>
      </c>
      <c r="C76" s="1158" t="str">
        <f t="shared" si="67"/>
        <v>維持管理用機能の確保</v>
      </c>
      <c r="D76" s="1146">
        <f t="shared" si="71"/>
        <v>0.5</v>
      </c>
      <c r="E76" s="1146">
        <f t="shared" si="71"/>
        <v>0</v>
      </c>
      <c r="G76" s="1156">
        <f t="shared" ref="G76:G107" si="72">K76*M76</f>
        <v>0.5</v>
      </c>
      <c r="H76" s="1156">
        <f t="shared" ref="H76:H107" si="73">L76*N76</f>
        <v>0</v>
      </c>
      <c r="I76" s="1156"/>
      <c r="J76" s="1156"/>
      <c r="K76" s="1156">
        <f>IF(スコア!Q76=0,0,1)</f>
        <v>1</v>
      </c>
      <c r="L76" s="1156">
        <f>IF(スコア!S80=0,0,1)</f>
        <v>0</v>
      </c>
      <c r="M76" s="1156">
        <f t="shared" ref="M76:M107" si="74">SUMPRODUCT($S$7:$AB$7,S76:AB76)</f>
        <v>0.5</v>
      </c>
      <c r="N76" s="1156">
        <f t="shared" ref="N76:N98" si="75">(AC$7*AC76)+(AD$7*AD76)+(AE$7*AE76)</f>
        <v>0</v>
      </c>
      <c r="P76" s="1157" t="str">
        <f t="shared" si="68"/>
        <v>1.3.2</v>
      </c>
      <c r="Q76" s="1157" t="str">
        <f t="shared" si="69"/>
        <v xml:space="preserve"> Q2 1.3</v>
      </c>
      <c r="R76" s="1158" t="str">
        <f t="shared" si="70"/>
        <v>維持管理用機能の確保</v>
      </c>
      <c r="S76" s="1585">
        <f t="shared" si="52"/>
        <v>0.5</v>
      </c>
      <c r="T76" s="1585">
        <f t="shared" si="53"/>
        <v>0.5</v>
      </c>
      <c r="U76" s="1585">
        <f t="shared" si="54"/>
        <v>0.5</v>
      </c>
      <c r="V76" s="1585">
        <f t="shared" si="55"/>
        <v>0.5</v>
      </c>
      <c r="W76" s="1585">
        <f t="shared" si="56"/>
        <v>0.5</v>
      </c>
      <c r="X76" s="1585">
        <f t="shared" si="57"/>
        <v>0.5</v>
      </c>
      <c r="Y76" s="1585">
        <f t="shared" si="58"/>
        <v>0.5</v>
      </c>
      <c r="Z76" s="1589">
        <f t="shared" si="59"/>
        <v>0.5</v>
      </c>
      <c r="AA76" s="1585">
        <f t="shared" si="60"/>
        <v>0.5</v>
      </c>
      <c r="AB76" s="1585">
        <f t="shared" si="61"/>
        <v>0.5</v>
      </c>
      <c r="AC76" s="1586">
        <f t="shared" si="62"/>
        <v>0</v>
      </c>
      <c r="AD76" s="1586">
        <f t="shared" si="63"/>
        <v>0</v>
      </c>
      <c r="AE76" s="1586">
        <f t="shared" si="64"/>
        <v>0</v>
      </c>
      <c r="AG76" s="1157" t="s">
        <v>1693</v>
      </c>
      <c r="AH76" s="1161" t="s">
        <v>1690</v>
      </c>
      <c r="AI76" s="422" t="s">
        <v>1694</v>
      </c>
      <c r="AJ76" s="1194">
        <v>0.3</v>
      </c>
      <c r="AK76" s="1194">
        <v>0.3</v>
      </c>
      <c r="AL76" s="1194">
        <v>0.3</v>
      </c>
      <c r="AM76" s="1169">
        <v>0.3</v>
      </c>
      <c r="AN76" s="1169">
        <v>0.3</v>
      </c>
      <c r="AO76" s="1194">
        <v>0.3</v>
      </c>
      <c r="AP76" s="1169">
        <v>0.3</v>
      </c>
      <c r="AQ76" s="1194">
        <v>0.3</v>
      </c>
      <c r="AR76" s="1169">
        <v>0.3</v>
      </c>
      <c r="AS76" s="1163">
        <v>0.3</v>
      </c>
      <c r="AT76" s="1164">
        <v>0</v>
      </c>
      <c r="AU76" s="1164">
        <v>0</v>
      </c>
      <c r="AV76" s="1164">
        <v>0</v>
      </c>
      <c r="AX76" s="1157" t="s">
        <v>1693</v>
      </c>
      <c r="AY76" s="1161" t="s">
        <v>1690</v>
      </c>
      <c r="AZ76" s="1158" t="s">
        <v>1695</v>
      </c>
      <c r="BA76" s="1163">
        <v>0.5</v>
      </c>
      <c r="BB76" s="1163">
        <v>0.5</v>
      </c>
      <c r="BC76" s="1163">
        <v>0.5</v>
      </c>
      <c r="BD76" s="1163">
        <v>0.5</v>
      </c>
      <c r="BE76" s="1163">
        <v>0.5</v>
      </c>
      <c r="BF76" s="1163">
        <v>0.5</v>
      </c>
      <c r="BG76" s="1163">
        <v>0.5</v>
      </c>
      <c r="BH76" s="1170">
        <v>0.5</v>
      </c>
      <c r="BI76" s="1163">
        <v>0.5</v>
      </c>
      <c r="BJ76" s="1163">
        <v>0.5</v>
      </c>
      <c r="BK76" s="1164"/>
      <c r="BL76" s="1164"/>
      <c r="BM76" s="1164"/>
      <c r="BO76" s="1157" t="s">
        <v>1693</v>
      </c>
      <c r="BP76" s="1161" t="s">
        <v>1690</v>
      </c>
      <c r="BQ76" s="1158" t="s">
        <v>1695</v>
      </c>
      <c r="BR76" s="1163">
        <v>0.5</v>
      </c>
      <c r="BS76" s="1163">
        <v>0.5</v>
      </c>
      <c r="BT76" s="1163">
        <v>0.5</v>
      </c>
      <c r="BU76" s="1163">
        <v>0.5</v>
      </c>
      <c r="BV76" s="1163">
        <v>0.5</v>
      </c>
      <c r="BW76" s="1163">
        <v>0.5</v>
      </c>
      <c r="BX76" s="1163">
        <v>0.5</v>
      </c>
      <c r="BY76" s="1170">
        <v>0.5</v>
      </c>
      <c r="BZ76" s="1163">
        <v>0.5</v>
      </c>
      <c r="CA76" s="1163">
        <v>0.5</v>
      </c>
      <c r="CB76" s="1164"/>
      <c r="CC76" s="1164"/>
      <c r="CD76" s="1164"/>
      <c r="CE76" s="1382"/>
      <c r="CG76" s="1157" t="s">
        <v>1693</v>
      </c>
      <c r="CH76" s="1161" t="s">
        <v>1690</v>
      </c>
      <c r="CI76" s="1158" t="s">
        <v>1695</v>
      </c>
      <c r="CJ76" s="1531">
        <f t="shared" si="19"/>
        <v>0.5</v>
      </c>
      <c r="CK76" s="1531">
        <f t="shared" ref="CK76:CK141" si="76">BS76</f>
        <v>0.5</v>
      </c>
      <c r="CL76" s="1531">
        <f t="shared" ref="CL76:CL141" si="77">BT76</f>
        <v>0.5</v>
      </c>
      <c r="CM76" s="1531">
        <f t="shared" ref="CM76:CM141" si="78">BU76</f>
        <v>0.5</v>
      </c>
      <c r="CN76" s="1531">
        <f t="shared" ref="CN76:CN141" si="79">BV76</f>
        <v>0.5</v>
      </c>
      <c r="CO76" s="1531">
        <f t="shared" ref="CO76:CO141" si="80">BW76</f>
        <v>0.5</v>
      </c>
      <c r="CP76" s="1531">
        <f t="shared" ref="CP76:CP141" si="81">BX76</f>
        <v>0.5</v>
      </c>
      <c r="CQ76" s="1543">
        <f t="shared" ref="CQ76:CQ141" si="82">BY76</f>
        <v>0.5</v>
      </c>
      <c r="CR76" s="1531">
        <f t="shared" ref="CR76:CR141" si="83">BZ76</f>
        <v>0.5</v>
      </c>
      <c r="CS76" s="1531">
        <f t="shared" ref="CS76:CS141" si="84">CA76</f>
        <v>0.5</v>
      </c>
      <c r="CT76" s="1533">
        <f t="shared" ref="CT76:CT141" si="85">CB76</f>
        <v>0</v>
      </c>
      <c r="CU76" s="1533">
        <f t="shared" ref="CU76:CU141" si="86">CC76</f>
        <v>0</v>
      </c>
      <c r="CV76" s="1533">
        <f t="shared" ref="CV76:CV141" si="87">CD76</f>
        <v>0</v>
      </c>
      <c r="CX76" s="1157" t="s">
        <v>1693</v>
      </c>
      <c r="CY76" s="1161" t="s">
        <v>1690</v>
      </c>
      <c r="CZ76" s="1158" t="s">
        <v>1695</v>
      </c>
      <c r="DA76" s="1642">
        <v>0</v>
      </c>
      <c r="DB76" s="1520"/>
      <c r="DC76" s="1520"/>
      <c r="DD76" s="1520"/>
      <c r="DE76" s="1520"/>
      <c r="DF76" s="1520"/>
      <c r="DG76" s="1520"/>
      <c r="DH76" s="1576"/>
      <c r="DI76" s="1520"/>
      <c r="DJ76" s="1520"/>
      <c r="DK76" s="1623"/>
      <c r="DL76" s="1623"/>
      <c r="DM76" s="1623"/>
    </row>
    <row r="77" spans="2:117" hidden="1">
      <c r="B77" s="1136">
        <f t="shared" si="47"/>
        <v>0</v>
      </c>
      <c r="C77" s="1158">
        <f t="shared" si="67"/>
        <v>0</v>
      </c>
      <c r="D77" s="1146">
        <f t="shared" si="71"/>
        <v>0</v>
      </c>
      <c r="E77" s="1146">
        <f t="shared" si="71"/>
        <v>0</v>
      </c>
      <c r="G77" s="1156">
        <f t="shared" si="72"/>
        <v>0</v>
      </c>
      <c r="H77" s="1156">
        <f t="shared" si="73"/>
        <v>0</v>
      </c>
      <c r="I77" s="1156"/>
      <c r="J77" s="1156"/>
      <c r="K77" s="1156">
        <f>IF(スコア!Q77=0,0,1)</f>
        <v>1</v>
      </c>
      <c r="L77" s="1156">
        <f>IF(スコア!S81=0,0,1)</f>
        <v>0</v>
      </c>
      <c r="M77" s="1156">
        <f t="shared" si="74"/>
        <v>0</v>
      </c>
      <c r="N77" s="1156">
        <f t="shared" si="75"/>
        <v>0</v>
      </c>
      <c r="P77" s="1157">
        <f t="shared" si="68"/>
        <v>0</v>
      </c>
      <c r="Q77" s="1157" t="str">
        <f t="shared" si="69"/>
        <v>0</v>
      </c>
      <c r="R77" s="1158">
        <f t="shared" si="70"/>
        <v>0</v>
      </c>
      <c r="S77" s="1585">
        <f t="shared" si="52"/>
        <v>0</v>
      </c>
      <c r="T77" s="1585">
        <f t="shared" si="53"/>
        <v>0</v>
      </c>
      <c r="U77" s="1585">
        <f t="shared" si="54"/>
        <v>0</v>
      </c>
      <c r="V77" s="1585">
        <f t="shared" si="55"/>
        <v>0</v>
      </c>
      <c r="W77" s="1585">
        <f t="shared" si="56"/>
        <v>0</v>
      </c>
      <c r="X77" s="1585">
        <f t="shared" si="57"/>
        <v>0</v>
      </c>
      <c r="Y77" s="1585">
        <f t="shared" si="58"/>
        <v>0</v>
      </c>
      <c r="Z77" s="1589">
        <f t="shared" si="59"/>
        <v>0</v>
      </c>
      <c r="AA77" s="1585">
        <f t="shared" si="60"/>
        <v>0</v>
      </c>
      <c r="AB77" s="1585">
        <f t="shared" si="61"/>
        <v>0</v>
      </c>
      <c r="AC77" s="1586">
        <f t="shared" si="62"/>
        <v>0</v>
      </c>
      <c r="AD77" s="1586">
        <f t="shared" si="63"/>
        <v>0</v>
      </c>
      <c r="AE77" s="1586">
        <f t="shared" si="64"/>
        <v>0</v>
      </c>
      <c r="AG77" s="1157" t="s">
        <v>1696</v>
      </c>
      <c r="AH77" s="1161" t="s">
        <v>2269</v>
      </c>
      <c r="AI77" s="422" t="s">
        <v>4</v>
      </c>
      <c r="AJ77" s="1194">
        <v>0.2</v>
      </c>
      <c r="AK77" s="1194">
        <v>0.2</v>
      </c>
      <c r="AL77" s="1194">
        <v>0.2</v>
      </c>
      <c r="AM77" s="1169">
        <v>0.2</v>
      </c>
      <c r="AN77" s="1169">
        <v>0.2</v>
      </c>
      <c r="AO77" s="1194">
        <v>0.2</v>
      </c>
      <c r="AP77" s="1169">
        <v>0.2</v>
      </c>
      <c r="AQ77" s="1194">
        <v>0.2</v>
      </c>
      <c r="AR77" s="1169">
        <v>0.2</v>
      </c>
      <c r="AS77" s="1163">
        <v>0.2</v>
      </c>
      <c r="AT77" s="1164">
        <v>0</v>
      </c>
      <c r="AU77" s="1164">
        <v>0</v>
      </c>
      <c r="AV77" s="1164">
        <v>0</v>
      </c>
      <c r="AX77" s="1157">
        <v>0</v>
      </c>
      <c r="AY77" s="1161" t="s">
        <v>2270</v>
      </c>
      <c r="AZ77" s="1158"/>
      <c r="BA77" s="1163"/>
      <c r="BB77" s="1163"/>
      <c r="BC77" s="1163"/>
      <c r="BD77" s="1163"/>
      <c r="BE77" s="1163"/>
      <c r="BF77" s="1163"/>
      <c r="BG77" s="1163"/>
      <c r="BH77" s="1200"/>
      <c r="BI77" s="1163"/>
      <c r="BJ77" s="1163"/>
      <c r="BK77" s="1164"/>
      <c r="BL77" s="1164"/>
      <c r="BM77" s="1164"/>
      <c r="BO77" s="1157">
        <v>0</v>
      </c>
      <c r="BP77" s="1161" t="s">
        <v>2270</v>
      </c>
      <c r="BQ77" s="1158"/>
      <c r="BR77" s="1163"/>
      <c r="BS77" s="1163"/>
      <c r="BT77" s="1163"/>
      <c r="BU77" s="1163"/>
      <c r="BV77" s="1163"/>
      <c r="BW77" s="1163"/>
      <c r="BX77" s="1163"/>
      <c r="BY77" s="1200"/>
      <c r="BZ77" s="1163"/>
      <c r="CA77" s="1163"/>
      <c r="CB77" s="1164"/>
      <c r="CC77" s="1164"/>
      <c r="CD77" s="1164"/>
      <c r="CE77" s="1382"/>
      <c r="CG77" s="1157">
        <v>0</v>
      </c>
      <c r="CH77" s="1161" t="s">
        <v>2270</v>
      </c>
      <c r="CI77" s="1158"/>
      <c r="CJ77" s="1531">
        <f t="shared" ref="CJ77:CJ142" si="88">BR77</f>
        <v>0</v>
      </c>
      <c r="CK77" s="1531">
        <f t="shared" si="76"/>
        <v>0</v>
      </c>
      <c r="CL77" s="1531">
        <f t="shared" si="77"/>
        <v>0</v>
      </c>
      <c r="CM77" s="1531">
        <f t="shared" si="78"/>
        <v>0</v>
      </c>
      <c r="CN77" s="1531">
        <f t="shared" si="79"/>
        <v>0</v>
      </c>
      <c r="CO77" s="1531">
        <f t="shared" si="80"/>
        <v>0</v>
      </c>
      <c r="CP77" s="1531">
        <f t="shared" si="81"/>
        <v>0</v>
      </c>
      <c r="CQ77" s="1544">
        <f t="shared" si="82"/>
        <v>0</v>
      </c>
      <c r="CR77" s="1531">
        <f t="shared" si="83"/>
        <v>0</v>
      </c>
      <c r="CS77" s="1531">
        <f t="shared" si="84"/>
        <v>0</v>
      </c>
      <c r="CT77" s="1533">
        <f t="shared" si="85"/>
        <v>0</v>
      </c>
      <c r="CU77" s="1533">
        <f t="shared" si="86"/>
        <v>0</v>
      </c>
      <c r="CV77" s="1533">
        <f t="shared" si="87"/>
        <v>0</v>
      </c>
      <c r="CX77" s="1157">
        <v>0</v>
      </c>
      <c r="CY77" s="1161" t="s">
        <v>2270</v>
      </c>
      <c r="CZ77" s="1158"/>
      <c r="DA77" s="1520">
        <f t="shared" ref="DA77:DA139" si="89">BR77</f>
        <v>0</v>
      </c>
      <c r="DB77" s="1520"/>
      <c r="DC77" s="1520"/>
      <c r="DD77" s="1520"/>
      <c r="DE77" s="1520"/>
      <c r="DF77" s="1520"/>
      <c r="DG77" s="1520"/>
      <c r="DH77" s="1631"/>
      <c r="DI77" s="1520"/>
      <c r="DJ77" s="1520"/>
      <c r="DK77" s="1623"/>
      <c r="DL77" s="1623"/>
      <c r="DM77" s="1623"/>
    </row>
    <row r="78" spans="2:117">
      <c r="B78" s="1136">
        <f t="shared" ref="B78:B109" si="90">P78</f>
        <v>2</v>
      </c>
      <c r="C78" s="1148" t="str">
        <f t="shared" si="67"/>
        <v>耐用性・信頼性</v>
      </c>
      <c r="D78" s="1144">
        <f>IF(I$62=0,0,G78/I$62)</f>
        <v>0.3</v>
      </c>
      <c r="E78" s="1145">
        <f>IF(J$62=0,0,H78/J$62)</f>
        <v>0</v>
      </c>
      <c r="G78" s="1145">
        <f t="shared" si="72"/>
        <v>0.3</v>
      </c>
      <c r="H78" s="1145">
        <f t="shared" si="73"/>
        <v>0</v>
      </c>
      <c r="I78" s="1145">
        <f>G79+G82++G89+G93</f>
        <v>1</v>
      </c>
      <c r="J78" s="1145">
        <f>H79+H82++H89+H93</f>
        <v>0</v>
      </c>
      <c r="K78" s="1145">
        <f>IF(スコア!Q78=0,0,1)</f>
        <v>1</v>
      </c>
      <c r="L78" s="1145">
        <f>IF(スコア!S78=0,0,1)</f>
        <v>0</v>
      </c>
      <c r="M78" s="1145">
        <f t="shared" si="74"/>
        <v>0.3</v>
      </c>
      <c r="N78" s="1145">
        <f t="shared" si="75"/>
        <v>0</v>
      </c>
      <c r="P78" s="1147">
        <f t="shared" si="68"/>
        <v>2</v>
      </c>
      <c r="Q78" s="1147" t="str">
        <f t="shared" si="69"/>
        <v xml:space="preserve"> Q2</v>
      </c>
      <c r="R78" s="1148" t="str">
        <f t="shared" si="70"/>
        <v>耐用性・信頼性</v>
      </c>
      <c r="S78" s="1582">
        <f t="shared" si="52"/>
        <v>0.3</v>
      </c>
      <c r="T78" s="1582">
        <f t="shared" si="53"/>
        <v>0.3</v>
      </c>
      <c r="U78" s="1582">
        <f t="shared" si="54"/>
        <v>0.3</v>
      </c>
      <c r="V78" s="1582">
        <f t="shared" si="55"/>
        <v>0.3</v>
      </c>
      <c r="W78" s="1582">
        <f t="shared" si="56"/>
        <v>0.3</v>
      </c>
      <c r="X78" s="1582">
        <f t="shared" si="57"/>
        <v>0.3</v>
      </c>
      <c r="Y78" s="1582">
        <f t="shared" si="58"/>
        <v>0.3</v>
      </c>
      <c r="Z78" s="1596">
        <f t="shared" si="59"/>
        <v>0.3</v>
      </c>
      <c r="AA78" s="1582">
        <f t="shared" si="60"/>
        <v>0.3</v>
      </c>
      <c r="AB78" s="1582">
        <f t="shared" si="61"/>
        <v>0.3</v>
      </c>
      <c r="AC78" s="1584">
        <f t="shared" si="62"/>
        <v>0</v>
      </c>
      <c r="AD78" s="1582">
        <f t="shared" si="63"/>
        <v>0</v>
      </c>
      <c r="AE78" s="1582">
        <f t="shared" si="64"/>
        <v>0</v>
      </c>
      <c r="AG78" s="1147">
        <v>2</v>
      </c>
      <c r="AH78" s="1151" t="s">
        <v>2119</v>
      </c>
      <c r="AI78" s="1148" t="s">
        <v>1697</v>
      </c>
      <c r="AJ78" s="1149">
        <v>0.3</v>
      </c>
      <c r="AK78" s="1149">
        <v>0.3</v>
      </c>
      <c r="AL78" s="1149">
        <v>0.3</v>
      </c>
      <c r="AM78" s="1149">
        <v>0.3</v>
      </c>
      <c r="AN78" s="1149">
        <v>0.3</v>
      </c>
      <c r="AO78" s="1149">
        <v>0.3</v>
      </c>
      <c r="AP78" s="1149">
        <v>0.3</v>
      </c>
      <c r="AQ78" s="1201">
        <v>0.3</v>
      </c>
      <c r="AR78" s="1149">
        <v>0.3</v>
      </c>
      <c r="AS78" s="1152">
        <v>0.3</v>
      </c>
      <c r="AT78" s="1153">
        <v>0</v>
      </c>
      <c r="AU78" s="1152">
        <v>0</v>
      </c>
      <c r="AV78" s="1152">
        <v>0</v>
      </c>
      <c r="AX78" s="1147">
        <v>2</v>
      </c>
      <c r="AY78" s="1151" t="s">
        <v>2119</v>
      </c>
      <c r="AZ78" s="1148" t="s">
        <v>1676</v>
      </c>
      <c r="BA78" s="1152">
        <v>0.3</v>
      </c>
      <c r="BB78" s="1152">
        <v>0.3</v>
      </c>
      <c r="BC78" s="1152">
        <v>0.3</v>
      </c>
      <c r="BD78" s="1152">
        <v>0.3</v>
      </c>
      <c r="BE78" s="1152">
        <v>0.3</v>
      </c>
      <c r="BF78" s="1152">
        <v>0.3</v>
      </c>
      <c r="BG78" s="1152">
        <v>0.3</v>
      </c>
      <c r="BH78" s="1202">
        <v>0.3</v>
      </c>
      <c r="BI78" s="1152">
        <v>0.3</v>
      </c>
      <c r="BJ78" s="1152">
        <v>0.3</v>
      </c>
      <c r="BK78" s="1153"/>
      <c r="BL78" s="1152"/>
      <c r="BM78" s="1152"/>
      <c r="BO78" s="1147">
        <v>2</v>
      </c>
      <c r="BP78" s="1151" t="s">
        <v>2119</v>
      </c>
      <c r="BQ78" s="1148" t="s">
        <v>1697</v>
      </c>
      <c r="BR78" s="1152">
        <v>0.3</v>
      </c>
      <c r="BS78" s="1152">
        <v>0.3</v>
      </c>
      <c r="BT78" s="1152">
        <v>0.3</v>
      </c>
      <c r="BU78" s="1152">
        <v>0.3</v>
      </c>
      <c r="BV78" s="1152">
        <v>0.3</v>
      </c>
      <c r="BW78" s="1152">
        <v>0.3</v>
      </c>
      <c r="BX78" s="1152">
        <v>0.3</v>
      </c>
      <c r="BY78" s="1152">
        <v>0.3</v>
      </c>
      <c r="BZ78" s="1152">
        <v>0.3</v>
      </c>
      <c r="CA78" s="1152">
        <v>0.3</v>
      </c>
      <c r="CB78" s="1153"/>
      <c r="CC78" s="1152"/>
      <c r="CD78" s="1152"/>
      <c r="CE78" s="1381"/>
      <c r="CG78" s="1147">
        <v>2</v>
      </c>
      <c r="CH78" s="1151" t="s">
        <v>2119</v>
      </c>
      <c r="CI78" s="1148" t="s">
        <v>1697</v>
      </c>
      <c r="CJ78" s="1518">
        <v>0.25</v>
      </c>
      <c r="CK78" s="1518">
        <v>0.25</v>
      </c>
      <c r="CL78" s="1518">
        <v>0.25</v>
      </c>
      <c r="CM78" s="1518">
        <v>0.25</v>
      </c>
      <c r="CN78" s="1518">
        <v>0.25</v>
      </c>
      <c r="CO78" s="1518">
        <v>0.25</v>
      </c>
      <c r="CP78" s="1518">
        <v>0.25</v>
      </c>
      <c r="CQ78" s="1518">
        <v>0.25</v>
      </c>
      <c r="CR78" s="1518">
        <v>0.25</v>
      </c>
      <c r="CS78" s="1518">
        <v>0.25</v>
      </c>
      <c r="CT78" s="1519">
        <f t="shared" si="85"/>
        <v>0</v>
      </c>
      <c r="CU78" s="1518">
        <f t="shared" si="86"/>
        <v>0</v>
      </c>
      <c r="CV78" s="1518">
        <f t="shared" si="87"/>
        <v>0</v>
      </c>
      <c r="CX78" s="1147">
        <v>2</v>
      </c>
      <c r="CY78" s="1151" t="s">
        <v>2119</v>
      </c>
      <c r="CZ78" s="1148" t="s">
        <v>1697</v>
      </c>
      <c r="DA78" s="1649">
        <v>0.2</v>
      </c>
      <c r="DB78" s="1518"/>
      <c r="DC78" s="1518"/>
      <c r="DD78" s="1518"/>
      <c r="DE78" s="1518"/>
      <c r="DF78" s="1518"/>
      <c r="DG78" s="1518"/>
      <c r="DH78" s="1518"/>
      <c r="DI78" s="1518"/>
      <c r="DJ78" s="1518"/>
      <c r="DK78" s="1519"/>
      <c r="DL78" s="1518"/>
      <c r="DM78" s="1518"/>
    </row>
    <row r="79" spans="2:117">
      <c r="B79" s="1136">
        <f t="shared" si="90"/>
        <v>2.1</v>
      </c>
      <c r="C79" s="1158" t="str">
        <f t="shared" si="67"/>
        <v>耐震･免震・制震・制振</v>
      </c>
      <c r="D79" s="1155">
        <f>IF(I$78=0,0,G79/I$78)</f>
        <v>0.5</v>
      </c>
      <c r="E79" s="1156">
        <f>IF(J$78=0,0,H79/J$78)</f>
        <v>0</v>
      </c>
      <c r="G79" s="1156">
        <f t="shared" si="72"/>
        <v>0.5</v>
      </c>
      <c r="H79" s="1156">
        <f t="shared" si="73"/>
        <v>0</v>
      </c>
      <c r="I79" s="1156">
        <f>SUM(G80:G81)</f>
        <v>1</v>
      </c>
      <c r="J79" s="1156">
        <f>SUM(H80:H81)</f>
        <v>0</v>
      </c>
      <c r="K79" s="1156">
        <f>IF(スコア!Q79=0,0,1)</f>
        <v>1</v>
      </c>
      <c r="L79" s="1156">
        <f>IF(スコア!S79=0,0,1)</f>
        <v>0</v>
      </c>
      <c r="M79" s="1156">
        <f t="shared" si="74"/>
        <v>0.5</v>
      </c>
      <c r="N79" s="1156">
        <f t="shared" si="75"/>
        <v>0</v>
      </c>
      <c r="P79" s="1157">
        <f t="shared" si="68"/>
        <v>2.1</v>
      </c>
      <c r="Q79" s="1157" t="str">
        <f t="shared" si="69"/>
        <v xml:space="preserve"> Q2 2</v>
      </c>
      <c r="R79" s="1158" t="str">
        <f t="shared" si="70"/>
        <v>耐震･免震・制震・制振</v>
      </c>
      <c r="S79" s="1585">
        <f t="shared" si="52"/>
        <v>0.5</v>
      </c>
      <c r="T79" s="1585">
        <f t="shared" si="53"/>
        <v>0.5</v>
      </c>
      <c r="U79" s="1585">
        <f t="shared" si="54"/>
        <v>0.5</v>
      </c>
      <c r="V79" s="1585">
        <f t="shared" si="55"/>
        <v>0.5</v>
      </c>
      <c r="W79" s="1585">
        <f t="shared" si="56"/>
        <v>0.5</v>
      </c>
      <c r="X79" s="1585">
        <f t="shared" si="57"/>
        <v>0.5</v>
      </c>
      <c r="Y79" s="1585">
        <f t="shared" si="58"/>
        <v>0.5</v>
      </c>
      <c r="Z79" s="1587">
        <f t="shared" si="59"/>
        <v>0.5</v>
      </c>
      <c r="AA79" s="1585">
        <f t="shared" si="60"/>
        <v>0.5</v>
      </c>
      <c r="AB79" s="1585">
        <f t="shared" si="61"/>
        <v>0.5</v>
      </c>
      <c r="AC79" s="1586">
        <f t="shared" si="62"/>
        <v>0</v>
      </c>
      <c r="AD79" s="1585">
        <f t="shared" si="63"/>
        <v>0</v>
      </c>
      <c r="AE79" s="1585">
        <f t="shared" si="64"/>
        <v>0</v>
      </c>
      <c r="AG79" s="1157">
        <v>2.1</v>
      </c>
      <c r="AH79" s="1161" t="s">
        <v>1698</v>
      </c>
      <c r="AI79" s="1158" t="s">
        <v>1816</v>
      </c>
      <c r="AJ79" s="1159">
        <v>0.25</v>
      </c>
      <c r="AK79" s="1159">
        <v>0.25</v>
      </c>
      <c r="AL79" s="1159">
        <v>0.25</v>
      </c>
      <c r="AM79" s="1159">
        <v>0.25</v>
      </c>
      <c r="AN79" s="1159">
        <v>0.25</v>
      </c>
      <c r="AO79" s="1159">
        <v>0.25</v>
      </c>
      <c r="AP79" s="1159">
        <v>0.25</v>
      </c>
      <c r="AQ79" s="1167">
        <v>0.25</v>
      </c>
      <c r="AR79" s="1159">
        <v>0.25</v>
      </c>
      <c r="AS79" s="1163">
        <v>0.25</v>
      </c>
      <c r="AT79" s="1164">
        <v>0</v>
      </c>
      <c r="AU79" s="1163">
        <v>0</v>
      </c>
      <c r="AV79" s="1163">
        <v>0</v>
      </c>
      <c r="AX79" s="1157">
        <v>2.1</v>
      </c>
      <c r="AY79" s="1161" t="s">
        <v>1698</v>
      </c>
      <c r="AZ79" s="1158" t="s">
        <v>1677</v>
      </c>
      <c r="BA79" s="1163">
        <v>0.5</v>
      </c>
      <c r="BB79" s="1163">
        <v>0.5</v>
      </c>
      <c r="BC79" s="1163">
        <v>0.5</v>
      </c>
      <c r="BD79" s="1163">
        <v>0.5</v>
      </c>
      <c r="BE79" s="1163">
        <v>0.5</v>
      </c>
      <c r="BF79" s="1163">
        <v>0.5</v>
      </c>
      <c r="BG79" s="1163">
        <v>0.5</v>
      </c>
      <c r="BH79" s="1170">
        <v>0.5</v>
      </c>
      <c r="BI79" s="1163">
        <v>0.5</v>
      </c>
      <c r="BJ79" s="1163">
        <v>0.5</v>
      </c>
      <c r="BK79" s="1164"/>
      <c r="BL79" s="1163"/>
      <c r="BM79" s="1163"/>
      <c r="BO79" s="1157">
        <v>2.1</v>
      </c>
      <c r="BP79" s="1161" t="s">
        <v>1698</v>
      </c>
      <c r="BQ79" s="1158" t="s">
        <v>2711</v>
      </c>
      <c r="BR79" s="1163">
        <v>0.5</v>
      </c>
      <c r="BS79" s="1163">
        <v>0.5</v>
      </c>
      <c r="BT79" s="1163">
        <v>0.5</v>
      </c>
      <c r="BU79" s="1163">
        <v>0.5</v>
      </c>
      <c r="BV79" s="1163">
        <v>0.5</v>
      </c>
      <c r="BW79" s="1163">
        <v>0.5</v>
      </c>
      <c r="BX79" s="1163">
        <v>0.5</v>
      </c>
      <c r="BY79" s="1170">
        <v>0.5</v>
      </c>
      <c r="BZ79" s="1163">
        <v>0.5</v>
      </c>
      <c r="CA79" s="1163">
        <v>0.5</v>
      </c>
      <c r="CB79" s="1164"/>
      <c r="CC79" s="1163"/>
      <c r="CD79" s="1163"/>
      <c r="CE79" s="1382"/>
      <c r="CG79" s="1157">
        <v>2.1</v>
      </c>
      <c r="CH79" s="1161" t="s">
        <v>1698</v>
      </c>
      <c r="CI79" s="1158" t="s">
        <v>2711</v>
      </c>
      <c r="CJ79" s="1520">
        <v>0.9</v>
      </c>
      <c r="CK79" s="1520">
        <v>0.9</v>
      </c>
      <c r="CL79" s="1520">
        <v>0.9</v>
      </c>
      <c r="CM79" s="1520">
        <v>0.9</v>
      </c>
      <c r="CN79" s="1520">
        <v>0.9</v>
      </c>
      <c r="CO79" s="1520">
        <v>0.9</v>
      </c>
      <c r="CP79" s="1520">
        <v>0.9</v>
      </c>
      <c r="CQ79" s="1520">
        <v>0.9</v>
      </c>
      <c r="CR79" s="1520">
        <v>0.9</v>
      </c>
      <c r="CS79" s="1520">
        <v>0.9</v>
      </c>
      <c r="CT79" s="1533">
        <f t="shared" si="85"/>
        <v>0</v>
      </c>
      <c r="CU79" s="1531">
        <f t="shared" si="86"/>
        <v>0</v>
      </c>
      <c r="CV79" s="1531">
        <f t="shared" si="87"/>
        <v>0</v>
      </c>
      <c r="CX79" s="1157">
        <v>2.1</v>
      </c>
      <c r="CY79" s="1161" t="s">
        <v>1698</v>
      </c>
      <c r="CZ79" s="1158" t="s">
        <v>2711</v>
      </c>
      <c r="DA79" s="1642">
        <v>0.4</v>
      </c>
      <c r="DB79" s="1520"/>
      <c r="DC79" s="1520"/>
      <c r="DD79" s="1520"/>
      <c r="DE79" s="1520"/>
      <c r="DF79" s="1520"/>
      <c r="DG79" s="1520"/>
      <c r="DH79" s="1520"/>
      <c r="DI79" s="1520"/>
      <c r="DJ79" s="1520"/>
      <c r="DK79" s="1623"/>
      <c r="DL79" s="1520"/>
      <c r="DM79" s="1520"/>
    </row>
    <row r="80" spans="2:117">
      <c r="B80" s="1136" t="str">
        <f t="shared" si="90"/>
        <v>2.1.1</v>
      </c>
      <c r="C80" s="1158" t="str">
        <f t="shared" si="67"/>
        <v>耐震性</v>
      </c>
      <c r="D80" s="1146">
        <f>IF(I$79&gt;0,G80/I$79,0)</f>
        <v>0.8</v>
      </c>
      <c r="E80" s="1156">
        <f>IF(J$79&gt;0,H80/J$79,0)</f>
        <v>0</v>
      </c>
      <c r="G80" s="1156">
        <f t="shared" si="72"/>
        <v>0.8</v>
      </c>
      <c r="H80" s="1156">
        <f t="shared" si="73"/>
        <v>0</v>
      </c>
      <c r="I80" s="1156"/>
      <c r="J80" s="1156"/>
      <c r="K80" s="1156">
        <f>IF(スコア!Q80=0,0,1)</f>
        <v>1</v>
      </c>
      <c r="L80" s="1156">
        <f>IF(スコア!S80=0,0,1)</f>
        <v>0</v>
      </c>
      <c r="M80" s="1156">
        <f t="shared" si="74"/>
        <v>0.8</v>
      </c>
      <c r="N80" s="1156">
        <f t="shared" si="75"/>
        <v>0</v>
      </c>
      <c r="P80" s="1157" t="str">
        <f t="shared" si="68"/>
        <v>2.1.1</v>
      </c>
      <c r="Q80" s="1157" t="str">
        <f t="shared" si="69"/>
        <v xml:space="preserve"> Q2 2.1</v>
      </c>
      <c r="R80" s="1158" t="str">
        <f t="shared" si="70"/>
        <v>耐震性</v>
      </c>
      <c r="S80" s="1585">
        <f t="shared" si="52"/>
        <v>0.8</v>
      </c>
      <c r="T80" s="1585">
        <f t="shared" si="53"/>
        <v>0.8</v>
      </c>
      <c r="U80" s="1585">
        <f t="shared" si="54"/>
        <v>0.8</v>
      </c>
      <c r="V80" s="1585">
        <f t="shared" si="55"/>
        <v>0.8</v>
      </c>
      <c r="W80" s="1585">
        <f t="shared" si="56"/>
        <v>0.8</v>
      </c>
      <c r="X80" s="1585">
        <f t="shared" si="57"/>
        <v>0.8</v>
      </c>
      <c r="Y80" s="1585">
        <f t="shared" si="58"/>
        <v>0.8</v>
      </c>
      <c r="Z80" s="1587">
        <f t="shared" si="59"/>
        <v>0.8</v>
      </c>
      <c r="AA80" s="1585">
        <f t="shared" si="60"/>
        <v>0.8</v>
      </c>
      <c r="AB80" s="1585">
        <f t="shared" si="61"/>
        <v>0.8</v>
      </c>
      <c r="AC80" s="1586">
        <f t="shared" si="62"/>
        <v>0</v>
      </c>
      <c r="AD80" s="1585">
        <f t="shared" si="63"/>
        <v>0</v>
      </c>
      <c r="AE80" s="1585">
        <f t="shared" si="64"/>
        <v>0</v>
      </c>
      <c r="AG80" s="1157" t="s">
        <v>2271</v>
      </c>
      <c r="AH80" s="1161" t="s">
        <v>1699</v>
      </c>
      <c r="AI80" s="1158" t="s">
        <v>1700</v>
      </c>
      <c r="AJ80" s="1159">
        <v>0.8</v>
      </c>
      <c r="AK80" s="1159">
        <v>0.8</v>
      </c>
      <c r="AL80" s="1159">
        <v>0.8</v>
      </c>
      <c r="AM80" s="1159">
        <v>0.8</v>
      </c>
      <c r="AN80" s="1159">
        <v>0.8</v>
      </c>
      <c r="AO80" s="1159">
        <v>0.8</v>
      </c>
      <c r="AP80" s="1159">
        <v>0.8</v>
      </c>
      <c r="AQ80" s="1167">
        <v>0.8</v>
      </c>
      <c r="AR80" s="1159">
        <v>0.8</v>
      </c>
      <c r="AS80" s="1163">
        <v>0.8</v>
      </c>
      <c r="AT80" s="1164">
        <v>0</v>
      </c>
      <c r="AU80" s="1163">
        <v>0</v>
      </c>
      <c r="AV80" s="1163">
        <v>0</v>
      </c>
      <c r="AX80" s="1157" t="s">
        <v>2271</v>
      </c>
      <c r="AY80" s="1161" t="s">
        <v>1699</v>
      </c>
      <c r="AZ80" s="1158" t="s">
        <v>1700</v>
      </c>
      <c r="BA80" s="1163">
        <v>0.8</v>
      </c>
      <c r="BB80" s="1163">
        <v>0.8</v>
      </c>
      <c r="BC80" s="1163">
        <v>0.8</v>
      </c>
      <c r="BD80" s="1163">
        <v>0.8</v>
      </c>
      <c r="BE80" s="1163">
        <v>0.8</v>
      </c>
      <c r="BF80" s="1163">
        <v>0.8</v>
      </c>
      <c r="BG80" s="1163">
        <v>0.8</v>
      </c>
      <c r="BH80" s="1170">
        <v>0.8</v>
      </c>
      <c r="BI80" s="1163">
        <v>0.8</v>
      </c>
      <c r="BJ80" s="1163">
        <v>0.8</v>
      </c>
      <c r="BK80" s="1164"/>
      <c r="BL80" s="1163"/>
      <c r="BM80" s="1163"/>
      <c r="BO80" s="1157" t="s">
        <v>2271</v>
      </c>
      <c r="BP80" s="1161" t="s">
        <v>1699</v>
      </c>
      <c r="BQ80" s="1158" t="s">
        <v>1700</v>
      </c>
      <c r="BR80" s="1163">
        <v>0.8</v>
      </c>
      <c r="BS80" s="1163">
        <v>0.8</v>
      </c>
      <c r="BT80" s="1163">
        <v>0.8</v>
      </c>
      <c r="BU80" s="1163">
        <v>0.8</v>
      </c>
      <c r="BV80" s="1163">
        <v>0.8</v>
      </c>
      <c r="BW80" s="1163">
        <v>0.8</v>
      </c>
      <c r="BX80" s="1163">
        <v>0.8</v>
      </c>
      <c r="BY80" s="1170">
        <v>0.8</v>
      </c>
      <c r="BZ80" s="1163">
        <v>0.8</v>
      </c>
      <c r="CA80" s="1163">
        <v>0.8</v>
      </c>
      <c r="CB80" s="1164"/>
      <c r="CC80" s="1163"/>
      <c r="CD80" s="1163"/>
      <c r="CE80" s="1382"/>
      <c r="CG80" s="1157" t="s">
        <v>212</v>
      </c>
      <c r="CH80" s="1161" t="s">
        <v>1699</v>
      </c>
      <c r="CI80" s="1158" t="s">
        <v>1700</v>
      </c>
      <c r="CJ80" s="1520">
        <v>1</v>
      </c>
      <c r="CK80" s="1520">
        <v>1</v>
      </c>
      <c r="CL80" s="1520">
        <v>1</v>
      </c>
      <c r="CM80" s="1520">
        <v>1</v>
      </c>
      <c r="CN80" s="1520">
        <v>1</v>
      </c>
      <c r="CO80" s="1520">
        <v>1</v>
      </c>
      <c r="CP80" s="1520">
        <v>1</v>
      </c>
      <c r="CQ80" s="1520">
        <v>1</v>
      </c>
      <c r="CR80" s="1520">
        <v>1</v>
      </c>
      <c r="CS80" s="1520">
        <v>1</v>
      </c>
      <c r="CT80" s="1533">
        <f t="shared" si="85"/>
        <v>0</v>
      </c>
      <c r="CU80" s="1531">
        <f t="shared" si="86"/>
        <v>0</v>
      </c>
      <c r="CV80" s="1531">
        <f t="shared" si="87"/>
        <v>0</v>
      </c>
      <c r="CX80" s="1157" t="s">
        <v>212</v>
      </c>
      <c r="CY80" s="1161" t="s">
        <v>1699</v>
      </c>
      <c r="CZ80" s="1158" t="s">
        <v>1700</v>
      </c>
      <c r="DA80" s="1520">
        <f t="shared" si="89"/>
        <v>0.8</v>
      </c>
      <c r="DB80" s="1520"/>
      <c r="DC80" s="1520"/>
      <c r="DD80" s="1520"/>
      <c r="DE80" s="1520"/>
      <c r="DF80" s="1520"/>
      <c r="DG80" s="1520"/>
      <c r="DH80" s="1520"/>
      <c r="DI80" s="1520"/>
      <c r="DJ80" s="1520"/>
      <c r="DK80" s="1623"/>
      <c r="DL80" s="1520"/>
      <c r="DM80" s="1520"/>
    </row>
    <row r="81" spans="2:117">
      <c r="B81" s="1136" t="str">
        <f t="shared" si="90"/>
        <v>2.1.2</v>
      </c>
      <c r="C81" s="1158" t="str">
        <f t="shared" si="67"/>
        <v>免震・制震・制振性能</v>
      </c>
      <c r="D81" s="1146">
        <f>IF(I$79&gt;0,G81/I$79,0)</f>
        <v>0.2</v>
      </c>
      <c r="E81" s="1156">
        <f>IF(J$79&gt;0,H81/J$79,0)</f>
        <v>0</v>
      </c>
      <c r="G81" s="1156">
        <f t="shared" si="72"/>
        <v>0.2</v>
      </c>
      <c r="H81" s="1156">
        <f t="shared" si="73"/>
        <v>0</v>
      </c>
      <c r="I81" s="1156"/>
      <c r="J81" s="1156"/>
      <c r="K81" s="1156">
        <f>IF(スコア!Q81=0,0,1)</f>
        <v>1</v>
      </c>
      <c r="L81" s="1156">
        <f>IF(スコア!S81=0,0,1)</f>
        <v>0</v>
      </c>
      <c r="M81" s="1156">
        <f t="shared" si="74"/>
        <v>0.2</v>
      </c>
      <c r="N81" s="1156">
        <f t="shared" si="75"/>
        <v>0</v>
      </c>
      <c r="P81" s="1157" t="str">
        <f t="shared" si="68"/>
        <v>2.1.2</v>
      </c>
      <c r="Q81" s="1157" t="str">
        <f t="shared" si="69"/>
        <v xml:space="preserve"> Q2 2.1</v>
      </c>
      <c r="R81" s="1158" t="str">
        <f t="shared" si="70"/>
        <v>免震・制震・制振性能</v>
      </c>
      <c r="S81" s="1585">
        <f t="shared" si="52"/>
        <v>0.2</v>
      </c>
      <c r="T81" s="1585">
        <f t="shared" si="53"/>
        <v>0.2</v>
      </c>
      <c r="U81" s="1585">
        <f t="shared" si="54"/>
        <v>0.2</v>
      </c>
      <c r="V81" s="1585">
        <f t="shared" si="55"/>
        <v>0.2</v>
      </c>
      <c r="W81" s="1585">
        <f t="shared" si="56"/>
        <v>0.2</v>
      </c>
      <c r="X81" s="1585">
        <f t="shared" si="57"/>
        <v>0.2</v>
      </c>
      <c r="Y81" s="1585">
        <f t="shared" si="58"/>
        <v>0.2</v>
      </c>
      <c r="Z81" s="1587">
        <f t="shared" si="59"/>
        <v>0.2</v>
      </c>
      <c r="AA81" s="1585">
        <f t="shared" si="60"/>
        <v>0.2</v>
      </c>
      <c r="AB81" s="1585">
        <f t="shared" si="61"/>
        <v>0.2</v>
      </c>
      <c r="AC81" s="1586">
        <f t="shared" si="62"/>
        <v>0</v>
      </c>
      <c r="AD81" s="1585">
        <f t="shared" si="63"/>
        <v>0</v>
      </c>
      <c r="AE81" s="1585">
        <f t="shared" si="64"/>
        <v>0</v>
      </c>
      <c r="AG81" s="1157" t="s">
        <v>2272</v>
      </c>
      <c r="AH81" s="1161" t="s">
        <v>1699</v>
      </c>
      <c r="AI81" s="1158" t="s">
        <v>1701</v>
      </c>
      <c r="AJ81" s="1159">
        <v>0.2</v>
      </c>
      <c r="AK81" s="1159">
        <v>0.2</v>
      </c>
      <c r="AL81" s="1159">
        <v>0.2</v>
      </c>
      <c r="AM81" s="1159">
        <v>0.2</v>
      </c>
      <c r="AN81" s="1159">
        <v>0.2</v>
      </c>
      <c r="AO81" s="1159">
        <v>0.2</v>
      </c>
      <c r="AP81" s="1159">
        <v>0.2</v>
      </c>
      <c r="AQ81" s="1167">
        <v>0.2</v>
      </c>
      <c r="AR81" s="1159">
        <v>0.2</v>
      </c>
      <c r="AS81" s="1163">
        <v>0.2</v>
      </c>
      <c r="AT81" s="1164">
        <v>0</v>
      </c>
      <c r="AU81" s="1163">
        <v>0</v>
      </c>
      <c r="AV81" s="1163">
        <v>0</v>
      </c>
      <c r="AX81" s="1157" t="s">
        <v>2273</v>
      </c>
      <c r="AY81" s="1161" t="s">
        <v>1699</v>
      </c>
      <c r="AZ81" s="1158" t="s">
        <v>1678</v>
      </c>
      <c r="BA81" s="1163">
        <v>0.2</v>
      </c>
      <c r="BB81" s="1163">
        <v>0.2</v>
      </c>
      <c r="BC81" s="1163">
        <v>0.2</v>
      </c>
      <c r="BD81" s="1163">
        <v>0.2</v>
      </c>
      <c r="BE81" s="1163">
        <v>0.2</v>
      </c>
      <c r="BF81" s="1163">
        <v>0.2</v>
      </c>
      <c r="BG81" s="1163">
        <v>0.2</v>
      </c>
      <c r="BH81" s="1170">
        <v>0.2</v>
      </c>
      <c r="BI81" s="1163">
        <v>0.2</v>
      </c>
      <c r="BJ81" s="1163">
        <v>0.2</v>
      </c>
      <c r="BK81" s="1164"/>
      <c r="BL81" s="1163"/>
      <c r="BM81" s="1163"/>
      <c r="BO81" s="1157" t="s">
        <v>2273</v>
      </c>
      <c r="BP81" s="1161" t="s">
        <v>1699</v>
      </c>
      <c r="BQ81" s="1158" t="s">
        <v>2712</v>
      </c>
      <c r="BR81" s="1163">
        <v>0.2</v>
      </c>
      <c r="BS81" s="1163">
        <v>0.2</v>
      </c>
      <c r="BT81" s="1163">
        <v>0.2</v>
      </c>
      <c r="BU81" s="1163">
        <v>0.2</v>
      </c>
      <c r="BV81" s="1163">
        <v>0.2</v>
      </c>
      <c r="BW81" s="1163">
        <v>0.2</v>
      </c>
      <c r="BX81" s="1163">
        <v>0.2</v>
      </c>
      <c r="BY81" s="1170">
        <v>0.2</v>
      </c>
      <c r="BZ81" s="1163">
        <v>0.2</v>
      </c>
      <c r="CA81" s="1163">
        <v>0.2</v>
      </c>
      <c r="CB81" s="1164"/>
      <c r="CC81" s="1163"/>
      <c r="CD81" s="1163"/>
      <c r="CE81" s="1382"/>
      <c r="CG81" s="1157" t="s">
        <v>2272</v>
      </c>
      <c r="CH81" s="1161" t="s">
        <v>1699</v>
      </c>
      <c r="CI81" s="1158" t="s">
        <v>2712</v>
      </c>
      <c r="CJ81" s="1531">
        <v>0</v>
      </c>
      <c r="CK81" s="1531">
        <v>0</v>
      </c>
      <c r="CL81" s="1531">
        <v>0</v>
      </c>
      <c r="CM81" s="1531">
        <v>0</v>
      </c>
      <c r="CN81" s="1531">
        <v>0</v>
      </c>
      <c r="CO81" s="1531">
        <v>0</v>
      </c>
      <c r="CP81" s="1531">
        <v>0</v>
      </c>
      <c r="CQ81" s="1531">
        <v>0</v>
      </c>
      <c r="CR81" s="1531">
        <v>0</v>
      </c>
      <c r="CS81" s="1531">
        <v>0</v>
      </c>
      <c r="CT81" s="1533">
        <f t="shared" si="85"/>
        <v>0</v>
      </c>
      <c r="CU81" s="1531">
        <f t="shared" si="86"/>
        <v>0</v>
      </c>
      <c r="CV81" s="1531">
        <f t="shared" si="87"/>
        <v>0</v>
      </c>
      <c r="CX81" s="1157" t="s">
        <v>2272</v>
      </c>
      <c r="CY81" s="1161" t="s">
        <v>1699</v>
      </c>
      <c r="CZ81" s="1158" t="s">
        <v>2712</v>
      </c>
      <c r="DA81" s="1520">
        <f t="shared" si="89"/>
        <v>0.2</v>
      </c>
      <c r="DB81" s="1520"/>
      <c r="DC81" s="1520"/>
      <c r="DD81" s="1520"/>
      <c r="DE81" s="1520"/>
      <c r="DF81" s="1520"/>
      <c r="DG81" s="1520"/>
      <c r="DH81" s="1520"/>
      <c r="DI81" s="1520"/>
      <c r="DJ81" s="1520"/>
      <c r="DK81" s="1623"/>
      <c r="DL81" s="1520"/>
      <c r="DM81" s="1520"/>
    </row>
    <row r="82" spans="2:117">
      <c r="B82" s="1136">
        <f t="shared" si="90"/>
        <v>2.2000000000000002</v>
      </c>
      <c r="C82" s="1158" t="str">
        <f t="shared" si="67"/>
        <v>部品・部材の耐用年数</v>
      </c>
      <c r="D82" s="1155">
        <f>IF(I$78=0,0,G82/I$78)</f>
        <v>0.3</v>
      </c>
      <c r="E82" s="1156">
        <f>IF(J$78=0,0,H82/J$78)</f>
        <v>0</v>
      </c>
      <c r="G82" s="1156">
        <f t="shared" si="72"/>
        <v>0.3</v>
      </c>
      <c r="H82" s="1156">
        <f t="shared" si="73"/>
        <v>0</v>
      </c>
      <c r="I82" s="1156">
        <f>SUM(G83:G88)</f>
        <v>1</v>
      </c>
      <c r="J82" s="1156">
        <f>SUM(H83:H88)</f>
        <v>0</v>
      </c>
      <c r="K82" s="1156">
        <f>IF(スコア!Q82=0,0,1)</f>
        <v>1</v>
      </c>
      <c r="L82" s="1156">
        <f>IF(スコア!S82=0,0,1)</f>
        <v>0</v>
      </c>
      <c r="M82" s="1156">
        <f t="shared" si="74"/>
        <v>0.3</v>
      </c>
      <c r="N82" s="1156">
        <f t="shared" si="75"/>
        <v>0</v>
      </c>
      <c r="P82" s="1157">
        <f t="shared" si="68"/>
        <v>2.2000000000000002</v>
      </c>
      <c r="Q82" s="1157" t="str">
        <f t="shared" si="69"/>
        <v xml:space="preserve"> Q2 2</v>
      </c>
      <c r="R82" s="1158" t="str">
        <f t="shared" si="70"/>
        <v>部品・部材の耐用年数</v>
      </c>
      <c r="S82" s="1585">
        <f t="shared" si="52"/>
        <v>0.3</v>
      </c>
      <c r="T82" s="1585">
        <f t="shared" si="53"/>
        <v>0.3</v>
      </c>
      <c r="U82" s="1585">
        <f t="shared" si="54"/>
        <v>0.3</v>
      </c>
      <c r="V82" s="1585">
        <f t="shared" si="55"/>
        <v>0.3</v>
      </c>
      <c r="W82" s="1585">
        <f t="shared" si="56"/>
        <v>0.3</v>
      </c>
      <c r="X82" s="1585">
        <f t="shared" si="57"/>
        <v>0.3</v>
      </c>
      <c r="Y82" s="1585">
        <f t="shared" si="58"/>
        <v>0.3</v>
      </c>
      <c r="Z82" s="1587">
        <f t="shared" si="59"/>
        <v>0.3</v>
      </c>
      <c r="AA82" s="1585">
        <f t="shared" si="60"/>
        <v>0.3</v>
      </c>
      <c r="AB82" s="1585">
        <f t="shared" si="61"/>
        <v>0.3</v>
      </c>
      <c r="AC82" s="1586">
        <f t="shared" si="62"/>
        <v>0</v>
      </c>
      <c r="AD82" s="1585">
        <f t="shared" si="63"/>
        <v>0</v>
      </c>
      <c r="AE82" s="1585">
        <f t="shared" si="64"/>
        <v>0</v>
      </c>
      <c r="AG82" s="1157">
        <v>2.2000000000000002</v>
      </c>
      <c r="AH82" s="1161" t="s">
        <v>1698</v>
      </c>
      <c r="AI82" s="1158" t="s">
        <v>1817</v>
      </c>
      <c r="AJ82" s="1159">
        <v>0.25</v>
      </c>
      <c r="AK82" s="1159">
        <v>0.25</v>
      </c>
      <c r="AL82" s="1159">
        <v>0.25</v>
      </c>
      <c r="AM82" s="1159">
        <v>0.25</v>
      </c>
      <c r="AN82" s="1159">
        <v>0.25</v>
      </c>
      <c r="AO82" s="1159">
        <v>0.25</v>
      </c>
      <c r="AP82" s="1159">
        <v>0.25</v>
      </c>
      <c r="AQ82" s="1167">
        <v>0.25</v>
      </c>
      <c r="AR82" s="1159">
        <v>0.25</v>
      </c>
      <c r="AS82" s="1163">
        <v>0.25</v>
      </c>
      <c r="AT82" s="1164">
        <v>0</v>
      </c>
      <c r="AU82" s="1163">
        <v>0</v>
      </c>
      <c r="AV82" s="1163">
        <v>0</v>
      </c>
      <c r="AX82" s="1157">
        <v>2.2000000000000002</v>
      </c>
      <c r="AY82" s="1161" t="s">
        <v>1698</v>
      </c>
      <c r="AZ82" s="1158" t="s">
        <v>1679</v>
      </c>
      <c r="BA82" s="1163">
        <v>0.3</v>
      </c>
      <c r="BB82" s="1163">
        <v>0.3</v>
      </c>
      <c r="BC82" s="1163">
        <v>0.3</v>
      </c>
      <c r="BD82" s="1163">
        <v>0.3</v>
      </c>
      <c r="BE82" s="1163">
        <v>0.3</v>
      </c>
      <c r="BF82" s="1163">
        <v>0.3</v>
      </c>
      <c r="BG82" s="1163">
        <v>0.3</v>
      </c>
      <c r="BH82" s="1170">
        <v>0.3</v>
      </c>
      <c r="BI82" s="1163">
        <v>0.3</v>
      </c>
      <c r="BJ82" s="1163">
        <v>0.3</v>
      </c>
      <c r="BK82" s="1164"/>
      <c r="BL82" s="1163"/>
      <c r="BM82" s="1163"/>
      <c r="BO82" s="1157">
        <v>2.2000000000000002</v>
      </c>
      <c r="BP82" s="1161" t="s">
        <v>1698</v>
      </c>
      <c r="BQ82" s="1158" t="s">
        <v>1817</v>
      </c>
      <c r="BR82" s="1163">
        <v>0.3</v>
      </c>
      <c r="BS82" s="1163">
        <v>0.3</v>
      </c>
      <c r="BT82" s="1163">
        <v>0.3</v>
      </c>
      <c r="BU82" s="1163">
        <v>0.3</v>
      </c>
      <c r="BV82" s="1163">
        <v>0.3</v>
      </c>
      <c r="BW82" s="1163">
        <v>0.3</v>
      </c>
      <c r="BX82" s="1163">
        <v>0.3</v>
      </c>
      <c r="BY82" s="1170">
        <v>0.3</v>
      </c>
      <c r="BZ82" s="1163">
        <v>0.3</v>
      </c>
      <c r="CA82" s="1163">
        <v>0.3</v>
      </c>
      <c r="CB82" s="1164"/>
      <c r="CC82" s="1163"/>
      <c r="CD82" s="1163"/>
      <c r="CE82" s="1382"/>
      <c r="CG82" s="1157">
        <v>2.2000000000000002</v>
      </c>
      <c r="CH82" s="1161" t="s">
        <v>1698</v>
      </c>
      <c r="CI82" s="1158" t="s">
        <v>1817</v>
      </c>
      <c r="CJ82" s="1531">
        <v>0</v>
      </c>
      <c r="CK82" s="1531">
        <v>0</v>
      </c>
      <c r="CL82" s="1531">
        <v>0</v>
      </c>
      <c r="CM82" s="1531">
        <v>0</v>
      </c>
      <c r="CN82" s="1531">
        <v>0</v>
      </c>
      <c r="CO82" s="1531">
        <v>0</v>
      </c>
      <c r="CP82" s="1531">
        <v>0</v>
      </c>
      <c r="CQ82" s="1531">
        <v>0</v>
      </c>
      <c r="CR82" s="1531">
        <v>0</v>
      </c>
      <c r="CS82" s="1531">
        <v>0</v>
      </c>
      <c r="CT82" s="1533">
        <f t="shared" si="85"/>
        <v>0</v>
      </c>
      <c r="CU82" s="1531">
        <f t="shared" si="86"/>
        <v>0</v>
      </c>
      <c r="CV82" s="1531">
        <f t="shared" si="87"/>
        <v>0</v>
      </c>
      <c r="CX82" s="1157">
        <v>2.2000000000000002</v>
      </c>
      <c r="CY82" s="1161" t="s">
        <v>1698</v>
      </c>
      <c r="CZ82" s="1158" t="s">
        <v>1817</v>
      </c>
      <c r="DA82" s="1642">
        <v>0</v>
      </c>
      <c r="DB82" s="1520"/>
      <c r="DC82" s="1520"/>
      <c r="DD82" s="1520"/>
      <c r="DE82" s="1520"/>
      <c r="DF82" s="1520"/>
      <c r="DG82" s="1520"/>
      <c r="DH82" s="1520"/>
      <c r="DI82" s="1520"/>
      <c r="DJ82" s="1520"/>
      <c r="DK82" s="1623"/>
      <c r="DL82" s="1520"/>
      <c r="DM82" s="1520"/>
    </row>
    <row r="83" spans="2:117">
      <c r="B83" s="1136" t="str">
        <f t="shared" si="90"/>
        <v>2.2.1</v>
      </c>
      <c r="C83" s="1158" t="str">
        <f t="shared" si="67"/>
        <v>躯体材料の耐用年数</v>
      </c>
      <c r="D83" s="1146">
        <f t="shared" ref="D83:E88" si="91">IF(I$82&gt;0,G83/I$82,0)</f>
        <v>0.2</v>
      </c>
      <c r="E83" s="1156">
        <f t="shared" si="91"/>
        <v>0</v>
      </c>
      <c r="G83" s="1156">
        <f t="shared" si="72"/>
        <v>0.2</v>
      </c>
      <c r="H83" s="1156">
        <f t="shared" si="73"/>
        <v>0</v>
      </c>
      <c r="I83" s="1156"/>
      <c r="J83" s="1156"/>
      <c r="K83" s="1156">
        <f>IF(スコア!Q83=0,0,1)</f>
        <v>1</v>
      </c>
      <c r="L83" s="1156">
        <f>IF(スコア!S83=0,0,1)</f>
        <v>0</v>
      </c>
      <c r="M83" s="1156">
        <f t="shared" si="74"/>
        <v>0.2</v>
      </c>
      <c r="N83" s="1156">
        <f t="shared" si="75"/>
        <v>0</v>
      </c>
      <c r="P83" s="1157" t="str">
        <f t="shared" si="68"/>
        <v>2.2.1</v>
      </c>
      <c r="Q83" s="1157" t="str">
        <f t="shared" si="69"/>
        <v xml:space="preserve"> Q2 2.2</v>
      </c>
      <c r="R83" s="1158" t="str">
        <f t="shared" si="70"/>
        <v>躯体材料の耐用年数</v>
      </c>
      <c r="S83" s="1585">
        <f t="shared" si="52"/>
        <v>0.2</v>
      </c>
      <c r="T83" s="1585">
        <f t="shared" si="53"/>
        <v>0.2</v>
      </c>
      <c r="U83" s="1585">
        <f t="shared" si="54"/>
        <v>0.2</v>
      </c>
      <c r="V83" s="1585">
        <f t="shared" si="55"/>
        <v>0.2</v>
      </c>
      <c r="W83" s="1585">
        <f t="shared" si="56"/>
        <v>0.2</v>
      </c>
      <c r="X83" s="1585">
        <f t="shared" si="57"/>
        <v>0.2</v>
      </c>
      <c r="Y83" s="1585">
        <f t="shared" si="58"/>
        <v>0.2</v>
      </c>
      <c r="Z83" s="1587">
        <f t="shared" si="59"/>
        <v>0.2</v>
      </c>
      <c r="AA83" s="1585">
        <f t="shared" si="60"/>
        <v>0.2</v>
      </c>
      <c r="AB83" s="1585">
        <f t="shared" si="61"/>
        <v>0.2</v>
      </c>
      <c r="AC83" s="1586">
        <f t="shared" si="62"/>
        <v>0</v>
      </c>
      <c r="AD83" s="1585">
        <f t="shared" si="63"/>
        <v>0</v>
      </c>
      <c r="AE83" s="1585">
        <f t="shared" si="64"/>
        <v>0</v>
      </c>
      <c r="AG83" s="1157" t="s">
        <v>2274</v>
      </c>
      <c r="AH83" s="1161" t="s">
        <v>1702</v>
      </c>
      <c r="AI83" s="1158" t="s">
        <v>644</v>
      </c>
      <c r="AJ83" s="1160">
        <v>0.2</v>
      </c>
      <c r="AK83" s="1160">
        <v>0.2</v>
      </c>
      <c r="AL83" s="1160">
        <v>0.2</v>
      </c>
      <c r="AM83" s="1160">
        <v>0.2</v>
      </c>
      <c r="AN83" s="1160">
        <v>0.2</v>
      </c>
      <c r="AO83" s="1160">
        <v>0.2</v>
      </c>
      <c r="AP83" s="1160">
        <v>0.2</v>
      </c>
      <c r="AQ83" s="1160">
        <v>0.2</v>
      </c>
      <c r="AR83" s="1160">
        <v>0.2</v>
      </c>
      <c r="AS83" s="1163">
        <v>0.25</v>
      </c>
      <c r="AT83" s="1164">
        <v>0</v>
      </c>
      <c r="AU83" s="1163">
        <v>0</v>
      </c>
      <c r="AV83" s="1163">
        <v>0</v>
      </c>
      <c r="AX83" s="1157" t="s">
        <v>2275</v>
      </c>
      <c r="AY83" s="1161" t="s">
        <v>1702</v>
      </c>
      <c r="AZ83" s="1158" t="s">
        <v>1680</v>
      </c>
      <c r="BA83" s="1163">
        <v>0.2</v>
      </c>
      <c r="BB83" s="1163">
        <v>0.2</v>
      </c>
      <c r="BC83" s="1163">
        <v>0.2</v>
      </c>
      <c r="BD83" s="1163">
        <v>0.2</v>
      </c>
      <c r="BE83" s="1163">
        <v>0.2</v>
      </c>
      <c r="BF83" s="1163">
        <v>0.2</v>
      </c>
      <c r="BG83" s="1163">
        <v>0.2</v>
      </c>
      <c r="BH83" s="1163">
        <v>0.2</v>
      </c>
      <c r="BI83" s="1163">
        <v>0.2</v>
      </c>
      <c r="BJ83" s="1163">
        <v>0.2</v>
      </c>
      <c r="BK83" s="1164"/>
      <c r="BL83" s="1163"/>
      <c r="BM83" s="1163"/>
      <c r="BO83" s="1157" t="s">
        <v>2275</v>
      </c>
      <c r="BP83" s="1161" t="s">
        <v>1702</v>
      </c>
      <c r="BQ83" s="1158" t="s">
        <v>644</v>
      </c>
      <c r="BR83" s="1163">
        <v>0.2</v>
      </c>
      <c r="BS83" s="1163">
        <v>0.2</v>
      </c>
      <c r="BT83" s="1163">
        <v>0.2</v>
      </c>
      <c r="BU83" s="1163">
        <v>0.2</v>
      </c>
      <c r="BV83" s="1163">
        <v>0.2</v>
      </c>
      <c r="BW83" s="1163">
        <v>0.2</v>
      </c>
      <c r="BX83" s="1163">
        <v>0.2</v>
      </c>
      <c r="BY83" s="1163">
        <v>0.2</v>
      </c>
      <c r="BZ83" s="1163">
        <v>0.2</v>
      </c>
      <c r="CA83" s="1163">
        <v>0.2</v>
      </c>
      <c r="CB83" s="1164"/>
      <c r="CC83" s="1163"/>
      <c r="CD83" s="1163"/>
      <c r="CE83" s="1382"/>
      <c r="CG83" s="1157" t="s">
        <v>2274</v>
      </c>
      <c r="CH83" s="1161" t="s">
        <v>1702</v>
      </c>
      <c r="CI83" s="1158" t="s">
        <v>644</v>
      </c>
      <c r="CJ83" s="1531">
        <v>0</v>
      </c>
      <c r="CK83" s="1531">
        <v>0</v>
      </c>
      <c r="CL83" s="1531">
        <v>0</v>
      </c>
      <c r="CM83" s="1531">
        <v>0</v>
      </c>
      <c r="CN83" s="1531">
        <v>0</v>
      </c>
      <c r="CO83" s="1531">
        <v>0</v>
      </c>
      <c r="CP83" s="1531">
        <v>0</v>
      </c>
      <c r="CQ83" s="1531">
        <v>0</v>
      </c>
      <c r="CR83" s="1531">
        <v>0</v>
      </c>
      <c r="CS83" s="1531">
        <v>0</v>
      </c>
      <c r="CT83" s="1531">
        <v>0</v>
      </c>
      <c r="CU83" s="1531">
        <f t="shared" si="86"/>
        <v>0</v>
      </c>
      <c r="CV83" s="1531">
        <f t="shared" si="87"/>
        <v>0</v>
      </c>
      <c r="CX83" s="1157" t="s">
        <v>2274</v>
      </c>
      <c r="CY83" s="1161" t="s">
        <v>1702</v>
      </c>
      <c r="CZ83" s="1158" t="s">
        <v>644</v>
      </c>
      <c r="DA83" s="1642">
        <v>0</v>
      </c>
      <c r="DB83" s="1520"/>
      <c r="DC83" s="1520"/>
      <c r="DD83" s="1520"/>
      <c r="DE83" s="1520"/>
      <c r="DF83" s="1520"/>
      <c r="DG83" s="1520"/>
      <c r="DH83" s="1520"/>
      <c r="DI83" s="1520"/>
      <c r="DJ83" s="1520"/>
      <c r="DK83" s="1520"/>
      <c r="DL83" s="1520"/>
      <c r="DM83" s="1520"/>
    </row>
    <row r="84" spans="2:117">
      <c r="B84" s="1136" t="str">
        <f t="shared" si="90"/>
        <v>2.2.2</v>
      </c>
      <c r="C84" s="1158" t="str">
        <f t="shared" si="67"/>
        <v>外壁仕上げ材の補修必要間隔</v>
      </c>
      <c r="D84" s="1146">
        <f t="shared" si="91"/>
        <v>0.2</v>
      </c>
      <c r="E84" s="1156">
        <f t="shared" si="91"/>
        <v>0</v>
      </c>
      <c r="G84" s="1156">
        <f t="shared" si="72"/>
        <v>0.2</v>
      </c>
      <c r="H84" s="1156">
        <f t="shared" si="73"/>
        <v>0</v>
      </c>
      <c r="I84" s="1156"/>
      <c r="J84" s="1156"/>
      <c r="K84" s="1156">
        <f>IF(スコア!Q84=0,0,1)</f>
        <v>1</v>
      </c>
      <c r="L84" s="1156">
        <f>IF(スコア!S84=0,0,1)</f>
        <v>0</v>
      </c>
      <c r="M84" s="1156">
        <f t="shared" si="74"/>
        <v>0.2</v>
      </c>
      <c r="N84" s="1156">
        <f t="shared" si="75"/>
        <v>0</v>
      </c>
      <c r="P84" s="1157" t="str">
        <f t="shared" si="68"/>
        <v>2.2.2</v>
      </c>
      <c r="Q84" s="1157" t="str">
        <f t="shared" si="69"/>
        <v xml:space="preserve"> Q2 2.2</v>
      </c>
      <c r="R84" s="1158" t="str">
        <f t="shared" si="70"/>
        <v>外壁仕上げ材の補修必要間隔</v>
      </c>
      <c r="S84" s="1585">
        <f t="shared" si="52"/>
        <v>0.2</v>
      </c>
      <c r="T84" s="1585">
        <f t="shared" si="53"/>
        <v>0.2</v>
      </c>
      <c r="U84" s="1585">
        <f t="shared" si="54"/>
        <v>0.2</v>
      </c>
      <c r="V84" s="1585">
        <f t="shared" si="55"/>
        <v>0.2</v>
      </c>
      <c r="W84" s="1585">
        <f t="shared" si="56"/>
        <v>0.2</v>
      </c>
      <c r="X84" s="1585">
        <f t="shared" si="57"/>
        <v>0.2</v>
      </c>
      <c r="Y84" s="1585">
        <f t="shared" si="58"/>
        <v>0.2</v>
      </c>
      <c r="Z84" s="1587">
        <f t="shared" si="59"/>
        <v>0.2</v>
      </c>
      <c r="AA84" s="1585">
        <f t="shared" si="60"/>
        <v>0.2</v>
      </c>
      <c r="AB84" s="1585">
        <f t="shared" si="61"/>
        <v>0.2</v>
      </c>
      <c r="AC84" s="1586">
        <f t="shared" si="62"/>
        <v>0</v>
      </c>
      <c r="AD84" s="1585">
        <f t="shared" si="63"/>
        <v>0</v>
      </c>
      <c r="AE84" s="1585">
        <f t="shared" si="64"/>
        <v>0</v>
      </c>
      <c r="AG84" s="1157" t="s">
        <v>2276</v>
      </c>
      <c r="AH84" s="1161" t="s">
        <v>1702</v>
      </c>
      <c r="AI84" s="1158" t="s">
        <v>1703</v>
      </c>
      <c r="AJ84" s="1160">
        <v>0.2</v>
      </c>
      <c r="AK84" s="1160">
        <v>0.2</v>
      </c>
      <c r="AL84" s="1160">
        <v>0.2</v>
      </c>
      <c r="AM84" s="1160">
        <v>0.2</v>
      </c>
      <c r="AN84" s="1160">
        <v>0.2</v>
      </c>
      <c r="AO84" s="1160">
        <v>0.2</v>
      </c>
      <c r="AP84" s="1160">
        <v>0.2</v>
      </c>
      <c r="AQ84" s="1160">
        <v>0.2</v>
      </c>
      <c r="AR84" s="1160">
        <v>0.2</v>
      </c>
      <c r="AS84" s="1163">
        <v>0.25</v>
      </c>
      <c r="AT84" s="1164">
        <v>0</v>
      </c>
      <c r="AU84" s="1163">
        <v>0</v>
      </c>
      <c r="AV84" s="1163">
        <v>0</v>
      </c>
      <c r="AX84" s="1157" t="s">
        <v>2276</v>
      </c>
      <c r="AY84" s="1161" t="s">
        <v>1702</v>
      </c>
      <c r="AZ84" s="1158" t="s">
        <v>1703</v>
      </c>
      <c r="BA84" s="1163">
        <v>0.2</v>
      </c>
      <c r="BB84" s="1163">
        <v>0.2</v>
      </c>
      <c r="BC84" s="1163">
        <v>0.2</v>
      </c>
      <c r="BD84" s="1163">
        <v>0.2</v>
      </c>
      <c r="BE84" s="1163">
        <v>0.2</v>
      </c>
      <c r="BF84" s="1163">
        <v>0.2</v>
      </c>
      <c r="BG84" s="1163">
        <v>0.2</v>
      </c>
      <c r="BH84" s="1163">
        <v>0.2</v>
      </c>
      <c r="BI84" s="1163">
        <v>0.2</v>
      </c>
      <c r="BJ84" s="1163">
        <v>0.2</v>
      </c>
      <c r="BK84" s="1164"/>
      <c r="BL84" s="1163"/>
      <c r="BM84" s="1163"/>
      <c r="BO84" s="1157" t="s">
        <v>2276</v>
      </c>
      <c r="BP84" s="1161" t="s">
        <v>1702</v>
      </c>
      <c r="BQ84" s="1158" t="s">
        <v>1703</v>
      </c>
      <c r="BR84" s="1163">
        <v>0.2</v>
      </c>
      <c r="BS84" s="1163">
        <v>0.2</v>
      </c>
      <c r="BT84" s="1163">
        <v>0.2</v>
      </c>
      <c r="BU84" s="1163">
        <v>0.2</v>
      </c>
      <c r="BV84" s="1163">
        <v>0.2</v>
      </c>
      <c r="BW84" s="1163">
        <v>0.2</v>
      </c>
      <c r="BX84" s="1163">
        <v>0.2</v>
      </c>
      <c r="BY84" s="1163">
        <v>0.2</v>
      </c>
      <c r="BZ84" s="1163">
        <v>0.2</v>
      </c>
      <c r="CA84" s="1163">
        <v>0.2</v>
      </c>
      <c r="CB84" s="1164"/>
      <c r="CC84" s="1163"/>
      <c r="CD84" s="1163"/>
      <c r="CE84" s="1382"/>
      <c r="CG84" s="1157" t="s">
        <v>2276</v>
      </c>
      <c r="CH84" s="1161" t="s">
        <v>1702</v>
      </c>
      <c r="CI84" s="1158" t="s">
        <v>1703</v>
      </c>
      <c r="CJ84" s="1531">
        <v>0</v>
      </c>
      <c r="CK84" s="1531">
        <v>0</v>
      </c>
      <c r="CL84" s="1531">
        <v>0</v>
      </c>
      <c r="CM84" s="1531">
        <v>0</v>
      </c>
      <c r="CN84" s="1531">
        <v>0</v>
      </c>
      <c r="CO84" s="1531">
        <v>0</v>
      </c>
      <c r="CP84" s="1531">
        <v>0</v>
      </c>
      <c r="CQ84" s="1531">
        <v>0</v>
      </c>
      <c r="CR84" s="1531">
        <v>0</v>
      </c>
      <c r="CS84" s="1531">
        <v>0</v>
      </c>
      <c r="CT84" s="1531">
        <v>0</v>
      </c>
      <c r="CU84" s="1531">
        <f t="shared" si="86"/>
        <v>0</v>
      </c>
      <c r="CV84" s="1531">
        <f t="shared" si="87"/>
        <v>0</v>
      </c>
      <c r="CX84" s="1157" t="s">
        <v>2276</v>
      </c>
      <c r="CY84" s="1161" t="s">
        <v>1702</v>
      </c>
      <c r="CZ84" s="1158" t="s">
        <v>1703</v>
      </c>
      <c r="DA84" s="1642">
        <v>0</v>
      </c>
      <c r="DB84" s="1520"/>
      <c r="DC84" s="1520"/>
      <c r="DD84" s="1520"/>
      <c r="DE84" s="1520"/>
      <c r="DF84" s="1520"/>
      <c r="DG84" s="1520"/>
      <c r="DH84" s="1520"/>
      <c r="DI84" s="1520"/>
      <c r="DJ84" s="1520"/>
      <c r="DK84" s="1520"/>
      <c r="DL84" s="1520"/>
      <c r="DM84" s="1520"/>
    </row>
    <row r="85" spans="2:117">
      <c r="B85" s="1136" t="str">
        <f t="shared" si="90"/>
        <v>2.2.3</v>
      </c>
      <c r="C85" s="1158" t="str">
        <f t="shared" si="67"/>
        <v>主要内装仕上げ材の更新必要間隔</v>
      </c>
      <c r="D85" s="1146">
        <f t="shared" si="91"/>
        <v>0.1</v>
      </c>
      <c r="E85" s="1156">
        <f t="shared" si="91"/>
        <v>0</v>
      </c>
      <c r="G85" s="1156">
        <f t="shared" si="72"/>
        <v>0.1</v>
      </c>
      <c r="H85" s="1156">
        <f t="shared" si="73"/>
        <v>0</v>
      </c>
      <c r="I85" s="1156"/>
      <c r="J85" s="1156"/>
      <c r="K85" s="1156">
        <f>IF(スコア!Q85=0,0,1)</f>
        <v>1</v>
      </c>
      <c r="L85" s="1156">
        <f>IF(スコア!S85=0,0,1)</f>
        <v>0</v>
      </c>
      <c r="M85" s="1156">
        <f t="shared" si="74"/>
        <v>0.1</v>
      </c>
      <c r="N85" s="1156">
        <f t="shared" si="75"/>
        <v>0</v>
      </c>
      <c r="P85" s="1157" t="str">
        <f t="shared" si="68"/>
        <v>2.2.3</v>
      </c>
      <c r="Q85" s="1157" t="str">
        <f t="shared" si="69"/>
        <v xml:space="preserve"> Q2 2.2</v>
      </c>
      <c r="R85" s="1158" t="str">
        <f t="shared" si="70"/>
        <v>主要内装仕上げ材の更新必要間隔</v>
      </c>
      <c r="S85" s="1585">
        <f t="shared" si="52"/>
        <v>0.1</v>
      </c>
      <c r="T85" s="1585">
        <f t="shared" si="53"/>
        <v>0.1</v>
      </c>
      <c r="U85" s="1585">
        <f t="shared" si="54"/>
        <v>0.1</v>
      </c>
      <c r="V85" s="1585">
        <f t="shared" si="55"/>
        <v>0.1</v>
      </c>
      <c r="W85" s="1585">
        <f t="shared" si="56"/>
        <v>0.1</v>
      </c>
      <c r="X85" s="1585">
        <f t="shared" si="57"/>
        <v>0.1</v>
      </c>
      <c r="Y85" s="1585">
        <f t="shared" si="58"/>
        <v>0.1</v>
      </c>
      <c r="Z85" s="1587">
        <f t="shared" si="59"/>
        <v>0.1</v>
      </c>
      <c r="AA85" s="1585">
        <f t="shared" si="60"/>
        <v>0.1</v>
      </c>
      <c r="AB85" s="1585">
        <f t="shared" si="61"/>
        <v>0.1</v>
      </c>
      <c r="AC85" s="1586">
        <f t="shared" si="62"/>
        <v>0</v>
      </c>
      <c r="AD85" s="1585">
        <f t="shared" si="63"/>
        <v>0</v>
      </c>
      <c r="AE85" s="1585">
        <f t="shared" si="64"/>
        <v>0</v>
      </c>
      <c r="AG85" s="1157" t="s">
        <v>2277</v>
      </c>
      <c r="AH85" s="1161" t="s">
        <v>1702</v>
      </c>
      <c r="AI85" s="1158" t="s">
        <v>1704</v>
      </c>
      <c r="AJ85" s="1168">
        <v>0</v>
      </c>
      <c r="AK85" s="1168">
        <v>0</v>
      </c>
      <c r="AL85" s="1168">
        <v>0</v>
      </c>
      <c r="AM85" s="1168">
        <v>0</v>
      </c>
      <c r="AN85" s="1168">
        <v>0</v>
      </c>
      <c r="AO85" s="1168">
        <v>0</v>
      </c>
      <c r="AP85" s="1168">
        <v>0</v>
      </c>
      <c r="AQ85" s="1168">
        <v>0</v>
      </c>
      <c r="AR85" s="1168">
        <v>0</v>
      </c>
      <c r="AS85" s="1163">
        <v>0</v>
      </c>
      <c r="AT85" s="1164">
        <v>0</v>
      </c>
      <c r="AU85" s="1163">
        <v>0</v>
      </c>
      <c r="AV85" s="1163">
        <v>0</v>
      </c>
      <c r="AX85" s="1157" t="s">
        <v>2277</v>
      </c>
      <c r="AY85" s="1161" t="s">
        <v>1702</v>
      </c>
      <c r="AZ85" s="1158" t="s">
        <v>1704</v>
      </c>
      <c r="BA85" s="1163">
        <v>0.1</v>
      </c>
      <c r="BB85" s="1163">
        <v>0.1</v>
      </c>
      <c r="BC85" s="1163">
        <v>0.1</v>
      </c>
      <c r="BD85" s="1163">
        <v>0.1</v>
      </c>
      <c r="BE85" s="1163">
        <v>0.1</v>
      </c>
      <c r="BF85" s="1163">
        <v>0.1</v>
      </c>
      <c r="BG85" s="1163">
        <v>0.1</v>
      </c>
      <c r="BH85" s="1163">
        <v>0.1</v>
      </c>
      <c r="BI85" s="1163">
        <v>0.1</v>
      </c>
      <c r="BJ85" s="1163">
        <v>0.1</v>
      </c>
      <c r="BK85" s="1164"/>
      <c r="BL85" s="1163"/>
      <c r="BM85" s="1163"/>
      <c r="BO85" s="1157" t="s">
        <v>2277</v>
      </c>
      <c r="BP85" s="1161" t="s">
        <v>1702</v>
      </c>
      <c r="BQ85" s="1158" t="s">
        <v>1704</v>
      </c>
      <c r="BR85" s="1163">
        <v>0.1</v>
      </c>
      <c r="BS85" s="1163">
        <v>0.1</v>
      </c>
      <c r="BT85" s="1163">
        <v>0.1</v>
      </c>
      <c r="BU85" s="1163">
        <v>0.1</v>
      </c>
      <c r="BV85" s="1163">
        <v>0.1</v>
      </c>
      <c r="BW85" s="1163">
        <v>0.1</v>
      </c>
      <c r="BX85" s="1163">
        <v>0.1</v>
      </c>
      <c r="BY85" s="1163">
        <v>0.1</v>
      </c>
      <c r="BZ85" s="1163">
        <v>0.1</v>
      </c>
      <c r="CA85" s="1163">
        <v>0.1</v>
      </c>
      <c r="CB85" s="1164"/>
      <c r="CC85" s="1163"/>
      <c r="CD85" s="1163"/>
      <c r="CE85" s="1382"/>
      <c r="CG85" s="1157" t="s">
        <v>2277</v>
      </c>
      <c r="CH85" s="1161" t="s">
        <v>1702</v>
      </c>
      <c r="CI85" s="1158" t="s">
        <v>1704</v>
      </c>
      <c r="CJ85" s="1531">
        <v>0</v>
      </c>
      <c r="CK85" s="1531">
        <v>0</v>
      </c>
      <c r="CL85" s="1531">
        <v>0</v>
      </c>
      <c r="CM85" s="1531">
        <v>0</v>
      </c>
      <c r="CN85" s="1531">
        <v>0</v>
      </c>
      <c r="CO85" s="1531">
        <v>0</v>
      </c>
      <c r="CP85" s="1531">
        <v>0</v>
      </c>
      <c r="CQ85" s="1531">
        <v>0</v>
      </c>
      <c r="CR85" s="1531">
        <v>0</v>
      </c>
      <c r="CS85" s="1531">
        <v>0</v>
      </c>
      <c r="CT85" s="1531">
        <v>0</v>
      </c>
      <c r="CU85" s="1531">
        <f t="shared" si="86"/>
        <v>0</v>
      </c>
      <c r="CV85" s="1531">
        <f t="shared" si="87"/>
        <v>0</v>
      </c>
      <c r="CX85" s="1157" t="s">
        <v>2277</v>
      </c>
      <c r="CY85" s="1161" t="s">
        <v>1702</v>
      </c>
      <c r="CZ85" s="1158" t="s">
        <v>1704</v>
      </c>
      <c r="DA85" s="1642">
        <v>0</v>
      </c>
      <c r="DB85" s="1520"/>
      <c r="DC85" s="1520"/>
      <c r="DD85" s="1520"/>
      <c r="DE85" s="1520"/>
      <c r="DF85" s="1520"/>
      <c r="DG85" s="1520"/>
      <c r="DH85" s="1520"/>
      <c r="DI85" s="1520"/>
      <c r="DJ85" s="1520"/>
      <c r="DK85" s="1520"/>
      <c r="DL85" s="1520"/>
      <c r="DM85" s="1520"/>
    </row>
    <row r="86" spans="2:117">
      <c r="B86" s="1136" t="str">
        <f t="shared" si="90"/>
        <v>2.2.4</v>
      </c>
      <c r="C86" s="1158" t="str">
        <f t="shared" si="67"/>
        <v>空調換気ダクトの更新必要間隔</v>
      </c>
      <c r="D86" s="1146">
        <f t="shared" si="91"/>
        <v>0.1</v>
      </c>
      <c r="E86" s="1156">
        <f t="shared" si="91"/>
        <v>0</v>
      </c>
      <c r="G86" s="1156">
        <f t="shared" si="72"/>
        <v>0.1</v>
      </c>
      <c r="H86" s="1156">
        <f t="shared" si="73"/>
        <v>0</v>
      </c>
      <c r="I86" s="1156"/>
      <c r="J86" s="1156"/>
      <c r="K86" s="1156">
        <f>IF(スコア!Q86=0,0,1)</f>
        <v>1</v>
      </c>
      <c r="L86" s="1156">
        <f>IF(スコア!S86=0,0,1)</f>
        <v>0</v>
      </c>
      <c r="M86" s="1156">
        <f t="shared" si="74"/>
        <v>0.1</v>
      </c>
      <c r="N86" s="1156">
        <f t="shared" si="75"/>
        <v>0</v>
      </c>
      <c r="P86" s="1157" t="str">
        <f t="shared" si="68"/>
        <v>2.2.4</v>
      </c>
      <c r="Q86" s="1157" t="str">
        <f t="shared" si="69"/>
        <v xml:space="preserve"> Q2 2.2</v>
      </c>
      <c r="R86" s="1158" t="str">
        <f t="shared" si="70"/>
        <v>空調換気ダクトの更新必要間隔</v>
      </c>
      <c r="S86" s="1585">
        <f t="shared" si="52"/>
        <v>0.1</v>
      </c>
      <c r="T86" s="1585">
        <f t="shared" si="53"/>
        <v>0.1</v>
      </c>
      <c r="U86" s="1585">
        <f t="shared" si="54"/>
        <v>0.1</v>
      </c>
      <c r="V86" s="1585">
        <f t="shared" si="55"/>
        <v>0.1</v>
      </c>
      <c r="W86" s="1585">
        <f t="shared" si="56"/>
        <v>0.1</v>
      </c>
      <c r="X86" s="1585">
        <f t="shared" si="57"/>
        <v>0.1</v>
      </c>
      <c r="Y86" s="1585">
        <f t="shared" si="58"/>
        <v>0.1</v>
      </c>
      <c r="Z86" s="1587">
        <f t="shared" si="59"/>
        <v>0.1</v>
      </c>
      <c r="AA86" s="1585">
        <f t="shared" si="60"/>
        <v>0.1</v>
      </c>
      <c r="AB86" s="1585">
        <f t="shared" si="61"/>
        <v>0.1</v>
      </c>
      <c r="AC86" s="1586">
        <f t="shared" si="62"/>
        <v>0</v>
      </c>
      <c r="AD86" s="1585">
        <f t="shared" si="63"/>
        <v>0</v>
      </c>
      <c r="AE86" s="1585">
        <f t="shared" si="64"/>
        <v>0</v>
      </c>
      <c r="AG86" s="1157" t="s">
        <v>2278</v>
      </c>
      <c r="AH86" s="1161" t="s">
        <v>1702</v>
      </c>
      <c r="AI86" s="1158" t="s">
        <v>1705</v>
      </c>
      <c r="AJ86" s="1160">
        <v>0.1</v>
      </c>
      <c r="AK86" s="1160">
        <v>0.1</v>
      </c>
      <c r="AL86" s="1160">
        <v>0.1</v>
      </c>
      <c r="AM86" s="1160">
        <v>0.1</v>
      </c>
      <c r="AN86" s="1160">
        <v>0.1</v>
      </c>
      <c r="AO86" s="1160">
        <v>0.1</v>
      </c>
      <c r="AP86" s="1160">
        <v>0.1</v>
      </c>
      <c r="AQ86" s="1160">
        <v>0.1</v>
      </c>
      <c r="AR86" s="1160">
        <v>0.1</v>
      </c>
      <c r="AS86" s="1163">
        <v>0.1</v>
      </c>
      <c r="AT86" s="1164">
        <v>0</v>
      </c>
      <c r="AU86" s="1163">
        <v>0</v>
      </c>
      <c r="AV86" s="1163">
        <v>0</v>
      </c>
      <c r="AX86" s="1157" t="s">
        <v>2279</v>
      </c>
      <c r="AY86" s="1161" t="s">
        <v>1702</v>
      </c>
      <c r="AZ86" s="1158" t="s">
        <v>1681</v>
      </c>
      <c r="BA86" s="1163">
        <v>0.1</v>
      </c>
      <c r="BB86" s="1163">
        <v>0.1</v>
      </c>
      <c r="BC86" s="1163">
        <v>0.1</v>
      </c>
      <c r="BD86" s="1163">
        <v>0.1</v>
      </c>
      <c r="BE86" s="1163">
        <v>0.1</v>
      </c>
      <c r="BF86" s="1163">
        <v>0.1</v>
      </c>
      <c r="BG86" s="1163">
        <v>0.1</v>
      </c>
      <c r="BH86" s="1163">
        <v>0.1</v>
      </c>
      <c r="BI86" s="1163">
        <v>0.1</v>
      </c>
      <c r="BJ86" s="1163">
        <v>0.1</v>
      </c>
      <c r="BK86" s="1164"/>
      <c r="BL86" s="1163"/>
      <c r="BM86" s="1163"/>
      <c r="BO86" s="1157" t="s">
        <v>2279</v>
      </c>
      <c r="BP86" s="1161" t="s">
        <v>1702</v>
      </c>
      <c r="BQ86" s="1158" t="s">
        <v>1705</v>
      </c>
      <c r="BR86" s="1163">
        <v>0.1</v>
      </c>
      <c r="BS86" s="1163">
        <v>0.1</v>
      </c>
      <c r="BT86" s="1163">
        <v>0.1</v>
      </c>
      <c r="BU86" s="1163">
        <v>0.1</v>
      </c>
      <c r="BV86" s="1163">
        <v>0.1</v>
      </c>
      <c r="BW86" s="1163">
        <v>0.1</v>
      </c>
      <c r="BX86" s="1163">
        <v>0.1</v>
      </c>
      <c r="BY86" s="1163">
        <v>0.1</v>
      </c>
      <c r="BZ86" s="1163">
        <v>0.1</v>
      </c>
      <c r="CA86" s="1163">
        <v>0.1</v>
      </c>
      <c r="CB86" s="1164"/>
      <c r="CC86" s="1163"/>
      <c r="CD86" s="1163"/>
      <c r="CE86" s="1382"/>
      <c r="CG86" s="1157" t="s">
        <v>2278</v>
      </c>
      <c r="CH86" s="1161" t="s">
        <v>1702</v>
      </c>
      <c r="CI86" s="1158" t="s">
        <v>1705</v>
      </c>
      <c r="CJ86" s="1531">
        <v>0</v>
      </c>
      <c r="CK86" s="1531">
        <v>0</v>
      </c>
      <c r="CL86" s="1531">
        <v>0</v>
      </c>
      <c r="CM86" s="1531">
        <v>0</v>
      </c>
      <c r="CN86" s="1531">
        <v>0</v>
      </c>
      <c r="CO86" s="1531">
        <v>0</v>
      </c>
      <c r="CP86" s="1531">
        <v>0</v>
      </c>
      <c r="CQ86" s="1531">
        <v>0</v>
      </c>
      <c r="CR86" s="1531">
        <v>0</v>
      </c>
      <c r="CS86" s="1531">
        <v>0</v>
      </c>
      <c r="CT86" s="1531">
        <v>0</v>
      </c>
      <c r="CU86" s="1531">
        <f t="shared" si="86"/>
        <v>0</v>
      </c>
      <c r="CV86" s="1531">
        <f t="shared" si="87"/>
        <v>0</v>
      </c>
      <c r="CX86" s="1157" t="s">
        <v>2278</v>
      </c>
      <c r="CY86" s="1161" t="s">
        <v>1702</v>
      </c>
      <c r="CZ86" s="1158" t="s">
        <v>1705</v>
      </c>
      <c r="DA86" s="1642">
        <v>0</v>
      </c>
      <c r="DB86" s="1520"/>
      <c r="DC86" s="1520"/>
      <c r="DD86" s="1520"/>
      <c r="DE86" s="1520"/>
      <c r="DF86" s="1520"/>
      <c r="DG86" s="1520"/>
      <c r="DH86" s="1520"/>
      <c r="DI86" s="1520"/>
      <c r="DJ86" s="1520"/>
      <c r="DK86" s="1520"/>
      <c r="DL86" s="1520"/>
      <c r="DM86" s="1520"/>
    </row>
    <row r="87" spans="2:117">
      <c r="B87" s="1136" t="str">
        <f t="shared" si="90"/>
        <v>2.2.5</v>
      </c>
      <c r="C87" s="1158" t="str">
        <f t="shared" si="67"/>
        <v>空調・給排水配管の更新必要間隔</v>
      </c>
      <c r="D87" s="1146">
        <f t="shared" si="91"/>
        <v>0.2</v>
      </c>
      <c r="E87" s="1156">
        <f t="shared" si="91"/>
        <v>0</v>
      </c>
      <c r="G87" s="1156">
        <f t="shared" si="72"/>
        <v>0.2</v>
      </c>
      <c r="H87" s="1156">
        <f t="shared" si="73"/>
        <v>0</v>
      </c>
      <c r="I87" s="1156"/>
      <c r="J87" s="1156"/>
      <c r="K87" s="1156">
        <f>IF(スコア!Q88=0,0,1)</f>
        <v>1</v>
      </c>
      <c r="L87" s="1156">
        <f>IF(スコア!S88=0,0,1)</f>
        <v>0</v>
      </c>
      <c r="M87" s="1156">
        <f t="shared" si="74"/>
        <v>0.2</v>
      </c>
      <c r="N87" s="1156">
        <f t="shared" si="75"/>
        <v>0</v>
      </c>
      <c r="P87" s="1157" t="str">
        <f t="shared" si="68"/>
        <v>2.2.5</v>
      </c>
      <c r="Q87" s="1157" t="str">
        <f t="shared" si="69"/>
        <v xml:space="preserve"> Q2 2.2</v>
      </c>
      <c r="R87" s="1158" t="str">
        <f t="shared" si="70"/>
        <v>空調・給排水配管の更新必要間隔</v>
      </c>
      <c r="S87" s="1585">
        <f t="shared" si="52"/>
        <v>0.2</v>
      </c>
      <c r="T87" s="1585">
        <f t="shared" si="53"/>
        <v>0.2</v>
      </c>
      <c r="U87" s="1585">
        <f t="shared" si="54"/>
        <v>0.2</v>
      </c>
      <c r="V87" s="1585">
        <f t="shared" si="55"/>
        <v>0.2</v>
      </c>
      <c r="W87" s="1585">
        <f t="shared" si="56"/>
        <v>0.2</v>
      </c>
      <c r="X87" s="1585">
        <f t="shared" si="57"/>
        <v>0.2</v>
      </c>
      <c r="Y87" s="1585">
        <f t="shared" si="58"/>
        <v>0.2</v>
      </c>
      <c r="Z87" s="1587">
        <f t="shared" si="59"/>
        <v>0.2</v>
      </c>
      <c r="AA87" s="1585">
        <f t="shared" si="60"/>
        <v>0.2</v>
      </c>
      <c r="AB87" s="1585">
        <f t="shared" si="61"/>
        <v>0.2</v>
      </c>
      <c r="AC87" s="1586">
        <f t="shared" si="62"/>
        <v>0</v>
      </c>
      <c r="AD87" s="1585">
        <f t="shared" si="63"/>
        <v>0</v>
      </c>
      <c r="AE87" s="1585">
        <f t="shared" si="64"/>
        <v>0</v>
      </c>
      <c r="AG87" s="1157" t="s">
        <v>2280</v>
      </c>
      <c r="AH87" s="1161" t="s">
        <v>1702</v>
      </c>
      <c r="AI87" s="1158" t="s">
        <v>1706</v>
      </c>
      <c r="AJ87" s="1160">
        <v>0.1</v>
      </c>
      <c r="AK87" s="1160">
        <v>0.1</v>
      </c>
      <c r="AL87" s="1160">
        <v>0.1</v>
      </c>
      <c r="AM87" s="1160">
        <v>0.1</v>
      </c>
      <c r="AN87" s="1160">
        <v>0.1</v>
      </c>
      <c r="AO87" s="1160">
        <v>0.1</v>
      </c>
      <c r="AP87" s="1160">
        <v>0.1</v>
      </c>
      <c r="AQ87" s="1160">
        <v>0.1</v>
      </c>
      <c r="AR87" s="1160">
        <v>0.1</v>
      </c>
      <c r="AS87" s="1163">
        <v>0.1</v>
      </c>
      <c r="AT87" s="1164"/>
      <c r="AU87" s="1163"/>
      <c r="AV87" s="1163"/>
      <c r="AX87" s="1157" t="s">
        <v>2281</v>
      </c>
      <c r="AY87" s="1161" t="s">
        <v>1702</v>
      </c>
      <c r="AZ87" s="1158" t="s">
        <v>1682</v>
      </c>
      <c r="BA87" s="1163">
        <v>0.2</v>
      </c>
      <c r="BB87" s="1163">
        <v>0.2</v>
      </c>
      <c r="BC87" s="1163">
        <v>0.2</v>
      </c>
      <c r="BD87" s="1163">
        <v>0.2</v>
      </c>
      <c r="BE87" s="1163">
        <v>0.2</v>
      </c>
      <c r="BF87" s="1163">
        <v>0.2</v>
      </c>
      <c r="BG87" s="1163">
        <v>0.2</v>
      </c>
      <c r="BH87" s="1163">
        <v>0.2</v>
      </c>
      <c r="BI87" s="1163">
        <v>0.2</v>
      </c>
      <c r="BJ87" s="1163">
        <v>0.2</v>
      </c>
      <c r="BK87" s="1164"/>
      <c r="BL87" s="1163"/>
      <c r="BM87" s="1163"/>
      <c r="BO87" s="1157" t="s">
        <v>2281</v>
      </c>
      <c r="BP87" s="1161" t="s">
        <v>1702</v>
      </c>
      <c r="BQ87" s="1158" t="s">
        <v>1706</v>
      </c>
      <c r="BR87" s="1163">
        <v>0.2</v>
      </c>
      <c r="BS87" s="1163">
        <v>0.2</v>
      </c>
      <c r="BT87" s="1163">
        <v>0.2</v>
      </c>
      <c r="BU87" s="1163">
        <v>0.2</v>
      </c>
      <c r="BV87" s="1163">
        <v>0.2</v>
      </c>
      <c r="BW87" s="1163">
        <v>0.2</v>
      </c>
      <c r="BX87" s="1163">
        <v>0.2</v>
      </c>
      <c r="BY87" s="1163">
        <v>0.2</v>
      </c>
      <c r="BZ87" s="1163">
        <v>0.2</v>
      </c>
      <c r="CA87" s="1163">
        <v>0.2</v>
      </c>
      <c r="CB87" s="1164"/>
      <c r="CC87" s="1163"/>
      <c r="CD87" s="1163"/>
      <c r="CE87" s="1382"/>
      <c r="CG87" s="1157" t="s">
        <v>2280</v>
      </c>
      <c r="CH87" s="1161" t="s">
        <v>1702</v>
      </c>
      <c r="CI87" s="1158" t="s">
        <v>1706</v>
      </c>
      <c r="CJ87" s="1531">
        <v>0</v>
      </c>
      <c r="CK87" s="1531">
        <v>0</v>
      </c>
      <c r="CL87" s="1531">
        <v>0</v>
      </c>
      <c r="CM87" s="1531">
        <v>0</v>
      </c>
      <c r="CN87" s="1531">
        <v>0</v>
      </c>
      <c r="CO87" s="1531">
        <v>0</v>
      </c>
      <c r="CP87" s="1531">
        <v>0</v>
      </c>
      <c r="CQ87" s="1531">
        <v>0</v>
      </c>
      <c r="CR87" s="1531">
        <v>0</v>
      </c>
      <c r="CS87" s="1531">
        <v>0</v>
      </c>
      <c r="CT87" s="1531">
        <v>0</v>
      </c>
      <c r="CU87" s="1531">
        <f t="shared" si="86"/>
        <v>0</v>
      </c>
      <c r="CV87" s="1531">
        <f t="shared" si="87"/>
        <v>0</v>
      </c>
      <c r="CX87" s="1157" t="s">
        <v>2280</v>
      </c>
      <c r="CY87" s="1161" t="s">
        <v>1702</v>
      </c>
      <c r="CZ87" s="1158" t="s">
        <v>1706</v>
      </c>
      <c r="DA87" s="1642">
        <v>0</v>
      </c>
      <c r="DB87" s="1520"/>
      <c r="DC87" s="1520"/>
      <c r="DD87" s="1520"/>
      <c r="DE87" s="1520"/>
      <c r="DF87" s="1520"/>
      <c r="DG87" s="1520"/>
      <c r="DH87" s="1520"/>
      <c r="DI87" s="1520"/>
      <c r="DJ87" s="1520"/>
      <c r="DK87" s="1520"/>
      <c r="DL87" s="1520"/>
      <c r="DM87" s="1520"/>
    </row>
    <row r="88" spans="2:117">
      <c r="B88" s="1136" t="str">
        <f t="shared" si="90"/>
        <v>2.2.6</v>
      </c>
      <c r="C88" s="1675" t="str">
        <f t="shared" si="67"/>
        <v>主要設備機器の更新必要間隔</v>
      </c>
      <c r="D88" s="1146">
        <f t="shared" si="91"/>
        <v>0.2</v>
      </c>
      <c r="E88" s="1156">
        <f t="shared" si="91"/>
        <v>0</v>
      </c>
      <c r="G88" s="1156">
        <f t="shared" si="72"/>
        <v>0.2</v>
      </c>
      <c r="H88" s="1156">
        <f t="shared" si="73"/>
        <v>0</v>
      </c>
      <c r="I88" s="1156"/>
      <c r="J88" s="1156"/>
      <c r="K88" s="1156">
        <f>IF(スコア!Q88=0,0,1)</f>
        <v>1</v>
      </c>
      <c r="L88" s="1156">
        <f>IF(スコア!S88=0,0,1)</f>
        <v>0</v>
      </c>
      <c r="M88" s="1156">
        <f t="shared" si="74"/>
        <v>0.2</v>
      </c>
      <c r="N88" s="1156">
        <f t="shared" si="75"/>
        <v>0</v>
      </c>
      <c r="P88" s="1157" t="str">
        <f t="shared" si="68"/>
        <v>2.2.6</v>
      </c>
      <c r="Q88" s="1157" t="str">
        <f t="shared" si="69"/>
        <v xml:space="preserve"> Q2 2.2</v>
      </c>
      <c r="R88" s="1158" t="str">
        <f t="shared" si="70"/>
        <v>主要設備機器の更新必要間隔</v>
      </c>
      <c r="S88" s="1585">
        <f t="shared" si="52"/>
        <v>0.2</v>
      </c>
      <c r="T88" s="1585">
        <f t="shared" si="53"/>
        <v>0.2</v>
      </c>
      <c r="U88" s="1585">
        <f t="shared" si="54"/>
        <v>0.2</v>
      </c>
      <c r="V88" s="1585">
        <f t="shared" si="55"/>
        <v>0.2</v>
      </c>
      <c r="W88" s="1585">
        <f t="shared" si="56"/>
        <v>0.2</v>
      </c>
      <c r="X88" s="1585">
        <f t="shared" si="57"/>
        <v>0.2</v>
      </c>
      <c r="Y88" s="1585">
        <f t="shared" si="58"/>
        <v>0.2</v>
      </c>
      <c r="Z88" s="1587">
        <f t="shared" si="59"/>
        <v>0.2</v>
      </c>
      <c r="AA88" s="1585">
        <f t="shared" si="60"/>
        <v>0.2</v>
      </c>
      <c r="AB88" s="1585">
        <f t="shared" si="61"/>
        <v>0.2</v>
      </c>
      <c r="AC88" s="1586">
        <f t="shared" si="62"/>
        <v>0</v>
      </c>
      <c r="AD88" s="1585">
        <f t="shared" si="63"/>
        <v>0</v>
      </c>
      <c r="AE88" s="1585">
        <f t="shared" si="64"/>
        <v>0</v>
      </c>
      <c r="AG88" s="1157" t="s">
        <v>2282</v>
      </c>
      <c r="AH88" s="1161" t="s">
        <v>1702</v>
      </c>
      <c r="AI88" s="1158" t="s">
        <v>1707</v>
      </c>
      <c r="AJ88" s="1160">
        <v>0.2</v>
      </c>
      <c r="AK88" s="1160">
        <v>0.2</v>
      </c>
      <c r="AL88" s="1160">
        <v>0.2</v>
      </c>
      <c r="AM88" s="1160">
        <v>0.2</v>
      </c>
      <c r="AN88" s="1160">
        <v>0.2</v>
      </c>
      <c r="AO88" s="1160">
        <v>0.2</v>
      </c>
      <c r="AP88" s="1160">
        <v>0.2</v>
      </c>
      <c r="AQ88" s="1160">
        <v>0.2</v>
      </c>
      <c r="AR88" s="1160">
        <v>0.2</v>
      </c>
      <c r="AS88" s="1163">
        <v>0.25</v>
      </c>
      <c r="AT88" s="1164">
        <v>0</v>
      </c>
      <c r="AU88" s="1163">
        <v>0</v>
      </c>
      <c r="AV88" s="1163">
        <v>0</v>
      </c>
      <c r="AX88" s="1157" t="s">
        <v>2282</v>
      </c>
      <c r="AY88" s="1161" t="s">
        <v>1702</v>
      </c>
      <c r="AZ88" s="1158" t="s">
        <v>1707</v>
      </c>
      <c r="BA88" s="1163">
        <v>0.2</v>
      </c>
      <c r="BB88" s="1163">
        <v>0.2</v>
      </c>
      <c r="BC88" s="1163">
        <v>0.2</v>
      </c>
      <c r="BD88" s="1163">
        <v>0.2</v>
      </c>
      <c r="BE88" s="1163">
        <v>0.2</v>
      </c>
      <c r="BF88" s="1163">
        <v>0.2</v>
      </c>
      <c r="BG88" s="1163">
        <v>0.2</v>
      </c>
      <c r="BH88" s="1163">
        <v>0.2</v>
      </c>
      <c r="BI88" s="1163">
        <v>0.2</v>
      </c>
      <c r="BJ88" s="1163">
        <v>0.2</v>
      </c>
      <c r="BK88" s="1164"/>
      <c r="BL88" s="1163"/>
      <c r="BM88" s="1163"/>
      <c r="BO88" s="1157" t="s">
        <v>2282</v>
      </c>
      <c r="BP88" s="1161" t="s">
        <v>1702</v>
      </c>
      <c r="BQ88" s="1158" t="s">
        <v>1707</v>
      </c>
      <c r="BR88" s="1163">
        <v>0.2</v>
      </c>
      <c r="BS88" s="1163">
        <v>0.2</v>
      </c>
      <c r="BT88" s="1163">
        <v>0.2</v>
      </c>
      <c r="BU88" s="1163">
        <v>0.2</v>
      </c>
      <c r="BV88" s="1163">
        <v>0.2</v>
      </c>
      <c r="BW88" s="1163">
        <v>0.2</v>
      </c>
      <c r="BX88" s="1163">
        <v>0.2</v>
      </c>
      <c r="BY88" s="1163">
        <v>0.2</v>
      </c>
      <c r="BZ88" s="1163">
        <v>0.2</v>
      </c>
      <c r="CA88" s="1163">
        <v>0.2</v>
      </c>
      <c r="CB88" s="1164"/>
      <c r="CC88" s="1163"/>
      <c r="CD88" s="1163"/>
      <c r="CE88" s="1382"/>
      <c r="CG88" s="1157" t="s">
        <v>2282</v>
      </c>
      <c r="CH88" s="1161" t="s">
        <v>1702</v>
      </c>
      <c r="CI88" s="1158" t="s">
        <v>1707</v>
      </c>
      <c r="CJ88" s="1531">
        <v>0</v>
      </c>
      <c r="CK88" s="1531">
        <v>0</v>
      </c>
      <c r="CL88" s="1531">
        <v>0</v>
      </c>
      <c r="CM88" s="1531">
        <v>0</v>
      </c>
      <c r="CN88" s="1531">
        <v>0</v>
      </c>
      <c r="CO88" s="1531">
        <v>0</v>
      </c>
      <c r="CP88" s="1531">
        <v>0</v>
      </c>
      <c r="CQ88" s="1531">
        <v>0</v>
      </c>
      <c r="CR88" s="1531">
        <v>0</v>
      </c>
      <c r="CS88" s="1531">
        <v>0</v>
      </c>
      <c r="CT88" s="1531">
        <v>0</v>
      </c>
      <c r="CU88" s="1531">
        <f t="shared" si="86"/>
        <v>0</v>
      </c>
      <c r="CV88" s="1531">
        <f t="shared" si="87"/>
        <v>0</v>
      </c>
      <c r="CX88" s="1157" t="s">
        <v>2282</v>
      </c>
      <c r="CY88" s="1161" t="s">
        <v>1702</v>
      </c>
      <c r="CZ88" s="1158" t="s">
        <v>1707</v>
      </c>
      <c r="DA88" s="1642">
        <v>0</v>
      </c>
      <c r="DB88" s="1520"/>
      <c r="DC88" s="1520"/>
      <c r="DD88" s="1520"/>
      <c r="DE88" s="1520"/>
      <c r="DF88" s="1520"/>
      <c r="DG88" s="1520"/>
      <c r="DH88" s="1520"/>
      <c r="DI88" s="1520"/>
      <c r="DJ88" s="1520"/>
      <c r="DK88" s="1520"/>
      <c r="DL88" s="1520"/>
      <c r="DM88" s="1520"/>
    </row>
    <row r="89" spans="2:117">
      <c r="B89" s="1136">
        <f t="shared" si="90"/>
        <v>2.2999999999999998</v>
      </c>
      <c r="C89" s="1675" t="str">
        <f t="shared" si="67"/>
        <v>適切な更新</v>
      </c>
      <c r="D89" s="1155">
        <f>IF(I$78=0,0,G89/I$78)</f>
        <v>0</v>
      </c>
      <c r="E89" s="1156">
        <f>IF(J$78=0,0,H89/J$78)</f>
        <v>0</v>
      </c>
      <c r="G89" s="1156">
        <f>K89*M89</f>
        <v>0</v>
      </c>
      <c r="H89" s="1156">
        <f t="shared" si="73"/>
        <v>0</v>
      </c>
      <c r="I89" s="1156">
        <f>G90+G91+G92</f>
        <v>0</v>
      </c>
      <c r="J89" s="1156">
        <f>H90+H91+H92</f>
        <v>0</v>
      </c>
      <c r="K89" s="1156">
        <f>IF(スコア!Q89=0,0,1)</f>
        <v>0</v>
      </c>
      <c r="L89" s="1156">
        <f>IF(スコア!S93=0,0,1)</f>
        <v>0</v>
      </c>
      <c r="M89" s="1156">
        <f t="shared" si="74"/>
        <v>0</v>
      </c>
      <c r="N89" s="1156">
        <f t="shared" si="75"/>
        <v>0</v>
      </c>
      <c r="P89" s="1157">
        <f t="shared" si="68"/>
        <v>2.2999999999999998</v>
      </c>
      <c r="Q89" s="1157" t="str">
        <f t="shared" si="69"/>
        <v xml:space="preserve"> Q2 2</v>
      </c>
      <c r="R89" s="1158" t="str">
        <f t="shared" si="70"/>
        <v>適切な更新</v>
      </c>
      <c r="S89" s="1585">
        <f t="shared" si="52"/>
        <v>0</v>
      </c>
      <c r="T89" s="1585">
        <f t="shared" si="53"/>
        <v>0</v>
      </c>
      <c r="U89" s="1585">
        <f t="shared" si="54"/>
        <v>0</v>
      </c>
      <c r="V89" s="1585">
        <f t="shared" si="55"/>
        <v>0</v>
      </c>
      <c r="W89" s="1585">
        <f t="shared" si="56"/>
        <v>0</v>
      </c>
      <c r="X89" s="1585">
        <f t="shared" si="57"/>
        <v>0</v>
      </c>
      <c r="Y89" s="1585">
        <f t="shared" si="58"/>
        <v>0</v>
      </c>
      <c r="Z89" s="1587">
        <f t="shared" si="59"/>
        <v>0</v>
      </c>
      <c r="AA89" s="1585">
        <f t="shared" si="60"/>
        <v>0</v>
      </c>
      <c r="AB89" s="1585">
        <f t="shared" si="61"/>
        <v>0</v>
      </c>
      <c r="AC89" s="1586">
        <f t="shared" si="62"/>
        <v>0</v>
      </c>
      <c r="AD89" s="1585">
        <f t="shared" si="63"/>
        <v>0</v>
      </c>
      <c r="AE89" s="1585">
        <f t="shared" si="64"/>
        <v>0</v>
      </c>
      <c r="AG89" s="1157">
        <v>2.2999999999999998</v>
      </c>
      <c r="AH89" s="1157" t="s">
        <v>2283</v>
      </c>
      <c r="AI89" s="1161" t="s">
        <v>650</v>
      </c>
      <c r="AJ89" s="1159">
        <v>0.25</v>
      </c>
      <c r="AK89" s="1159">
        <v>0.25</v>
      </c>
      <c r="AL89" s="1159">
        <v>0.25</v>
      </c>
      <c r="AM89" s="1159">
        <v>0.25</v>
      </c>
      <c r="AN89" s="1159">
        <v>0.25</v>
      </c>
      <c r="AO89" s="1159">
        <v>0.25</v>
      </c>
      <c r="AP89" s="1159">
        <v>0.25</v>
      </c>
      <c r="AQ89" s="1167">
        <v>0.25</v>
      </c>
      <c r="AR89" s="1159">
        <v>0.25</v>
      </c>
      <c r="AS89" s="1163">
        <v>0.25</v>
      </c>
      <c r="AT89" s="1163"/>
      <c r="AU89" s="1164"/>
      <c r="AV89" s="1163"/>
      <c r="AX89" s="1179">
        <v>2.2999999999999998</v>
      </c>
      <c r="AY89" s="1203" t="s">
        <v>1698</v>
      </c>
      <c r="AZ89" s="1180" t="s">
        <v>1683</v>
      </c>
      <c r="BA89" s="1183">
        <v>0</v>
      </c>
      <c r="BB89" s="1183">
        <v>0</v>
      </c>
      <c r="BC89" s="1183">
        <v>0</v>
      </c>
      <c r="BD89" s="1183">
        <v>0</v>
      </c>
      <c r="BE89" s="1183">
        <v>0</v>
      </c>
      <c r="BF89" s="1183">
        <v>0</v>
      </c>
      <c r="BG89" s="1183">
        <v>0</v>
      </c>
      <c r="BH89" s="1183">
        <v>0</v>
      </c>
      <c r="BI89" s="1183">
        <v>0</v>
      </c>
      <c r="BJ89" s="1183">
        <v>0</v>
      </c>
      <c r="BK89" s="1185"/>
      <c r="BL89" s="1183"/>
      <c r="BM89" s="1183"/>
      <c r="BO89" s="1179">
        <v>2.2999999999999998</v>
      </c>
      <c r="BP89" s="1203" t="s">
        <v>1698</v>
      </c>
      <c r="BQ89" s="1180" t="s">
        <v>650</v>
      </c>
      <c r="BR89" s="1183">
        <v>0</v>
      </c>
      <c r="BS89" s="1183">
        <v>0</v>
      </c>
      <c r="BT89" s="1183">
        <v>0</v>
      </c>
      <c r="BU89" s="1183">
        <v>0</v>
      </c>
      <c r="BV89" s="1183">
        <v>0</v>
      </c>
      <c r="BW89" s="1183">
        <v>0</v>
      </c>
      <c r="BX89" s="1183">
        <v>0</v>
      </c>
      <c r="BY89" s="1183">
        <v>0</v>
      </c>
      <c r="BZ89" s="1183">
        <v>0</v>
      </c>
      <c r="CA89" s="1183">
        <v>0</v>
      </c>
      <c r="CB89" s="1183"/>
      <c r="CC89" s="1183"/>
      <c r="CD89" s="1183"/>
      <c r="CE89" s="1382"/>
      <c r="CG89" s="1179">
        <v>2.2999999999999998</v>
      </c>
      <c r="CH89" s="1203" t="s">
        <v>1698</v>
      </c>
      <c r="CI89" s="1180" t="s">
        <v>650</v>
      </c>
      <c r="CJ89" s="1538">
        <f t="shared" si="88"/>
        <v>0</v>
      </c>
      <c r="CK89" s="1538">
        <f t="shared" si="76"/>
        <v>0</v>
      </c>
      <c r="CL89" s="1538">
        <f t="shared" si="77"/>
        <v>0</v>
      </c>
      <c r="CM89" s="1538">
        <f t="shared" si="78"/>
        <v>0</v>
      </c>
      <c r="CN89" s="1538">
        <f t="shared" si="79"/>
        <v>0</v>
      </c>
      <c r="CO89" s="1538">
        <f t="shared" si="80"/>
        <v>0</v>
      </c>
      <c r="CP89" s="1538">
        <f t="shared" si="81"/>
        <v>0</v>
      </c>
      <c r="CQ89" s="1538">
        <f t="shared" si="82"/>
        <v>0</v>
      </c>
      <c r="CR89" s="1538">
        <f t="shared" si="83"/>
        <v>0</v>
      </c>
      <c r="CS89" s="1538">
        <f t="shared" si="84"/>
        <v>0</v>
      </c>
      <c r="CT89" s="1538">
        <f t="shared" si="85"/>
        <v>0</v>
      </c>
      <c r="CU89" s="1538">
        <f t="shared" si="86"/>
        <v>0</v>
      </c>
      <c r="CV89" s="1538">
        <f t="shared" si="87"/>
        <v>0</v>
      </c>
      <c r="CX89" s="1179">
        <v>2.2999999999999998</v>
      </c>
      <c r="CY89" s="1203" t="s">
        <v>1698</v>
      </c>
      <c r="CZ89" s="1180" t="s">
        <v>650</v>
      </c>
      <c r="DA89" s="1627">
        <f t="shared" si="89"/>
        <v>0</v>
      </c>
      <c r="DB89" s="1627"/>
      <c r="DC89" s="1627"/>
      <c r="DD89" s="1627"/>
      <c r="DE89" s="1627"/>
      <c r="DF89" s="1627"/>
      <c r="DG89" s="1627"/>
      <c r="DH89" s="1627"/>
      <c r="DI89" s="1627"/>
      <c r="DJ89" s="1627"/>
      <c r="DK89" s="1627"/>
      <c r="DL89" s="1627"/>
      <c r="DM89" s="1627"/>
    </row>
    <row r="90" spans="2:117" hidden="1">
      <c r="B90" s="1136" t="str">
        <f t="shared" si="90"/>
        <v>2.3.1</v>
      </c>
      <c r="C90" s="1675">
        <f t="shared" si="67"/>
        <v>0</v>
      </c>
      <c r="D90" s="1146">
        <f t="shared" ref="D90:E92" si="92">IF(I$89&gt;0,G90/I$89,0)</f>
        <v>0</v>
      </c>
      <c r="E90" s="1146">
        <f t="shared" si="92"/>
        <v>0</v>
      </c>
      <c r="G90" s="1156">
        <f t="shared" si="72"/>
        <v>0</v>
      </c>
      <c r="H90" s="1156">
        <f t="shared" si="73"/>
        <v>0</v>
      </c>
      <c r="I90" s="1156"/>
      <c r="J90" s="1156"/>
      <c r="K90" s="1156">
        <f>IF(スコア!Q90=0,0,1)</f>
        <v>1</v>
      </c>
      <c r="L90" s="1156">
        <f>IF(スコア!S94=0,0,1)</f>
        <v>0</v>
      </c>
      <c r="M90" s="1156">
        <f t="shared" si="74"/>
        <v>0</v>
      </c>
      <c r="N90" s="1156">
        <f t="shared" si="75"/>
        <v>0</v>
      </c>
      <c r="P90" s="1157" t="str">
        <f t="shared" si="68"/>
        <v>2.3.1</v>
      </c>
      <c r="Q90" s="1157" t="str">
        <f t="shared" si="69"/>
        <v xml:space="preserve"> Q2 2.3</v>
      </c>
      <c r="R90" s="1158">
        <f t="shared" si="70"/>
        <v>0</v>
      </c>
      <c r="S90" s="1585">
        <f t="shared" si="52"/>
        <v>0</v>
      </c>
      <c r="T90" s="1585">
        <f t="shared" si="53"/>
        <v>0</v>
      </c>
      <c r="U90" s="1585">
        <f t="shared" si="54"/>
        <v>0</v>
      </c>
      <c r="V90" s="1585">
        <f t="shared" si="55"/>
        <v>0</v>
      </c>
      <c r="W90" s="1585">
        <f t="shared" si="56"/>
        <v>0</v>
      </c>
      <c r="X90" s="1585">
        <f t="shared" si="57"/>
        <v>0</v>
      </c>
      <c r="Y90" s="1585">
        <f t="shared" si="58"/>
        <v>0</v>
      </c>
      <c r="Z90" s="1587">
        <f t="shared" si="59"/>
        <v>0</v>
      </c>
      <c r="AA90" s="1585">
        <f t="shared" si="60"/>
        <v>0</v>
      </c>
      <c r="AB90" s="1585">
        <f t="shared" si="61"/>
        <v>0</v>
      </c>
      <c r="AC90" s="1586">
        <f t="shared" si="62"/>
        <v>0</v>
      </c>
      <c r="AD90" s="1585">
        <f t="shared" si="63"/>
        <v>0</v>
      </c>
      <c r="AE90" s="1585">
        <f t="shared" si="64"/>
        <v>0</v>
      </c>
      <c r="AG90" s="1157" t="s">
        <v>2284</v>
      </c>
      <c r="AH90" s="1157" t="s">
        <v>2285</v>
      </c>
      <c r="AI90" s="1161" t="s">
        <v>63</v>
      </c>
      <c r="AJ90" s="1194">
        <v>0.33333333333333331</v>
      </c>
      <c r="AK90" s="1194">
        <v>0.33333333333333331</v>
      </c>
      <c r="AL90" s="1194">
        <v>0.33333333333333331</v>
      </c>
      <c r="AM90" s="1194">
        <v>0.33333333333333331</v>
      </c>
      <c r="AN90" s="1194">
        <v>0.33333333333333331</v>
      </c>
      <c r="AO90" s="1194">
        <v>0.33333333333333331</v>
      </c>
      <c r="AP90" s="1194">
        <v>0.33333333333333331</v>
      </c>
      <c r="AQ90" s="1194">
        <v>0.33333333333333331</v>
      </c>
      <c r="AR90" s="1194">
        <v>0.33333333333333331</v>
      </c>
      <c r="AS90" s="1163">
        <v>0.33333333333333331</v>
      </c>
      <c r="AT90" s="1163"/>
      <c r="AU90" s="1164"/>
      <c r="AV90" s="1163"/>
      <c r="AX90" s="1179" t="s">
        <v>2286</v>
      </c>
      <c r="AY90" s="425" t="s">
        <v>1708</v>
      </c>
      <c r="AZ90" s="1180" t="s">
        <v>1684</v>
      </c>
      <c r="BA90" s="1183">
        <v>0</v>
      </c>
      <c r="BB90" s="1183">
        <v>0</v>
      </c>
      <c r="BC90" s="1183">
        <v>0</v>
      </c>
      <c r="BD90" s="1183">
        <v>0</v>
      </c>
      <c r="BE90" s="1183">
        <v>0</v>
      </c>
      <c r="BF90" s="1183">
        <v>0</v>
      </c>
      <c r="BG90" s="1183">
        <v>0</v>
      </c>
      <c r="BH90" s="1183">
        <v>0</v>
      </c>
      <c r="BI90" s="1183">
        <v>0</v>
      </c>
      <c r="BJ90" s="1183">
        <v>0</v>
      </c>
      <c r="BK90" s="1185"/>
      <c r="BL90" s="1183"/>
      <c r="BM90" s="1183"/>
      <c r="BO90" s="1179" t="s">
        <v>2286</v>
      </c>
      <c r="BP90" s="425" t="s">
        <v>1708</v>
      </c>
      <c r="BQ90" s="1180"/>
      <c r="BR90" s="1183">
        <v>0</v>
      </c>
      <c r="BS90" s="1183">
        <v>0</v>
      </c>
      <c r="BT90" s="1183">
        <v>0</v>
      </c>
      <c r="BU90" s="1183">
        <v>0</v>
      </c>
      <c r="BV90" s="1183">
        <v>0</v>
      </c>
      <c r="BW90" s="1183">
        <v>0</v>
      </c>
      <c r="BX90" s="1183">
        <v>0</v>
      </c>
      <c r="BY90" s="1183">
        <v>0</v>
      </c>
      <c r="BZ90" s="1183">
        <v>0</v>
      </c>
      <c r="CA90" s="1183">
        <v>0</v>
      </c>
      <c r="CB90" s="1183"/>
      <c r="CC90" s="1183"/>
      <c r="CD90" s="1183"/>
      <c r="CE90" s="1382"/>
      <c r="CG90" s="1179" t="s">
        <v>213</v>
      </c>
      <c r="CH90" s="425" t="s">
        <v>1708</v>
      </c>
      <c r="CI90" s="1180"/>
      <c r="CJ90" s="1538">
        <f t="shared" si="88"/>
        <v>0</v>
      </c>
      <c r="CK90" s="1538">
        <f t="shared" si="76"/>
        <v>0</v>
      </c>
      <c r="CL90" s="1538">
        <f t="shared" si="77"/>
        <v>0</v>
      </c>
      <c r="CM90" s="1538">
        <f t="shared" si="78"/>
        <v>0</v>
      </c>
      <c r="CN90" s="1538">
        <f t="shared" si="79"/>
        <v>0</v>
      </c>
      <c r="CO90" s="1538">
        <f t="shared" si="80"/>
        <v>0</v>
      </c>
      <c r="CP90" s="1538">
        <f t="shared" si="81"/>
        <v>0</v>
      </c>
      <c r="CQ90" s="1538">
        <f t="shared" si="82"/>
        <v>0</v>
      </c>
      <c r="CR90" s="1538">
        <f t="shared" si="83"/>
        <v>0</v>
      </c>
      <c r="CS90" s="1538">
        <f t="shared" si="84"/>
        <v>0</v>
      </c>
      <c r="CT90" s="1538">
        <f t="shared" si="85"/>
        <v>0</v>
      </c>
      <c r="CU90" s="1538">
        <f t="shared" si="86"/>
        <v>0</v>
      </c>
      <c r="CV90" s="1538">
        <f t="shared" si="87"/>
        <v>0</v>
      </c>
      <c r="CX90" s="1179" t="s">
        <v>213</v>
      </c>
      <c r="CY90" s="425" t="s">
        <v>1708</v>
      </c>
      <c r="CZ90" s="1180" t="s">
        <v>63</v>
      </c>
      <c r="DA90" s="1627">
        <f t="shared" si="89"/>
        <v>0</v>
      </c>
      <c r="DB90" s="1627"/>
      <c r="DC90" s="1627"/>
      <c r="DD90" s="1627"/>
      <c r="DE90" s="1627"/>
      <c r="DF90" s="1627"/>
      <c r="DG90" s="1627"/>
      <c r="DH90" s="1627"/>
      <c r="DI90" s="1627"/>
      <c r="DJ90" s="1627"/>
      <c r="DK90" s="1627"/>
      <c r="DL90" s="1627"/>
      <c r="DM90" s="1627"/>
    </row>
    <row r="91" spans="2:117" hidden="1">
      <c r="B91" s="1136" t="str">
        <f t="shared" si="90"/>
        <v>2.3.2</v>
      </c>
      <c r="C91" s="1675">
        <f t="shared" si="67"/>
        <v>0</v>
      </c>
      <c r="D91" s="1146">
        <f t="shared" si="92"/>
        <v>0</v>
      </c>
      <c r="E91" s="1146">
        <f t="shared" si="92"/>
        <v>0</v>
      </c>
      <c r="G91" s="1156">
        <f t="shared" si="72"/>
        <v>0</v>
      </c>
      <c r="H91" s="1156">
        <f t="shared" si="73"/>
        <v>0</v>
      </c>
      <c r="I91" s="1156"/>
      <c r="J91" s="1156"/>
      <c r="K91" s="1156">
        <f>IF(スコア!Q91=0,0,1)</f>
        <v>1</v>
      </c>
      <c r="L91" s="1156">
        <f>IF(スコア!S95=0,0,1)</f>
        <v>0</v>
      </c>
      <c r="M91" s="1156">
        <f t="shared" si="74"/>
        <v>0</v>
      </c>
      <c r="N91" s="1156">
        <f t="shared" si="75"/>
        <v>0</v>
      </c>
      <c r="P91" s="1157" t="str">
        <f t="shared" si="68"/>
        <v>2.3.2</v>
      </c>
      <c r="Q91" s="1157" t="str">
        <f t="shared" si="69"/>
        <v xml:space="preserve"> Q2 2.3</v>
      </c>
      <c r="R91" s="1158">
        <f t="shared" si="70"/>
        <v>0</v>
      </c>
      <c r="S91" s="1585">
        <f t="shared" si="52"/>
        <v>0</v>
      </c>
      <c r="T91" s="1585">
        <f t="shared" si="53"/>
        <v>0</v>
      </c>
      <c r="U91" s="1585">
        <f t="shared" si="54"/>
        <v>0</v>
      </c>
      <c r="V91" s="1585">
        <f t="shared" si="55"/>
        <v>0</v>
      </c>
      <c r="W91" s="1585">
        <f t="shared" si="56"/>
        <v>0</v>
      </c>
      <c r="X91" s="1585">
        <f t="shared" si="57"/>
        <v>0</v>
      </c>
      <c r="Y91" s="1585">
        <f t="shared" si="58"/>
        <v>0</v>
      </c>
      <c r="Z91" s="1587">
        <f t="shared" si="59"/>
        <v>0</v>
      </c>
      <c r="AA91" s="1585">
        <f t="shared" si="60"/>
        <v>0</v>
      </c>
      <c r="AB91" s="1585">
        <f t="shared" si="61"/>
        <v>0</v>
      </c>
      <c r="AC91" s="1586">
        <f t="shared" si="62"/>
        <v>0</v>
      </c>
      <c r="AD91" s="1585">
        <f t="shared" si="63"/>
        <v>0</v>
      </c>
      <c r="AE91" s="1585">
        <f t="shared" si="64"/>
        <v>0</v>
      </c>
      <c r="AG91" s="1157" t="s">
        <v>2287</v>
      </c>
      <c r="AH91" s="1157" t="s">
        <v>2288</v>
      </c>
      <c r="AI91" s="1161" t="s">
        <v>64</v>
      </c>
      <c r="AJ91" s="1194">
        <v>0.33333333333333331</v>
      </c>
      <c r="AK91" s="1194">
        <v>0.33333333333333331</v>
      </c>
      <c r="AL91" s="1194">
        <v>0.33333333333333331</v>
      </c>
      <c r="AM91" s="1194">
        <v>0.33333333333333331</v>
      </c>
      <c r="AN91" s="1194">
        <v>0.33333333333333331</v>
      </c>
      <c r="AO91" s="1194">
        <v>0.33333333333333331</v>
      </c>
      <c r="AP91" s="1194">
        <v>0.33333333333333331</v>
      </c>
      <c r="AQ91" s="1194">
        <v>0.33333333333333331</v>
      </c>
      <c r="AR91" s="1194">
        <v>0.33333333333333331</v>
      </c>
      <c r="AS91" s="1163">
        <v>0.33333333333333331</v>
      </c>
      <c r="AT91" s="1163"/>
      <c r="AU91" s="1164"/>
      <c r="AV91" s="1163"/>
      <c r="AX91" s="1179" t="s">
        <v>1136</v>
      </c>
      <c r="AY91" s="425" t="s">
        <v>1708</v>
      </c>
      <c r="AZ91" s="1180" t="s">
        <v>1685</v>
      </c>
      <c r="BA91" s="1183">
        <v>0</v>
      </c>
      <c r="BB91" s="1183">
        <v>0</v>
      </c>
      <c r="BC91" s="1183">
        <v>0</v>
      </c>
      <c r="BD91" s="1183">
        <v>0</v>
      </c>
      <c r="BE91" s="1183">
        <v>0</v>
      </c>
      <c r="BF91" s="1183">
        <v>0</v>
      </c>
      <c r="BG91" s="1183">
        <v>0</v>
      </c>
      <c r="BH91" s="1183">
        <v>0</v>
      </c>
      <c r="BI91" s="1183">
        <v>0</v>
      </c>
      <c r="BJ91" s="1183">
        <v>0</v>
      </c>
      <c r="BK91" s="1185"/>
      <c r="BL91" s="1183"/>
      <c r="BM91" s="1183"/>
      <c r="BO91" s="1179" t="s">
        <v>1136</v>
      </c>
      <c r="BP91" s="425" t="s">
        <v>1708</v>
      </c>
      <c r="BQ91" s="1180"/>
      <c r="BR91" s="1183">
        <v>0</v>
      </c>
      <c r="BS91" s="1183">
        <v>0</v>
      </c>
      <c r="BT91" s="1183">
        <v>0</v>
      </c>
      <c r="BU91" s="1183">
        <v>0</v>
      </c>
      <c r="BV91" s="1183">
        <v>0</v>
      </c>
      <c r="BW91" s="1183">
        <v>0</v>
      </c>
      <c r="BX91" s="1183">
        <v>0</v>
      </c>
      <c r="BY91" s="1183">
        <v>0</v>
      </c>
      <c r="BZ91" s="1183">
        <v>0</v>
      </c>
      <c r="CA91" s="1183">
        <v>0</v>
      </c>
      <c r="CB91" s="1183"/>
      <c r="CC91" s="1183"/>
      <c r="CD91" s="1183"/>
      <c r="CE91" s="1382"/>
      <c r="CG91" s="1179" t="s">
        <v>215</v>
      </c>
      <c r="CH91" s="425" t="s">
        <v>1708</v>
      </c>
      <c r="CI91" s="1180"/>
      <c r="CJ91" s="1538">
        <f t="shared" si="88"/>
        <v>0</v>
      </c>
      <c r="CK91" s="1538">
        <f t="shared" si="76"/>
        <v>0</v>
      </c>
      <c r="CL91" s="1538">
        <f t="shared" si="77"/>
        <v>0</v>
      </c>
      <c r="CM91" s="1538">
        <f t="shared" si="78"/>
        <v>0</v>
      </c>
      <c r="CN91" s="1538">
        <f t="shared" si="79"/>
        <v>0</v>
      </c>
      <c r="CO91" s="1538">
        <f t="shared" si="80"/>
        <v>0</v>
      </c>
      <c r="CP91" s="1538">
        <f t="shared" si="81"/>
        <v>0</v>
      </c>
      <c r="CQ91" s="1538">
        <f t="shared" si="82"/>
        <v>0</v>
      </c>
      <c r="CR91" s="1538">
        <f t="shared" si="83"/>
        <v>0</v>
      </c>
      <c r="CS91" s="1538">
        <f t="shared" si="84"/>
        <v>0</v>
      </c>
      <c r="CT91" s="1538">
        <f t="shared" si="85"/>
        <v>0</v>
      </c>
      <c r="CU91" s="1538">
        <f t="shared" si="86"/>
        <v>0</v>
      </c>
      <c r="CV91" s="1538">
        <f t="shared" si="87"/>
        <v>0</v>
      </c>
      <c r="CX91" s="1179" t="s">
        <v>215</v>
      </c>
      <c r="CY91" s="425" t="s">
        <v>1708</v>
      </c>
      <c r="CZ91" s="1180" t="s">
        <v>64</v>
      </c>
      <c r="DA91" s="1627">
        <f t="shared" si="89"/>
        <v>0</v>
      </c>
      <c r="DB91" s="1627"/>
      <c r="DC91" s="1627"/>
      <c r="DD91" s="1627"/>
      <c r="DE91" s="1627"/>
      <c r="DF91" s="1627"/>
      <c r="DG91" s="1627"/>
      <c r="DH91" s="1627"/>
      <c r="DI91" s="1627"/>
      <c r="DJ91" s="1627"/>
      <c r="DK91" s="1627"/>
      <c r="DL91" s="1627"/>
      <c r="DM91" s="1627"/>
    </row>
    <row r="92" spans="2:117" hidden="1">
      <c r="B92" s="1136" t="str">
        <f t="shared" si="90"/>
        <v>2.3.3</v>
      </c>
      <c r="C92" s="1675">
        <f t="shared" si="67"/>
        <v>0</v>
      </c>
      <c r="D92" s="1146">
        <f t="shared" si="92"/>
        <v>0</v>
      </c>
      <c r="E92" s="1146">
        <f t="shared" si="92"/>
        <v>0</v>
      </c>
      <c r="G92" s="1156">
        <f t="shared" si="72"/>
        <v>0</v>
      </c>
      <c r="H92" s="1156">
        <f t="shared" si="73"/>
        <v>0</v>
      </c>
      <c r="I92" s="1156"/>
      <c r="J92" s="1156"/>
      <c r="K92" s="1156">
        <f>IF(スコア!Q92=0,0,1)</f>
        <v>1</v>
      </c>
      <c r="L92" s="1156">
        <f>IF(スコア!S96=0,0,1)</f>
        <v>0</v>
      </c>
      <c r="M92" s="1156">
        <f t="shared" si="74"/>
        <v>0</v>
      </c>
      <c r="N92" s="1156">
        <f t="shared" si="75"/>
        <v>0</v>
      </c>
      <c r="P92" s="1157" t="str">
        <f t="shared" si="68"/>
        <v>2.3.3</v>
      </c>
      <c r="Q92" s="1157" t="str">
        <f t="shared" si="69"/>
        <v xml:space="preserve"> Q2 2.3</v>
      </c>
      <c r="R92" s="1158">
        <f t="shared" si="70"/>
        <v>0</v>
      </c>
      <c r="S92" s="1585">
        <f t="shared" si="52"/>
        <v>0</v>
      </c>
      <c r="T92" s="1585">
        <f t="shared" si="53"/>
        <v>0</v>
      </c>
      <c r="U92" s="1585">
        <f t="shared" si="54"/>
        <v>0</v>
      </c>
      <c r="V92" s="1585">
        <f t="shared" si="55"/>
        <v>0</v>
      </c>
      <c r="W92" s="1585">
        <f t="shared" si="56"/>
        <v>0</v>
      </c>
      <c r="X92" s="1585">
        <f t="shared" si="57"/>
        <v>0</v>
      </c>
      <c r="Y92" s="1585">
        <f t="shared" si="58"/>
        <v>0</v>
      </c>
      <c r="Z92" s="1587">
        <f t="shared" si="59"/>
        <v>0</v>
      </c>
      <c r="AA92" s="1585">
        <f t="shared" si="60"/>
        <v>0</v>
      </c>
      <c r="AB92" s="1585">
        <f t="shared" si="61"/>
        <v>0</v>
      </c>
      <c r="AC92" s="1586">
        <f t="shared" si="62"/>
        <v>0</v>
      </c>
      <c r="AD92" s="1585">
        <f t="shared" si="63"/>
        <v>0</v>
      </c>
      <c r="AE92" s="1585">
        <f t="shared" si="64"/>
        <v>0</v>
      </c>
      <c r="AG92" s="1157" t="s">
        <v>1137</v>
      </c>
      <c r="AH92" s="1157" t="s">
        <v>1138</v>
      </c>
      <c r="AI92" s="1161" t="s">
        <v>1709</v>
      </c>
      <c r="AJ92" s="1194">
        <v>0.33333333333333331</v>
      </c>
      <c r="AK92" s="1194">
        <v>0.33333333333333331</v>
      </c>
      <c r="AL92" s="1194">
        <v>0.33333333333333331</v>
      </c>
      <c r="AM92" s="1194">
        <v>0.33333333333333331</v>
      </c>
      <c r="AN92" s="1194">
        <v>0.33333333333333331</v>
      </c>
      <c r="AO92" s="1194">
        <v>0.33333333333333331</v>
      </c>
      <c r="AP92" s="1194">
        <v>0.33333333333333331</v>
      </c>
      <c r="AQ92" s="1194">
        <v>0.33333333333333331</v>
      </c>
      <c r="AR92" s="1194">
        <v>0.33333333333333331</v>
      </c>
      <c r="AS92" s="1163">
        <v>0.33333333333333331</v>
      </c>
      <c r="AT92" s="1163"/>
      <c r="AU92" s="1164"/>
      <c r="AV92" s="1163"/>
      <c r="AX92" s="1179" t="s">
        <v>1139</v>
      </c>
      <c r="AY92" s="425" t="s">
        <v>1708</v>
      </c>
      <c r="AZ92" s="1180" t="s">
        <v>1686</v>
      </c>
      <c r="BA92" s="1183">
        <v>0</v>
      </c>
      <c r="BB92" s="1183">
        <v>0</v>
      </c>
      <c r="BC92" s="1183">
        <v>0</v>
      </c>
      <c r="BD92" s="1183">
        <v>0</v>
      </c>
      <c r="BE92" s="1183">
        <v>0</v>
      </c>
      <c r="BF92" s="1183">
        <v>0</v>
      </c>
      <c r="BG92" s="1183">
        <v>0</v>
      </c>
      <c r="BH92" s="1183">
        <v>0</v>
      </c>
      <c r="BI92" s="1183">
        <v>0</v>
      </c>
      <c r="BJ92" s="1183">
        <v>0</v>
      </c>
      <c r="BK92" s="1185"/>
      <c r="BL92" s="1183"/>
      <c r="BM92" s="1183"/>
      <c r="BO92" s="1179" t="s">
        <v>1139</v>
      </c>
      <c r="BP92" s="425" t="s">
        <v>1708</v>
      </c>
      <c r="BQ92" s="1180"/>
      <c r="BR92" s="1183">
        <v>0</v>
      </c>
      <c r="BS92" s="1183">
        <v>0</v>
      </c>
      <c r="BT92" s="1183">
        <v>0</v>
      </c>
      <c r="BU92" s="1183">
        <v>0</v>
      </c>
      <c r="BV92" s="1183">
        <v>0</v>
      </c>
      <c r="BW92" s="1183">
        <v>0</v>
      </c>
      <c r="BX92" s="1183">
        <v>0</v>
      </c>
      <c r="BY92" s="1183">
        <v>0</v>
      </c>
      <c r="BZ92" s="1183">
        <v>0</v>
      </c>
      <c r="CA92" s="1183">
        <v>0</v>
      </c>
      <c r="CB92" s="1183"/>
      <c r="CC92" s="1183"/>
      <c r="CD92" s="1183"/>
      <c r="CE92" s="1382"/>
      <c r="CG92" s="1179" t="s">
        <v>1137</v>
      </c>
      <c r="CH92" s="425" t="s">
        <v>1708</v>
      </c>
      <c r="CI92" s="1180"/>
      <c r="CJ92" s="1538">
        <f t="shared" si="88"/>
        <v>0</v>
      </c>
      <c r="CK92" s="1538">
        <f t="shared" si="76"/>
        <v>0</v>
      </c>
      <c r="CL92" s="1538">
        <f t="shared" si="77"/>
        <v>0</v>
      </c>
      <c r="CM92" s="1538">
        <f t="shared" si="78"/>
        <v>0</v>
      </c>
      <c r="CN92" s="1538">
        <f t="shared" si="79"/>
        <v>0</v>
      </c>
      <c r="CO92" s="1538">
        <f t="shared" si="80"/>
        <v>0</v>
      </c>
      <c r="CP92" s="1538">
        <f t="shared" si="81"/>
        <v>0</v>
      </c>
      <c r="CQ92" s="1538">
        <f t="shared" si="82"/>
        <v>0</v>
      </c>
      <c r="CR92" s="1538">
        <f t="shared" si="83"/>
        <v>0</v>
      </c>
      <c r="CS92" s="1538">
        <f t="shared" si="84"/>
        <v>0</v>
      </c>
      <c r="CT92" s="1538">
        <f t="shared" si="85"/>
        <v>0</v>
      </c>
      <c r="CU92" s="1538">
        <f t="shared" si="86"/>
        <v>0</v>
      </c>
      <c r="CV92" s="1538">
        <f t="shared" si="87"/>
        <v>0</v>
      </c>
      <c r="CX92" s="1179" t="s">
        <v>1137</v>
      </c>
      <c r="CY92" s="425" t="s">
        <v>1708</v>
      </c>
      <c r="CZ92" s="1180" t="s">
        <v>1709</v>
      </c>
      <c r="DA92" s="1627">
        <f t="shared" si="89"/>
        <v>0</v>
      </c>
      <c r="DB92" s="1627"/>
      <c r="DC92" s="1627"/>
      <c r="DD92" s="1627"/>
      <c r="DE92" s="1627"/>
      <c r="DF92" s="1627"/>
      <c r="DG92" s="1627"/>
      <c r="DH92" s="1627"/>
      <c r="DI92" s="1627"/>
      <c r="DJ92" s="1627"/>
      <c r="DK92" s="1627"/>
      <c r="DL92" s="1627"/>
      <c r="DM92" s="1627"/>
    </row>
    <row r="93" spans="2:117">
      <c r="B93" s="1136">
        <f t="shared" si="90"/>
        <v>2.4</v>
      </c>
      <c r="C93" s="1158" t="str">
        <f t="shared" si="67"/>
        <v>信頼性</v>
      </c>
      <c r="D93" s="1155">
        <f>IF(I$78=0,0,G93/I$78)</f>
        <v>0.2</v>
      </c>
      <c r="E93" s="1156">
        <f>IF(J$78=0,0,H93/J$78)</f>
        <v>0</v>
      </c>
      <c r="G93" s="1156">
        <f t="shared" si="72"/>
        <v>0.2</v>
      </c>
      <c r="H93" s="1156">
        <f t="shared" si="73"/>
        <v>0</v>
      </c>
      <c r="I93" s="1156">
        <f>SUM(G94:G98)</f>
        <v>1</v>
      </c>
      <c r="J93" s="1156">
        <f>SUM(H94:H98)</f>
        <v>0</v>
      </c>
      <c r="K93" s="1156">
        <f>IF(スコア!Q93=0,0,1)</f>
        <v>1</v>
      </c>
      <c r="L93" s="1156">
        <f>IF(スコア!S93=0,0,1)</f>
        <v>0</v>
      </c>
      <c r="M93" s="1156">
        <f t="shared" si="74"/>
        <v>0.2</v>
      </c>
      <c r="N93" s="1156">
        <f t="shared" si="75"/>
        <v>0</v>
      </c>
      <c r="P93" s="1157">
        <f t="shared" si="68"/>
        <v>2.4</v>
      </c>
      <c r="Q93" s="1157" t="str">
        <f t="shared" si="69"/>
        <v xml:space="preserve"> Q2 2</v>
      </c>
      <c r="R93" s="1158" t="str">
        <f t="shared" si="70"/>
        <v>信頼性</v>
      </c>
      <c r="S93" s="1585">
        <f t="shared" si="52"/>
        <v>0.2</v>
      </c>
      <c r="T93" s="1585">
        <f t="shared" si="53"/>
        <v>0.2</v>
      </c>
      <c r="U93" s="1585">
        <f t="shared" si="54"/>
        <v>0.2</v>
      </c>
      <c r="V93" s="1585">
        <f t="shared" si="55"/>
        <v>0.2</v>
      </c>
      <c r="W93" s="1585">
        <f t="shared" si="56"/>
        <v>0.2</v>
      </c>
      <c r="X93" s="1585">
        <f t="shared" si="57"/>
        <v>0.2</v>
      </c>
      <c r="Y93" s="1585">
        <f t="shared" si="58"/>
        <v>0.2</v>
      </c>
      <c r="Z93" s="1587">
        <f t="shared" si="59"/>
        <v>0.2</v>
      </c>
      <c r="AA93" s="1585">
        <f t="shared" si="60"/>
        <v>0.2</v>
      </c>
      <c r="AB93" s="1585">
        <f t="shared" si="61"/>
        <v>0.2</v>
      </c>
      <c r="AC93" s="1586">
        <f t="shared" si="62"/>
        <v>0</v>
      </c>
      <c r="AD93" s="1585">
        <f t="shared" si="63"/>
        <v>0</v>
      </c>
      <c r="AE93" s="1585">
        <f t="shared" si="64"/>
        <v>0</v>
      </c>
      <c r="AG93" s="1157">
        <v>2.4</v>
      </c>
      <c r="AH93" s="1161" t="s">
        <v>1698</v>
      </c>
      <c r="AI93" s="1158" t="s">
        <v>66</v>
      </c>
      <c r="AJ93" s="1159">
        <v>0.25</v>
      </c>
      <c r="AK93" s="1159">
        <v>0.25</v>
      </c>
      <c r="AL93" s="1159">
        <v>0.25</v>
      </c>
      <c r="AM93" s="1159">
        <v>0.25</v>
      </c>
      <c r="AN93" s="1159">
        <v>0.25</v>
      </c>
      <c r="AO93" s="1159">
        <v>0.25</v>
      </c>
      <c r="AP93" s="1159">
        <v>0.25</v>
      </c>
      <c r="AQ93" s="1167">
        <v>0.25</v>
      </c>
      <c r="AR93" s="1159">
        <v>0.25</v>
      </c>
      <c r="AS93" s="1163">
        <v>0.25</v>
      </c>
      <c r="AT93" s="1164">
        <v>0</v>
      </c>
      <c r="AU93" s="1163">
        <v>0</v>
      </c>
      <c r="AV93" s="1163">
        <v>0</v>
      </c>
      <c r="AX93" s="1157">
        <v>2.4</v>
      </c>
      <c r="AY93" s="1161" t="s">
        <v>1698</v>
      </c>
      <c r="AZ93" s="1158" t="s">
        <v>1687</v>
      </c>
      <c r="BA93" s="1163">
        <v>0.2</v>
      </c>
      <c r="BB93" s="1163">
        <v>0.2</v>
      </c>
      <c r="BC93" s="1163">
        <v>0.2</v>
      </c>
      <c r="BD93" s="1163">
        <v>0.2</v>
      </c>
      <c r="BE93" s="1163">
        <v>0.2</v>
      </c>
      <c r="BF93" s="1163">
        <v>0.2</v>
      </c>
      <c r="BG93" s="1163">
        <v>0.2</v>
      </c>
      <c r="BH93" s="1170">
        <v>0.2</v>
      </c>
      <c r="BI93" s="1163">
        <v>0.2</v>
      </c>
      <c r="BJ93" s="1163">
        <v>0.2</v>
      </c>
      <c r="BK93" s="1164"/>
      <c r="BL93" s="1163"/>
      <c r="BM93" s="1163"/>
      <c r="BO93" s="1157">
        <v>2.4</v>
      </c>
      <c r="BP93" s="1161" t="s">
        <v>1698</v>
      </c>
      <c r="BQ93" s="1158" t="s">
        <v>66</v>
      </c>
      <c r="BR93" s="1163">
        <v>0.2</v>
      </c>
      <c r="BS93" s="1163">
        <v>0.2</v>
      </c>
      <c r="BT93" s="1163">
        <v>0.2</v>
      </c>
      <c r="BU93" s="1163">
        <v>0.2</v>
      </c>
      <c r="BV93" s="1163">
        <v>0.2</v>
      </c>
      <c r="BW93" s="1163">
        <v>0.2</v>
      </c>
      <c r="BX93" s="1163">
        <v>0.2</v>
      </c>
      <c r="BY93" s="1170">
        <v>0.2</v>
      </c>
      <c r="BZ93" s="1163">
        <v>0.2</v>
      </c>
      <c r="CA93" s="1163">
        <v>0.2</v>
      </c>
      <c r="CB93" s="1164"/>
      <c r="CC93" s="1163"/>
      <c r="CD93" s="1163"/>
      <c r="CE93" s="1382"/>
      <c r="CG93" s="1157">
        <v>2.4</v>
      </c>
      <c r="CH93" s="1161" t="s">
        <v>1698</v>
      </c>
      <c r="CI93" s="1158" t="s">
        <v>66</v>
      </c>
      <c r="CJ93" s="1520">
        <v>0.1</v>
      </c>
      <c r="CK93" s="1520">
        <v>0.1</v>
      </c>
      <c r="CL93" s="1520">
        <v>0.1</v>
      </c>
      <c r="CM93" s="1520">
        <v>0.1</v>
      </c>
      <c r="CN93" s="1520">
        <v>0.1</v>
      </c>
      <c r="CO93" s="1520">
        <v>0.1</v>
      </c>
      <c r="CP93" s="1520">
        <v>0.1</v>
      </c>
      <c r="CQ93" s="1520">
        <v>0.1</v>
      </c>
      <c r="CR93" s="1520">
        <v>0.1</v>
      </c>
      <c r="CS93" s="1520">
        <v>0.1</v>
      </c>
      <c r="CT93" s="1533">
        <f t="shared" si="85"/>
        <v>0</v>
      </c>
      <c r="CU93" s="1531">
        <f t="shared" si="86"/>
        <v>0</v>
      </c>
      <c r="CV93" s="1531">
        <f t="shared" si="87"/>
        <v>0</v>
      </c>
      <c r="CX93" s="1157">
        <v>2.4</v>
      </c>
      <c r="CY93" s="1161" t="s">
        <v>1698</v>
      </c>
      <c r="CZ93" s="1158" t="s">
        <v>66</v>
      </c>
      <c r="DA93" s="1642">
        <v>0.6</v>
      </c>
      <c r="DB93" s="1520"/>
      <c r="DC93" s="1520"/>
      <c r="DD93" s="1520"/>
      <c r="DE93" s="1520"/>
      <c r="DF93" s="1520"/>
      <c r="DG93" s="1520"/>
      <c r="DH93" s="1576"/>
      <c r="DI93" s="1520"/>
      <c r="DJ93" s="1520"/>
      <c r="DK93" s="1623"/>
      <c r="DL93" s="1520"/>
      <c r="DM93" s="1520"/>
    </row>
    <row r="94" spans="2:117">
      <c r="B94" s="1136" t="str">
        <f t="shared" si="90"/>
        <v>2.4.1</v>
      </c>
      <c r="C94" s="1158" t="str">
        <f t="shared" si="67"/>
        <v>空調・換気設備</v>
      </c>
      <c r="D94" s="1146">
        <f>IF(I$93&gt;0,G94/I$93,0)</f>
        <v>0.2</v>
      </c>
      <c r="E94" s="1156">
        <f t="shared" ref="D94:E98" si="93">IF(J$93&gt;0,H94/J$93,0)</f>
        <v>0</v>
      </c>
      <c r="G94" s="1156">
        <f t="shared" si="72"/>
        <v>0.2</v>
      </c>
      <c r="H94" s="1156">
        <f t="shared" si="73"/>
        <v>0</v>
      </c>
      <c r="I94" s="1156"/>
      <c r="J94" s="1156"/>
      <c r="K94" s="1156">
        <f>IF(スコア!Q94=0,0,1)</f>
        <v>1</v>
      </c>
      <c r="L94" s="1156">
        <f>IF(スコア!S94=0,0,1)</f>
        <v>0</v>
      </c>
      <c r="M94" s="1156">
        <f t="shared" si="74"/>
        <v>0.2</v>
      </c>
      <c r="N94" s="1156">
        <f t="shared" si="75"/>
        <v>0</v>
      </c>
      <c r="P94" s="1157" t="str">
        <f t="shared" si="68"/>
        <v>2.4.1</v>
      </c>
      <c r="Q94" s="1157" t="str">
        <f t="shared" si="69"/>
        <v xml:space="preserve"> Q2 2.4</v>
      </c>
      <c r="R94" s="1158" t="str">
        <f t="shared" si="70"/>
        <v>空調・換気設備</v>
      </c>
      <c r="S94" s="1585">
        <f t="shared" si="52"/>
        <v>0.2</v>
      </c>
      <c r="T94" s="1585">
        <f t="shared" si="53"/>
        <v>0.2</v>
      </c>
      <c r="U94" s="1585">
        <f t="shared" si="54"/>
        <v>0.2</v>
      </c>
      <c r="V94" s="1585">
        <f t="shared" si="55"/>
        <v>0.2</v>
      </c>
      <c r="W94" s="1585">
        <f t="shared" si="56"/>
        <v>0.2</v>
      </c>
      <c r="X94" s="1585">
        <f t="shared" si="57"/>
        <v>0.2</v>
      </c>
      <c r="Y94" s="1585">
        <f t="shared" si="58"/>
        <v>0.2</v>
      </c>
      <c r="Z94" s="1587">
        <f t="shared" si="59"/>
        <v>0.2</v>
      </c>
      <c r="AA94" s="1585">
        <f t="shared" si="60"/>
        <v>0.2</v>
      </c>
      <c r="AB94" s="1585">
        <f t="shared" si="61"/>
        <v>0.2</v>
      </c>
      <c r="AC94" s="1586">
        <f t="shared" si="62"/>
        <v>0</v>
      </c>
      <c r="AD94" s="1585">
        <f t="shared" si="63"/>
        <v>0</v>
      </c>
      <c r="AE94" s="1585">
        <f t="shared" si="64"/>
        <v>0</v>
      </c>
      <c r="AG94" s="1157" t="s">
        <v>1140</v>
      </c>
      <c r="AH94" s="1161" t="s">
        <v>1710</v>
      </c>
      <c r="AI94" s="1158" t="s">
        <v>1711</v>
      </c>
      <c r="AJ94" s="1159">
        <v>0.2</v>
      </c>
      <c r="AK94" s="1159">
        <v>0.2</v>
      </c>
      <c r="AL94" s="1159">
        <v>0.2</v>
      </c>
      <c r="AM94" s="1159">
        <v>0.2</v>
      </c>
      <c r="AN94" s="1159">
        <v>0.2</v>
      </c>
      <c r="AO94" s="1159">
        <v>0.2</v>
      </c>
      <c r="AP94" s="1159">
        <v>0.2</v>
      </c>
      <c r="AQ94" s="1167">
        <v>0.2</v>
      </c>
      <c r="AR94" s="1159">
        <v>0.2</v>
      </c>
      <c r="AS94" s="1163">
        <v>0.2</v>
      </c>
      <c r="AT94" s="1164">
        <v>0</v>
      </c>
      <c r="AU94" s="1163">
        <v>0</v>
      </c>
      <c r="AV94" s="1163">
        <v>0</v>
      </c>
      <c r="AX94" s="1157" t="s">
        <v>1140</v>
      </c>
      <c r="AY94" s="1161" t="s">
        <v>1710</v>
      </c>
      <c r="AZ94" s="1158" t="s">
        <v>1711</v>
      </c>
      <c r="BA94" s="1163">
        <v>0.2</v>
      </c>
      <c r="BB94" s="1163">
        <v>0.2</v>
      </c>
      <c r="BC94" s="1163">
        <v>0.2</v>
      </c>
      <c r="BD94" s="1163">
        <v>0.2</v>
      </c>
      <c r="BE94" s="1163">
        <v>0.2</v>
      </c>
      <c r="BF94" s="1163">
        <v>0.2</v>
      </c>
      <c r="BG94" s="1163">
        <v>0.2</v>
      </c>
      <c r="BH94" s="1170">
        <v>0.2</v>
      </c>
      <c r="BI94" s="1163">
        <v>0.2</v>
      </c>
      <c r="BJ94" s="1163">
        <v>0.2</v>
      </c>
      <c r="BK94" s="1164"/>
      <c r="BL94" s="1163"/>
      <c r="BM94" s="1163"/>
      <c r="BO94" s="1157" t="s">
        <v>1140</v>
      </c>
      <c r="BP94" s="1161" t="s">
        <v>1710</v>
      </c>
      <c r="BQ94" s="1158" t="s">
        <v>1711</v>
      </c>
      <c r="BR94" s="1163">
        <v>0.2</v>
      </c>
      <c r="BS94" s="1163">
        <v>0.2</v>
      </c>
      <c r="BT94" s="1163">
        <v>0.2</v>
      </c>
      <c r="BU94" s="1163">
        <v>0.2</v>
      </c>
      <c r="BV94" s="1163">
        <v>0.2</v>
      </c>
      <c r="BW94" s="1163">
        <v>0.2</v>
      </c>
      <c r="BX94" s="1163">
        <v>0.2</v>
      </c>
      <c r="BY94" s="1170">
        <v>0.2</v>
      </c>
      <c r="BZ94" s="1163">
        <v>0.2</v>
      </c>
      <c r="CA94" s="1163">
        <v>0.2</v>
      </c>
      <c r="CB94" s="1164"/>
      <c r="CC94" s="1163"/>
      <c r="CD94" s="1163"/>
      <c r="CE94" s="1382"/>
      <c r="CG94" s="1157" t="s">
        <v>1140</v>
      </c>
      <c r="CH94" s="1161" t="s">
        <v>1710</v>
      </c>
      <c r="CI94" s="1158" t="s">
        <v>1711</v>
      </c>
      <c r="CJ94" s="1531">
        <v>0</v>
      </c>
      <c r="CK94" s="1531">
        <v>0</v>
      </c>
      <c r="CL94" s="1531">
        <v>0</v>
      </c>
      <c r="CM94" s="1531">
        <v>0</v>
      </c>
      <c r="CN94" s="1531">
        <v>0</v>
      </c>
      <c r="CO94" s="1531">
        <v>0</v>
      </c>
      <c r="CP94" s="1531">
        <v>0</v>
      </c>
      <c r="CQ94" s="1531">
        <v>0</v>
      </c>
      <c r="CR94" s="1531">
        <v>0</v>
      </c>
      <c r="CS94" s="1531">
        <v>0</v>
      </c>
      <c r="CT94" s="1533">
        <f t="shared" si="85"/>
        <v>0</v>
      </c>
      <c r="CU94" s="1531">
        <f t="shared" si="86"/>
        <v>0</v>
      </c>
      <c r="CV94" s="1531">
        <f t="shared" si="87"/>
        <v>0</v>
      </c>
      <c r="CX94" s="1157" t="s">
        <v>1140</v>
      </c>
      <c r="CY94" s="1161" t="s">
        <v>1710</v>
      </c>
      <c r="CZ94" s="1158" t="s">
        <v>1711</v>
      </c>
      <c r="DA94" s="1648">
        <v>0.15</v>
      </c>
      <c r="DB94" s="1520"/>
      <c r="DC94" s="1520"/>
      <c r="DD94" s="1520"/>
      <c r="DE94" s="1520"/>
      <c r="DF94" s="1520"/>
      <c r="DG94" s="1520"/>
      <c r="DH94" s="1520"/>
      <c r="DI94" s="1520"/>
      <c r="DJ94" s="1520"/>
      <c r="DK94" s="1623"/>
      <c r="DL94" s="1520"/>
      <c r="DM94" s="1520"/>
    </row>
    <row r="95" spans="2:117">
      <c r="B95" s="1136" t="str">
        <f t="shared" si="90"/>
        <v>2.4.2</v>
      </c>
      <c r="C95" s="1158" t="str">
        <f t="shared" si="67"/>
        <v>給排水・衛生設備</v>
      </c>
      <c r="D95" s="1146">
        <f t="shared" si="93"/>
        <v>0.2</v>
      </c>
      <c r="E95" s="1156">
        <f t="shared" si="93"/>
        <v>0</v>
      </c>
      <c r="G95" s="1156">
        <f t="shared" si="72"/>
        <v>0.2</v>
      </c>
      <c r="H95" s="1156">
        <f t="shared" si="73"/>
        <v>0</v>
      </c>
      <c r="I95" s="1156"/>
      <c r="J95" s="1156"/>
      <c r="K95" s="1156">
        <f>IF(スコア!Q95=0,0,1)</f>
        <v>1</v>
      </c>
      <c r="L95" s="1156">
        <f>IF(スコア!S95=0,0,1)</f>
        <v>0</v>
      </c>
      <c r="M95" s="1156">
        <f t="shared" si="74"/>
        <v>0.2</v>
      </c>
      <c r="N95" s="1156">
        <f t="shared" si="75"/>
        <v>0</v>
      </c>
      <c r="P95" s="1157" t="str">
        <f t="shared" si="68"/>
        <v>2.4.2</v>
      </c>
      <c r="Q95" s="1157" t="str">
        <f t="shared" si="69"/>
        <v xml:space="preserve"> Q2 2.4</v>
      </c>
      <c r="R95" s="1158" t="str">
        <f t="shared" si="70"/>
        <v>給排水・衛生設備</v>
      </c>
      <c r="S95" s="1585">
        <f t="shared" si="52"/>
        <v>0.2</v>
      </c>
      <c r="T95" s="1585">
        <f t="shared" si="53"/>
        <v>0.2</v>
      </c>
      <c r="U95" s="1585">
        <f t="shared" si="54"/>
        <v>0.2</v>
      </c>
      <c r="V95" s="1585">
        <f t="shared" si="55"/>
        <v>0.2</v>
      </c>
      <c r="W95" s="1585">
        <f t="shared" si="56"/>
        <v>0.2</v>
      </c>
      <c r="X95" s="1585">
        <f t="shared" si="57"/>
        <v>0.2</v>
      </c>
      <c r="Y95" s="1585">
        <f t="shared" si="58"/>
        <v>0.2</v>
      </c>
      <c r="Z95" s="1587">
        <f t="shared" si="59"/>
        <v>0.2</v>
      </c>
      <c r="AA95" s="1585">
        <f t="shared" si="60"/>
        <v>0.2</v>
      </c>
      <c r="AB95" s="1585">
        <f t="shared" si="61"/>
        <v>0.2</v>
      </c>
      <c r="AC95" s="1586">
        <f t="shared" si="62"/>
        <v>0</v>
      </c>
      <c r="AD95" s="1585">
        <f t="shared" si="63"/>
        <v>0</v>
      </c>
      <c r="AE95" s="1585">
        <f t="shared" si="64"/>
        <v>0</v>
      </c>
      <c r="AG95" s="1157" t="s">
        <v>1712</v>
      </c>
      <c r="AH95" s="1161" t="s">
        <v>1710</v>
      </c>
      <c r="AI95" s="1158" t="s">
        <v>1713</v>
      </c>
      <c r="AJ95" s="1159">
        <v>0.2</v>
      </c>
      <c r="AK95" s="1159">
        <v>0.2</v>
      </c>
      <c r="AL95" s="1159">
        <v>0.2</v>
      </c>
      <c r="AM95" s="1159">
        <v>0.2</v>
      </c>
      <c r="AN95" s="1159">
        <v>0.2</v>
      </c>
      <c r="AO95" s="1159">
        <v>0.2</v>
      </c>
      <c r="AP95" s="1159">
        <v>0.2</v>
      </c>
      <c r="AQ95" s="1167">
        <v>0.2</v>
      </c>
      <c r="AR95" s="1159">
        <v>0.2</v>
      </c>
      <c r="AS95" s="1163">
        <v>0.2</v>
      </c>
      <c r="AT95" s="1164">
        <v>0</v>
      </c>
      <c r="AU95" s="1163">
        <v>0</v>
      </c>
      <c r="AV95" s="1163">
        <v>0</v>
      </c>
      <c r="AX95" s="1157" t="s">
        <v>1712</v>
      </c>
      <c r="AY95" s="1161" t="s">
        <v>1710</v>
      </c>
      <c r="AZ95" s="1158" t="s">
        <v>1713</v>
      </c>
      <c r="BA95" s="1163">
        <v>0.2</v>
      </c>
      <c r="BB95" s="1163">
        <v>0.2</v>
      </c>
      <c r="BC95" s="1163">
        <v>0.2</v>
      </c>
      <c r="BD95" s="1163">
        <v>0.2</v>
      </c>
      <c r="BE95" s="1163">
        <v>0.2</v>
      </c>
      <c r="BF95" s="1163">
        <v>0.2</v>
      </c>
      <c r="BG95" s="1163">
        <v>0.2</v>
      </c>
      <c r="BH95" s="1170">
        <v>0.2</v>
      </c>
      <c r="BI95" s="1163">
        <v>0.2</v>
      </c>
      <c r="BJ95" s="1163">
        <v>0.2</v>
      </c>
      <c r="BK95" s="1164"/>
      <c r="BL95" s="1163"/>
      <c r="BM95" s="1163"/>
      <c r="BO95" s="1157" t="s">
        <v>1712</v>
      </c>
      <c r="BP95" s="1161" t="s">
        <v>1710</v>
      </c>
      <c r="BQ95" s="1158" t="s">
        <v>1713</v>
      </c>
      <c r="BR95" s="1163">
        <v>0.2</v>
      </c>
      <c r="BS95" s="1163">
        <v>0.2</v>
      </c>
      <c r="BT95" s="1163">
        <v>0.2</v>
      </c>
      <c r="BU95" s="1163">
        <v>0.2</v>
      </c>
      <c r="BV95" s="1163">
        <v>0.2</v>
      </c>
      <c r="BW95" s="1163">
        <v>0.2</v>
      </c>
      <c r="BX95" s="1163">
        <v>0.2</v>
      </c>
      <c r="BY95" s="1170">
        <v>0.2</v>
      </c>
      <c r="BZ95" s="1163">
        <v>0.2</v>
      </c>
      <c r="CA95" s="1163">
        <v>0.2</v>
      </c>
      <c r="CB95" s="1164"/>
      <c r="CC95" s="1163"/>
      <c r="CD95" s="1163"/>
      <c r="CE95" s="1382"/>
      <c r="CG95" s="1157" t="s">
        <v>1712</v>
      </c>
      <c r="CH95" s="1161" t="s">
        <v>1710</v>
      </c>
      <c r="CI95" s="1158" t="s">
        <v>1713</v>
      </c>
      <c r="CJ95" s="1531">
        <v>0</v>
      </c>
      <c r="CK95" s="1531">
        <v>0</v>
      </c>
      <c r="CL95" s="1531">
        <v>0</v>
      </c>
      <c r="CM95" s="1531">
        <v>0</v>
      </c>
      <c r="CN95" s="1531">
        <v>0</v>
      </c>
      <c r="CO95" s="1531">
        <v>0</v>
      </c>
      <c r="CP95" s="1531">
        <v>0</v>
      </c>
      <c r="CQ95" s="1531">
        <v>0</v>
      </c>
      <c r="CR95" s="1531">
        <v>0</v>
      </c>
      <c r="CS95" s="1531">
        <v>0</v>
      </c>
      <c r="CT95" s="1533">
        <f t="shared" si="85"/>
        <v>0</v>
      </c>
      <c r="CU95" s="1531">
        <f t="shared" si="86"/>
        <v>0</v>
      </c>
      <c r="CV95" s="1531">
        <f t="shared" si="87"/>
        <v>0</v>
      </c>
      <c r="CX95" s="1157" t="s">
        <v>1712</v>
      </c>
      <c r="CY95" s="1161" t="s">
        <v>1710</v>
      </c>
      <c r="CZ95" s="1158" t="s">
        <v>1713</v>
      </c>
      <c r="DA95" s="1648">
        <v>0.15</v>
      </c>
      <c r="DB95" s="1520"/>
      <c r="DC95" s="1520"/>
      <c r="DD95" s="1520"/>
      <c r="DE95" s="1520"/>
      <c r="DF95" s="1520"/>
      <c r="DG95" s="1520"/>
      <c r="DH95" s="1520"/>
      <c r="DI95" s="1520"/>
      <c r="DJ95" s="1520"/>
      <c r="DK95" s="1623"/>
      <c r="DL95" s="1520"/>
      <c r="DM95" s="1520"/>
    </row>
    <row r="96" spans="2:117">
      <c r="B96" s="1136" t="str">
        <f t="shared" si="90"/>
        <v>2.4.3</v>
      </c>
      <c r="C96" s="1158" t="str">
        <f t="shared" si="67"/>
        <v>電気設備</v>
      </c>
      <c r="D96" s="1146">
        <f t="shared" si="93"/>
        <v>0.2</v>
      </c>
      <c r="E96" s="1156">
        <f t="shared" si="93"/>
        <v>0</v>
      </c>
      <c r="G96" s="1156">
        <f t="shared" si="72"/>
        <v>0.2</v>
      </c>
      <c r="H96" s="1156">
        <f t="shared" si="73"/>
        <v>0</v>
      </c>
      <c r="I96" s="1156"/>
      <c r="J96" s="1156"/>
      <c r="K96" s="1156">
        <f>IF(スコア!Q96=0,0,1)</f>
        <v>1</v>
      </c>
      <c r="L96" s="1156">
        <f>IF(スコア!S96=0,0,1)</f>
        <v>0</v>
      </c>
      <c r="M96" s="1156">
        <f t="shared" si="74"/>
        <v>0.2</v>
      </c>
      <c r="N96" s="1156">
        <f t="shared" si="75"/>
        <v>0</v>
      </c>
      <c r="P96" s="1157" t="str">
        <f t="shared" si="68"/>
        <v>2.4.3</v>
      </c>
      <c r="Q96" s="1157" t="str">
        <f t="shared" si="69"/>
        <v xml:space="preserve"> Q2 2.4</v>
      </c>
      <c r="R96" s="1158" t="str">
        <f t="shared" si="70"/>
        <v>電気設備</v>
      </c>
      <c r="S96" s="1585">
        <f t="shared" si="52"/>
        <v>0.2</v>
      </c>
      <c r="T96" s="1585">
        <f t="shared" si="53"/>
        <v>0.2</v>
      </c>
      <c r="U96" s="1585">
        <f t="shared" si="54"/>
        <v>0.2</v>
      </c>
      <c r="V96" s="1585">
        <f t="shared" si="55"/>
        <v>0.2</v>
      </c>
      <c r="W96" s="1585">
        <f t="shared" si="56"/>
        <v>0.2</v>
      </c>
      <c r="X96" s="1585">
        <f t="shared" si="57"/>
        <v>0.2</v>
      </c>
      <c r="Y96" s="1585">
        <f t="shared" si="58"/>
        <v>0.2</v>
      </c>
      <c r="Z96" s="1587">
        <f t="shared" si="59"/>
        <v>0.2</v>
      </c>
      <c r="AA96" s="1585">
        <f t="shared" si="60"/>
        <v>0.2</v>
      </c>
      <c r="AB96" s="1585">
        <f t="shared" si="61"/>
        <v>0.2</v>
      </c>
      <c r="AC96" s="1586">
        <f t="shared" si="62"/>
        <v>0</v>
      </c>
      <c r="AD96" s="1585">
        <f t="shared" si="63"/>
        <v>0</v>
      </c>
      <c r="AE96" s="1585">
        <f t="shared" si="64"/>
        <v>0</v>
      </c>
      <c r="AG96" s="1157" t="s">
        <v>1714</v>
      </c>
      <c r="AH96" s="1161" t="s">
        <v>1710</v>
      </c>
      <c r="AI96" s="1158" t="s">
        <v>1715</v>
      </c>
      <c r="AJ96" s="1159">
        <v>0.2</v>
      </c>
      <c r="AK96" s="1159">
        <v>0.2</v>
      </c>
      <c r="AL96" s="1159">
        <v>0.2</v>
      </c>
      <c r="AM96" s="1159">
        <v>0.2</v>
      </c>
      <c r="AN96" s="1159">
        <v>0.2</v>
      </c>
      <c r="AO96" s="1159">
        <v>0.2</v>
      </c>
      <c r="AP96" s="1159">
        <v>0.2</v>
      </c>
      <c r="AQ96" s="1167">
        <v>0.2</v>
      </c>
      <c r="AR96" s="1159">
        <v>0.2</v>
      </c>
      <c r="AS96" s="1163">
        <v>0.2</v>
      </c>
      <c r="AT96" s="1164">
        <v>0</v>
      </c>
      <c r="AU96" s="1163">
        <v>0</v>
      </c>
      <c r="AV96" s="1163">
        <v>0</v>
      </c>
      <c r="AX96" s="1157" t="s">
        <v>1714</v>
      </c>
      <c r="AY96" s="1161" t="s">
        <v>1710</v>
      </c>
      <c r="AZ96" s="1158" t="s">
        <v>1715</v>
      </c>
      <c r="BA96" s="1163">
        <v>0.2</v>
      </c>
      <c r="BB96" s="1163">
        <v>0.2</v>
      </c>
      <c r="BC96" s="1163">
        <v>0.2</v>
      </c>
      <c r="BD96" s="1163">
        <v>0.2</v>
      </c>
      <c r="BE96" s="1163">
        <v>0.2</v>
      </c>
      <c r="BF96" s="1163">
        <v>0.2</v>
      </c>
      <c r="BG96" s="1163">
        <v>0.2</v>
      </c>
      <c r="BH96" s="1170">
        <v>0.2</v>
      </c>
      <c r="BI96" s="1163">
        <v>0.2</v>
      </c>
      <c r="BJ96" s="1163">
        <v>0.2</v>
      </c>
      <c r="BK96" s="1164"/>
      <c r="BL96" s="1163"/>
      <c r="BM96" s="1163"/>
      <c r="BO96" s="1157" t="s">
        <v>1714</v>
      </c>
      <c r="BP96" s="1161" t="s">
        <v>1710</v>
      </c>
      <c r="BQ96" s="1158" t="s">
        <v>1715</v>
      </c>
      <c r="BR96" s="1163">
        <v>0.2</v>
      </c>
      <c r="BS96" s="1163">
        <v>0.2</v>
      </c>
      <c r="BT96" s="1163">
        <v>0.2</v>
      </c>
      <c r="BU96" s="1163">
        <v>0.2</v>
      </c>
      <c r="BV96" s="1163">
        <v>0.2</v>
      </c>
      <c r="BW96" s="1163">
        <v>0.2</v>
      </c>
      <c r="BX96" s="1163">
        <v>0.2</v>
      </c>
      <c r="BY96" s="1170">
        <v>0.2</v>
      </c>
      <c r="BZ96" s="1163">
        <v>0.2</v>
      </c>
      <c r="CA96" s="1163">
        <v>0.2</v>
      </c>
      <c r="CB96" s="1164"/>
      <c r="CC96" s="1163"/>
      <c r="CD96" s="1163"/>
      <c r="CE96" s="1382"/>
      <c r="CG96" s="1157" t="s">
        <v>1714</v>
      </c>
      <c r="CH96" s="1161" t="s">
        <v>1710</v>
      </c>
      <c r="CI96" s="1158" t="s">
        <v>1715</v>
      </c>
      <c r="CJ96" s="1531">
        <v>0</v>
      </c>
      <c r="CK96" s="1531">
        <v>0</v>
      </c>
      <c r="CL96" s="1531">
        <v>0</v>
      </c>
      <c r="CM96" s="1531">
        <v>0</v>
      </c>
      <c r="CN96" s="1531">
        <v>0</v>
      </c>
      <c r="CO96" s="1531">
        <v>0</v>
      </c>
      <c r="CP96" s="1531">
        <v>0</v>
      </c>
      <c r="CQ96" s="1531">
        <v>0</v>
      </c>
      <c r="CR96" s="1531">
        <v>0</v>
      </c>
      <c r="CS96" s="1531">
        <v>0</v>
      </c>
      <c r="CT96" s="1533">
        <f t="shared" si="85"/>
        <v>0</v>
      </c>
      <c r="CU96" s="1531">
        <f t="shared" si="86"/>
        <v>0</v>
      </c>
      <c r="CV96" s="1531">
        <f t="shared" si="87"/>
        <v>0</v>
      </c>
      <c r="CX96" s="1157" t="s">
        <v>1714</v>
      </c>
      <c r="CY96" s="1161" t="s">
        <v>1710</v>
      </c>
      <c r="CZ96" s="1158" t="s">
        <v>1715</v>
      </c>
      <c r="DA96" s="1648">
        <v>0.25</v>
      </c>
      <c r="DB96" s="1520"/>
      <c r="DC96" s="1520"/>
      <c r="DD96" s="1520"/>
      <c r="DE96" s="1520"/>
      <c r="DF96" s="1520"/>
      <c r="DG96" s="1520"/>
      <c r="DH96" s="1520"/>
      <c r="DI96" s="1520"/>
      <c r="DJ96" s="1520"/>
      <c r="DK96" s="1623"/>
      <c r="DL96" s="1520"/>
      <c r="DM96" s="1520"/>
    </row>
    <row r="97" spans="2:117">
      <c r="B97" s="1136" t="str">
        <f t="shared" si="90"/>
        <v>2.4.4</v>
      </c>
      <c r="C97" s="1158" t="str">
        <f t="shared" si="67"/>
        <v>機械・配管支持方法</v>
      </c>
      <c r="D97" s="1146">
        <f t="shared" si="93"/>
        <v>0.2</v>
      </c>
      <c r="E97" s="1156">
        <f t="shared" si="93"/>
        <v>0</v>
      </c>
      <c r="G97" s="1156">
        <f t="shared" si="72"/>
        <v>0.2</v>
      </c>
      <c r="H97" s="1156">
        <f t="shared" si="73"/>
        <v>0</v>
      </c>
      <c r="I97" s="1156"/>
      <c r="J97" s="1156"/>
      <c r="K97" s="1156">
        <f>IF(スコア!Q97=0,0,1)</f>
        <v>1</v>
      </c>
      <c r="L97" s="1156">
        <f>IF(スコア!S97=0,0,1)</f>
        <v>0</v>
      </c>
      <c r="M97" s="1156">
        <f t="shared" si="74"/>
        <v>0.2</v>
      </c>
      <c r="N97" s="1156">
        <f t="shared" si="75"/>
        <v>0</v>
      </c>
      <c r="P97" s="1157" t="str">
        <f t="shared" si="68"/>
        <v>2.4.4</v>
      </c>
      <c r="Q97" s="1157" t="str">
        <f t="shared" si="69"/>
        <v xml:space="preserve"> Q2 2.4</v>
      </c>
      <c r="R97" s="1158" t="str">
        <f t="shared" si="70"/>
        <v>機械・配管支持方法</v>
      </c>
      <c r="S97" s="1585">
        <f t="shared" si="52"/>
        <v>0.2</v>
      </c>
      <c r="T97" s="1585">
        <f t="shared" si="53"/>
        <v>0.2</v>
      </c>
      <c r="U97" s="1585">
        <f t="shared" si="54"/>
        <v>0.2</v>
      </c>
      <c r="V97" s="1585">
        <f t="shared" si="55"/>
        <v>0.2</v>
      </c>
      <c r="W97" s="1585">
        <f t="shared" si="56"/>
        <v>0.2</v>
      </c>
      <c r="X97" s="1585">
        <f t="shared" si="57"/>
        <v>0.2</v>
      </c>
      <c r="Y97" s="1585">
        <f t="shared" si="58"/>
        <v>0.2</v>
      </c>
      <c r="Z97" s="1587">
        <f t="shared" si="59"/>
        <v>0.2</v>
      </c>
      <c r="AA97" s="1585">
        <f t="shared" si="60"/>
        <v>0.2</v>
      </c>
      <c r="AB97" s="1585">
        <f t="shared" si="61"/>
        <v>0.2</v>
      </c>
      <c r="AC97" s="1586">
        <f t="shared" si="62"/>
        <v>0</v>
      </c>
      <c r="AD97" s="1585">
        <f t="shared" si="63"/>
        <v>0</v>
      </c>
      <c r="AE97" s="1585">
        <f t="shared" si="64"/>
        <v>0</v>
      </c>
      <c r="AG97" s="1157" t="s">
        <v>1716</v>
      </c>
      <c r="AH97" s="1161" t="s">
        <v>1710</v>
      </c>
      <c r="AI97" s="1158" t="s">
        <v>1717</v>
      </c>
      <c r="AJ97" s="1159">
        <v>0.2</v>
      </c>
      <c r="AK97" s="1159">
        <v>0.2</v>
      </c>
      <c r="AL97" s="1159">
        <v>0.2</v>
      </c>
      <c r="AM97" s="1159">
        <v>0.2</v>
      </c>
      <c r="AN97" s="1159">
        <v>0.2</v>
      </c>
      <c r="AO97" s="1159">
        <v>0.2</v>
      </c>
      <c r="AP97" s="1159">
        <v>0.2</v>
      </c>
      <c r="AQ97" s="1167">
        <v>0.2</v>
      </c>
      <c r="AR97" s="1159">
        <v>0.2</v>
      </c>
      <c r="AS97" s="1163">
        <v>0.2</v>
      </c>
      <c r="AT97" s="1164">
        <v>0</v>
      </c>
      <c r="AU97" s="1163">
        <v>0</v>
      </c>
      <c r="AV97" s="1163">
        <v>0</v>
      </c>
      <c r="AX97" s="1157" t="s">
        <v>1716</v>
      </c>
      <c r="AY97" s="1161" t="s">
        <v>1710</v>
      </c>
      <c r="AZ97" s="1158" t="s">
        <v>1717</v>
      </c>
      <c r="BA97" s="1163">
        <v>0.2</v>
      </c>
      <c r="BB97" s="1163">
        <v>0.2</v>
      </c>
      <c r="BC97" s="1163">
        <v>0.2</v>
      </c>
      <c r="BD97" s="1163">
        <v>0.2</v>
      </c>
      <c r="BE97" s="1163">
        <v>0.2</v>
      </c>
      <c r="BF97" s="1163">
        <v>0.2</v>
      </c>
      <c r="BG97" s="1163">
        <v>0.2</v>
      </c>
      <c r="BH97" s="1170">
        <v>0.2</v>
      </c>
      <c r="BI97" s="1163">
        <v>0.2</v>
      </c>
      <c r="BJ97" s="1163">
        <v>0.2</v>
      </c>
      <c r="BK97" s="1164"/>
      <c r="BL97" s="1163"/>
      <c r="BM97" s="1163"/>
      <c r="BO97" s="1157" t="s">
        <v>1716</v>
      </c>
      <c r="BP97" s="1161" t="s">
        <v>1710</v>
      </c>
      <c r="BQ97" s="1158" t="s">
        <v>1717</v>
      </c>
      <c r="BR97" s="1163">
        <v>0.2</v>
      </c>
      <c r="BS97" s="1163">
        <v>0.2</v>
      </c>
      <c r="BT97" s="1163">
        <v>0.2</v>
      </c>
      <c r="BU97" s="1163">
        <v>0.2</v>
      </c>
      <c r="BV97" s="1163">
        <v>0.2</v>
      </c>
      <c r="BW97" s="1163">
        <v>0.2</v>
      </c>
      <c r="BX97" s="1163">
        <v>0.2</v>
      </c>
      <c r="BY97" s="1170">
        <v>0.2</v>
      </c>
      <c r="BZ97" s="1163">
        <v>0.2</v>
      </c>
      <c r="CA97" s="1163">
        <v>0.2</v>
      </c>
      <c r="CB97" s="1164"/>
      <c r="CC97" s="1163"/>
      <c r="CD97" s="1163"/>
      <c r="CE97" s="1382"/>
      <c r="CG97" s="1157" t="s">
        <v>1716</v>
      </c>
      <c r="CH97" s="1161" t="s">
        <v>1710</v>
      </c>
      <c r="CI97" s="1158" t="s">
        <v>1717</v>
      </c>
      <c r="CJ97" s="1520">
        <v>1</v>
      </c>
      <c r="CK97" s="1520">
        <v>1</v>
      </c>
      <c r="CL97" s="1520">
        <v>1</v>
      </c>
      <c r="CM97" s="1520">
        <v>1</v>
      </c>
      <c r="CN97" s="1520">
        <v>1</v>
      </c>
      <c r="CO97" s="1520">
        <v>1</v>
      </c>
      <c r="CP97" s="1520">
        <v>1</v>
      </c>
      <c r="CQ97" s="1520">
        <v>1</v>
      </c>
      <c r="CR97" s="1520">
        <v>1</v>
      </c>
      <c r="CS97" s="1520">
        <v>1</v>
      </c>
      <c r="CT97" s="1533">
        <f t="shared" si="85"/>
        <v>0</v>
      </c>
      <c r="CU97" s="1531">
        <f t="shared" si="86"/>
        <v>0</v>
      </c>
      <c r="CV97" s="1531">
        <f t="shared" si="87"/>
        <v>0</v>
      </c>
      <c r="CX97" s="1157" t="s">
        <v>1716</v>
      </c>
      <c r="CY97" s="1161" t="s">
        <v>1710</v>
      </c>
      <c r="CZ97" s="1158" t="s">
        <v>1717</v>
      </c>
      <c r="DA97" s="1648">
        <v>0.2</v>
      </c>
      <c r="DB97" s="1520"/>
      <c r="DC97" s="1520"/>
      <c r="DD97" s="1520"/>
      <c r="DE97" s="1520"/>
      <c r="DF97" s="1520"/>
      <c r="DG97" s="1520"/>
      <c r="DH97" s="1520"/>
      <c r="DI97" s="1520"/>
      <c r="DJ97" s="1520"/>
      <c r="DK97" s="1623"/>
      <c r="DL97" s="1520"/>
      <c r="DM97" s="1520"/>
    </row>
    <row r="98" spans="2:117">
      <c r="B98" s="1136" t="str">
        <f t="shared" si="90"/>
        <v>2.4.5</v>
      </c>
      <c r="C98" s="1158" t="str">
        <f t="shared" si="67"/>
        <v>通信・情報設備</v>
      </c>
      <c r="D98" s="1146">
        <f t="shared" si="93"/>
        <v>0.2</v>
      </c>
      <c r="E98" s="1156">
        <f t="shared" si="93"/>
        <v>0</v>
      </c>
      <c r="G98" s="1156">
        <f t="shared" si="72"/>
        <v>0.2</v>
      </c>
      <c r="H98" s="1156">
        <f t="shared" si="73"/>
        <v>0</v>
      </c>
      <c r="I98" s="1156"/>
      <c r="J98" s="1156"/>
      <c r="K98" s="1156">
        <f>IF(スコア!Q98=0,0,1)</f>
        <v>1</v>
      </c>
      <c r="L98" s="1156">
        <f>IF(スコア!S98=0,0,1)</f>
        <v>0</v>
      </c>
      <c r="M98" s="1156">
        <f t="shared" si="74"/>
        <v>0.2</v>
      </c>
      <c r="N98" s="1156">
        <f t="shared" si="75"/>
        <v>0</v>
      </c>
      <c r="P98" s="1157" t="str">
        <f t="shared" si="68"/>
        <v>2.4.5</v>
      </c>
      <c r="Q98" s="1157" t="str">
        <f t="shared" si="69"/>
        <v xml:space="preserve"> Q2 2.4</v>
      </c>
      <c r="R98" s="1158" t="str">
        <f t="shared" si="70"/>
        <v>通信・情報設備</v>
      </c>
      <c r="S98" s="1585">
        <f t="shared" si="52"/>
        <v>0.2</v>
      </c>
      <c r="T98" s="1585">
        <f t="shared" si="53"/>
        <v>0.2</v>
      </c>
      <c r="U98" s="1585">
        <f t="shared" si="54"/>
        <v>0.2</v>
      </c>
      <c r="V98" s="1585">
        <f t="shared" si="55"/>
        <v>0.2</v>
      </c>
      <c r="W98" s="1585">
        <f t="shared" si="56"/>
        <v>0.2</v>
      </c>
      <c r="X98" s="1585">
        <f t="shared" si="57"/>
        <v>0.2</v>
      </c>
      <c r="Y98" s="1585">
        <f t="shared" si="58"/>
        <v>0.2</v>
      </c>
      <c r="Z98" s="1587">
        <f t="shared" si="59"/>
        <v>0.2</v>
      </c>
      <c r="AA98" s="1585">
        <f t="shared" si="60"/>
        <v>0.2</v>
      </c>
      <c r="AB98" s="1585">
        <f t="shared" si="61"/>
        <v>0.2</v>
      </c>
      <c r="AC98" s="1586">
        <f t="shared" si="62"/>
        <v>0</v>
      </c>
      <c r="AD98" s="1585">
        <f t="shared" si="63"/>
        <v>0</v>
      </c>
      <c r="AE98" s="1585">
        <f t="shared" si="64"/>
        <v>0</v>
      </c>
      <c r="AG98" s="1157" t="s">
        <v>1718</v>
      </c>
      <c r="AH98" s="1161" t="s">
        <v>1710</v>
      </c>
      <c r="AI98" s="1158" t="s">
        <v>1719</v>
      </c>
      <c r="AJ98" s="1159">
        <v>0.2</v>
      </c>
      <c r="AK98" s="1159">
        <v>0.2</v>
      </c>
      <c r="AL98" s="1159">
        <v>0.2</v>
      </c>
      <c r="AM98" s="1159">
        <v>0.2</v>
      </c>
      <c r="AN98" s="1159">
        <v>0.2</v>
      </c>
      <c r="AO98" s="1159">
        <v>0.2</v>
      </c>
      <c r="AP98" s="1159">
        <v>0.2</v>
      </c>
      <c r="AQ98" s="1167">
        <v>0.2</v>
      </c>
      <c r="AR98" s="1159">
        <v>0.2</v>
      </c>
      <c r="AS98" s="1163">
        <v>0.2</v>
      </c>
      <c r="AT98" s="1164">
        <v>0</v>
      </c>
      <c r="AU98" s="1163">
        <v>0</v>
      </c>
      <c r="AV98" s="1163">
        <v>0</v>
      </c>
      <c r="AX98" s="1157" t="s">
        <v>1718</v>
      </c>
      <c r="AY98" s="1161" t="s">
        <v>1710</v>
      </c>
      <c r="AZ98" s="1158" t="s">
        <v>1719</v>
      </c>
      <c r="BA98" s="1163">
        <v>0.2</v>
      </c>
      <c r="BB98" s="1163">
        <v>0.2</v>
      </c>
      <c r="BC98" s="1163">
        <v>0.2</v>
      </c>
      <c r="BD98" s="1163">
        <v>0.2</v>
      </c>
      <c r="BE98" s="1163">
        <v>0.2</v>
      </c>
      <c r="BF98" s="1163">
        <v>0.2</v>
      </c>
      <c r="BG98" s="1163">
        <v>0.2</v>
      </c>
      <c r="BH98" s="1170">
        <v>0.2</v>
      </c>
      <c r="BI98" s="1163">
        <v>0.2</v>
      </c>
      <c r="BJ98" s="1163">
        <v>0.2</v>
      </c>
      <c r="BK98" s="1164"/>
      <c r="BL98" s="1163"/>
      <c r="BM98" s="1163"/>
      <c r="BO98" s="1157" t="s">
        <v>1718</v>
      </c>
      <c r="BP98" s="1161" t="s">
        <v>1710</v>
      </c>
      <c r="BQ98" s="1158" t="s">
        <v>1719</v>
      </c>
      <c r="BR98" s="1163">
        <v>0.2</v>
      </c>
      <c r="BS98" s="1163">
        <v>0.2</v>
      </c>
      <c r="BT98" s="1163">
        <v>0.2</v>
      </c>
      <c r="BU98" s="1163">
        <v>0.2</v>
      </c>
      <c r="BV98" s="1163">
        <v>0.2</v>
      </c>
      <c r="BW98" s="1163">
        <v>0.2</v>
      </c>
      <c r="BX98" s="1163">
        <v>0.2</v>
      </c>
      <c r="BY98" s="1170">
        <v>0.2</v>
      </c>
      <c r="BZ98" s="1163">
        <v>0.2</v>
      </c>
      <c r="CA98" s="1163">
        <v>0.2</v>
      </c>
      <c r="CB98" s="1164"/>
      <c r="CC98" s="1163"/>
      <c r="CD98" s="1163"/>
      <c r="CE98" s="1382"/>
      <c r="CG98" s="1157" t="s">
        <v>1718</v>
      </c>
      <c r="CH98" s="1161" t="s">
        <v>1710</v>
      </c>
      <c r="CI98" s="1158" t="s">
        <v>1719</v>
      </c>
      <c r="CJ98" s="1531">
        <v>0</v>
      </c>
      <c r="CK98" s="1531">
        <v>0</v>
      </c>
      <c r="CL98" s="1531">
        <v>0</v>
      </c>
      <c r="CM98" s="1531">
        <v>0</v>
      </c>
      <c r="CN98" s="1531">
        <v>0</v>
      </c>
      <c r="CO98" s="1531">
        <v>0</v>
      </c>
      <c r="CP98" s="1531">
        <v>0</v>
      </c>
      <c r="CQ98" s="1531">
        <v>0</v>
      </c>
      <c r="CR98" s="1531">
        <v>0</v>
      </c>
      <c r="CS98" s="1531">
        <v>0</v>
      </c>
      <c r="CT98" s="1533">
        <f t="shared" si="85"/>
        <v>0</v>
      </c>
      <c r="CU98" s="1531">
        <f t="shared" si="86"/>
        <v>0</v>
      </c>
      <c r="CV98" s="1531">
        <f t="shared" si="87"/>
        <v>0</v>
      </c>
      <c r="CX98" s="1157" t="s">
        <v>1718</v>
      </c>
      <c r="CY98" s="1161" t="s">
        <v>1710</v>
      </c>
      <c r="CZ98" s="1158" t="s">
        <v>1719</v>
      </c>
      <c r="DA98" s="1648">
        <v>0.25</v>
      </c>
      <c r="DB98" s="1520"/>
      <c r="DC98" s="1520"/>
      <c r="DD98" s="1520"/>
      <c r="DE98" s="1520"/>
      <c r="DF98" s="1520"/>
      <c r="DG98" s="1520"/>
      <c r="DH98" s="1520"/>
      <c r="DI98" s="1520"/>
      <c r="DJ98" s="1520"/>
      <c r="DK98" s="1623"/>
      <c r="DL98" s="1520"/>
      <c r="DM98" s="1520"/>
    </row>
    <row r="99" spans="2:117" hidden="1">
      <c r="B99" s="1136">
        <f t="shared" si="90"/>
        <v>0</v>
      </c>
      <c r="C99" s="1158">
        <f t="shared" si="67"/>
        <v>0</v>
      </c>
      <c r="D99" s="1146"/>
      <c r="E99" s="1156"/>
      <c r="G99" s="1156">
        <f t="shared" si="72"/>
        <v>0</v>
      </c>
      <c r="H99" s="1156">
        <f t="shared" si="73"/>
        <v>0</v>
      </c>
      <c r="I99" s="1156"/>
      <c r="J99" s="1156"/>
      <c r="K99" s="1156"/>
      <c r="L99" s="1156"/>
      <c r="M99" s="1156">
        <f t="shared" si="74"/>
        <v>0</v>
      </c>
      <c r="N99" s="1156"/>
      <c r="P99" s="1157">
        <f t="shared" si="68"/>
        <v>0</v>
      </c>
      <c r="Q99" s="1157" t="str">
        <f t="shared" si="69"/>
        <v xml:space="preserve"> Q</v>
      </c>
      <c r="R99" s="1158">
        <f t="shared" si="70"/>
        <v>0</v>
      </c>
      <c r="S99" s="1585">
        <f t="shared" si="52"/>
        <v>0</v>
      </c>
      <c r="T99" s="1585">
        <f t="shared" si="53"/>
        <v>0</v>
      </c>
      <c r="U99" s="1585">
        <f t="shared" si="54"/>
        <v>0</v>
      </c>
      <c r="V99" s="1585">
        <f t="shared" si="55"/>
        <v>0</v>
      </c>
      <c r="W99" s="1585">
        <f t="shared" si="56"/>
        <v>0</v>
      </c>
      <c r="X99" s="1585">
        <f t="shared" si="57"/>
        <v>0</v>
      </c>
      <c r="Y99" s="1585">
        <f t="shared" si="58"/>
        <v>0</v>
      </c>
      <c r="Z99" s="1587">
        <f t="shared" si="59"/>
        <v>0</v>
      </c>
      <c r="AA99" s="1585">
        <f t="shared" si="60"/>
        <v>0</v>
      </c>
      <c r="AB99" s="1585">
        <f t="shared" si="61"/>
        <v>0</v>
      </c>
      <c r="AC99" s="1586">
        <f t="shared" si="62"/>
        <v>0</v>
      </c>
      <c r="AD99" s="1585">
        <f t="shared" si="63"/>
        <v>0</v>
      </c>
      <c r="AE99" s="1585">
        <f t="shared" si="64"/>
        <v>0</v>
      </c>
      <c r="AG99" s="1157"/>
      <c r="AH99" s="1161" t="s">
        <v>780</v>
      </c>
      <c r="AI99" s="1158"/>
      <c r="AJ99" s="1168">
        <v>0</v>
      </c>
      <c r="AK99" s="1168">
        <v>0</v>
      </c>
      <c r="AL99" s="1168">
        <v>0</v>
      </c>
      <c r="AM99" s="1168">
        <v>0</v>
      </c>
      <c r="AN99" s="1168">
        <v>0</v>
      </c>
      <c r="AO99" s="1168">
        <v>0</v>
      </c>
      <c r="AP99" s="1168">
        <v>0</v>
      </c>
      <c r="AQ99" s="1181">
        <v>0</v>
      </c>
      <c r="AR99" s="1168">
        <v>0</v>
      </c>
      <c r="AS99" s="1163"/>
      <c r="AT99" s="1164">
        <v>0</v>
      </c>
      <c r="AU99" s="1163">
        <v>0</v>
      </c>
      <c r="AV99" s="1163">
        <v>0</v>
      </c>
      <c r="AX99" s="1157"/>
      <c r="AY99" s="1161" t="s">
        <v>780</v>
      </c>
      <c r="AZ99" s="1158"/>
      <c r="BA99" s="1163"/>
      <c r="BB99" s="1163"/>
      <c r="BC99" s="1163"/>
      <c r="BD99" s="1163"/>
      <c r="BE99" s="1163"/>
      <c r="BF99" s="1163"/>
      <c r="BG99" s="1163"/>
      <c r="BH99" s="1170"/>
      <c r="BI99" s="1163"/>
      <c r="BJ99" s="1163"/>
      <c r="BK99" s="1164"/>
      <c r="BL99" s="1163"/>
      <c r="BM99" s="1163"/>
      <c r="BO99" s="1157"/>
      <c r="BP99" s="1161" t="s">
        <v>780</v>
      </c>
      <c r="BQ99" s="1158"/>
      <c r="BR99" s="1163"/>
      <c r="BS99" s="1163"/>
      <c r="BT99" s="1163"/>
      <c r="BU99" s="1163"/>
      <c r="BV99" s="1163"/>
      <c r="BW99" s="1163"/>
      <c r="BX99" s="1163"/>
      <c r="BY99" s="1170"/>
      <c r="BZ99" s="1163"/>
      <c r="CA99" s="1163"/>
      <c r="CB99" s="1164"/>
      <c r="CC99" s="1163"/>
      <c r="CD99" s="1163"/>
      <c r="CE99" s="1382"/>
      <c r="CG99" s="1157"/>
      <c r="CH99" s="1161" t="s">
        <v>780</v>
      </c>
      <c r="CI99" s="1158"/>
      <c r="CJ99" s="1531">
        <f t="shared" si="88"/>
        <v>0</v>
      </c>
      <c r="CK99" s="1531">
        <f t="shared" si="76"/>
        <v>0</v>
      </c>
      <c r="CL99" s="1531">
        <f t="shared" si="77"/>
        <v>0</v>
      </c>
      <c r="CM99" s="1531">
        <f t="shared" si="78"/>
        <v>0</v>
      </c>
      <c r="CN99" s="1531">
        <f t="shared" si="79"/>
        <v>0</v>
      </c>
      <c r="CO99" s="1531">
        <f t="shared" si="80"/>
        <v>0</v>
      </c>
      <c r="CP99" s="1531">
        <f t="shared" si="81"/>
        <v>0</v>
      </c>
      <c r="CQ99" s="1543">
        <f t="shared" si="82"/>
        <v>0</v>
      </c>
      <c r="CR99" s="1531">
        <f t="shared" si="83"/>
        <v>0</v>
      </c>
      <c r="CS99" s="1531">
        <f t="shared" si="84"/>
        <v>0</v>
      </c>
      <c r="CT99" s="1533">
        <f t="shared" si="85"/>
        <v>0</v>
      </c>
      <c r="CU99" s="1531">
        <f t="shared" si="86"/>
        <v>0</v>
      </c>
      <c r="CV99" s="1531">
        <f t="shared" si="87"/>
        <v>0</v>
      </c>
      <c r="CX99" s="1157"/>
      <c r="CY99" s="1161" t="s">
        <v>780</v>
      </c>
      <c r="CZ99" s="1158"/>
      <c r="DA99" s="1520">
        <f t="shared" si="89"/>
        <v>0</v>
      </c>
      <c r="DB99" s="1520"/>
      <c r="DC99" s="1520"/>
      <c r="DD99" s="1520"/>
      <c r="DE99" s="1520"/>
      <c r="DF99" s="1520"/>
      <c r="DG99" s="1520"/>
      <c r="DH99" s="1576"/>
      <c r="DI99" s="1520"/>
      <c r="DJ99" s="1520"/>
      <c r="DK99" s="1623"/>
      <c r="DL99" s="1520"/>
      <c r="DM99" s="1520"/>
    </row>
    <row r="100" spans="2:117">
      <c r="B100" s="1136">
        <f t="shared" si="90"/>
        <v>3</v>
      </c>
      <c r="C100" s="1148" t="str">
        <f t="shared" si="67"/>
        <v>対応性・更新性</v>
      </c>
      <c r="D100" s="1144">
        <f>IF(I$62=0,0,G100/I$62)</f>
        <v>0.3</v>
      </c>
      <c r="E100" s="1145">
        <f>IF(J$62=0,0,H100/J$62)</f>
        <v>0</v>
      </c>
      <c r="G100" s="1145">
        <f t="shared" si="72"/>
        <v>0.3</v>
      </c>
      <c r="H100" s="1145">
        <f t="shared" si="73"/>
        <v>0</v>
      </c>
      <c r="I100" s="1145">
        <f>G101+G104+G105</f>
        <v>0.79999999999999993</v>
      </c>
      <c r="J100" s="1145">
        <f>H101+H104+H105</f>
        <v>0.66666666666666663</v>
      </c>
      <c r="K100" s="1145">
        <f>IF(スコア!Q100=0,0,1)</f>
        <v>1</v>
      </c>
      <c r="L100" s="1145">
        <f>IF(スコア!S100=0,0,1)</f>
        <v>1</v>
      </c>
      <c r="M100" s="1145">
        <f t="shared" si="74"/>
        <v>0.3</v>
      </c>
      <c r="N100" s="1145">
        <f t="shared" ref="N100:N119" si="94">(AC$7*AC100)+(AD$7*AD100)+(AE$7*AE100)</f>
        <v>0</v>
      </c>
      <c r="P100" s="1147">
        <f t="shared" si="68"/>
        <v>3</v>
      </c>
      <c r="Q100" s="1147" t="str">
        <f t="shared" si="69"/>
        <v xml:space="preserve"> Q2</v>
      </c>
      <c r="R100" s="1148" t="str">
        <f t="shared" si="70"/>
        <v>対応性・更新性</v>
      </c>
      <c r="S100" s="1582">
        <f t="shared" si="52"/>
        <v>0.3</v>
      </c>
      <c r="T100" s="1582">
        <f t="shared" si="53"/>
        <v>0.3</v>
      </c>
      <c r="U100" s="1582">
        <f t="shared" si="54"/>
        <v>0.3</v>
      </c>
      <c r="V100" s="1582">
        <f t="shared" si="55"/>
        <v>0.3</v>
      </c>
      <c r="W100" s="1582">
        <f t="shared" si="56"/>
        <v>0.3</v>
      </c>
      <c r="X100" s="1582">
        <f t="shared" si="57"/>
        <v>0.3</v>
      </c>
      <c r="Y100" s="1582">
        <f t="shared" si="58"/>
        <v>0.3</v>
      </c>
      <c r="Z100" s="1596">
        <f t="shared" si="59"/>
        <v>0.3</v>
      </c>
      <c r="AA100" s="1582">
        <f t="shared" si="60"/>
        <v>0.3</v>
      </c>
      <c r="AB100" s="1582">
        <f t="shared" si="61"/>
        <v>0.3</v>
      </c>
      <c r="AC100" s="1584">
        <f t="shared" si="62"/>
        <v>0</v>
      </c>
      <c r="AD100" s="1582">
        <f t="shared" si="63"/>
        <v>0</v>
      </c>
      <c r="AE100" s="1582">
        <f t="shared" si="64"/>
        <v>0</v>
      </c>
      <c r="AG100" s="1147">
        <v>3</v>
      </c>
      <c r="AH100" s="1151" t="s">
        <v>2119</v>
      </c>
      <c r="AI100" s="1148" t="s">
        <v>103</v>
      </c>
      <c r="AJ100" s="1149">
        <v>0.3</v>
      </c>
      <c r="AK100" s="1149">
        <v>0.3</v>
      </c>
      <c r="AL100" s="1149">
        <v>0.3</v>
      </c>
      <c r="AM100" s="1149">
        <v>0.3</v>
      </c>
      <c r="AN100" s="1149">
        <v>0.3</v>
      </c>
      <c r="AO100" s="1149">
        <v>0.3</v>
      </c>
      <c r="AP100" s="1149">
        <v>0.3</v>
      </c>
      <c r="AQ100" s="1201">
        <v>0.3</v>
      </c>
      <c r="AR100" s="1149">
        <v>0.3</v>
      </c>
      <c r="AS100" s="1152">
        <v>0.3</v>
      </c>
      <c r="AT100" s="1153"/>
      <c r="AU100" s="1152"/>
      <c r="AV100" s="1152"/>
      <c r="AX100" s="1147">
        <v>3</v>
      </c>
      <c r="AY100" s="1151" t="s">
        <v>2119</v>
      </c>
      <c r="AZ100" s="1148" t="s">
        <v>103</v>
      </c>
      <c r="BA100" s="1152">
        <v>0.3</v>
      </c>
      <c r="BB100" s="1152">
        <v>0.3</v>
      </c>
      <c r="BC100" s="1152">
        <v>0.3</v>
      </c>
      <c r="BD100" s="1152">
        <v>0.3</v>
      </c>
      <c r="BE100" s="1152">
        <v>0.3</v>
      </c>
      <c r="BF100" s="1152">
        <v>0.3</v>
      </c>
      <c r="BG100" s="1152">
        <v>0.3</v>
      </c>
      <c r="BH100" s="1202">
        <v>0.3</v>
      </c>
      <c r="BI100" s="1152">
        <v>0.3</v>
      </c>
      <c r="BJ100" s="1152">
        <v>0.3</v>
      </c>
      <c r="BK100" s="1153"/>
      <c r="BL100" s="1152"/>
      <c r="BM100" s="1152"/>
      <c r="BO100" s="1147">
        <v>3</v>
      </c>
      <c r="BP100" s="1151" t="s">
        <v>2119</v>
      </c>
      <c r="BQ100" s="1148" t="s">
        <v>103</v>
      </c>
      <c r="BR100" s="1152">
        <v>0.3</v>
      </c>
      <c r="BS100" s="1152">
        <v>0.3</v>
      </c>
      <c r="BT100" s="1152">
        <v>0.3</v>
      </c>
      <c r="BU100" s="1152">
        <v>0.3</v>
      </c>
      <c r="BV100" s="1152">
        <v>0.3</v>
      </c>
      <c r="BW100" s="1152">
        <v>0.3</v>
      </c>
      <c r="BX100" s="1152">
        <v>0.3</v>
      </c>
      <c r="BY100" s="1202">
        <v>0.3</v>
      </c>
      <c r="BZ100" s="1152">
        <v>0.3</v>
      </c>
      <c r="CA100" s="1152">
        <v>0.3</v>
      </c>
      <c r="CB100" s="1153"/>
      <c r="CC100" s="1152"/>
      <c r="CD100" s="1152"/>
      <c r="CE100" s="1381"/>
      <c r="CG100" s="1147">
        <v>3</v>
      </c>
      <c r="CH100" s="1151" t="s">
        <v>2119</v>
      </c>
      <c r="CI100" s="1148" t="s">
        <v>103</v>
      </c>
      <c r="CJ100" s="1518">
        <v>0</v>
      </c>
      <c r="CK100" s="1518">
        <v>0</v>
      </c>
      <c r="CL100" s="1518">
        <v>0</v>
      </c>
      <c r="CM100" s="1518">
        <v>0</v>
      </c>
      <c r="CN100" s="1518">
        <v>0</v>
      </c>
      <c r="CO100" s="1518">
        <v>0</v>
      </c>
      <c r="CP100" s="1518">
        <v>0</v>
      </c>
      <c r="CQ100" s="1518">
        <v>0</v>
      </c>
      <c r="CR100" s="1518">
        <v>0</v>
      </c>
      <c r="CS100" s="1518">
        <v>0</v>
      </c>
      <c r="CT100" s="1519">
        <f t="shared" si="85"/>
        <v>0</v>
      </c>
      <c r="CU100" s="1518">
        <f t="shared" si="86"/>
        <v>0</v>
      </c>
      <c r="CV100" s="1518">
        <f t="shared" si="87"/>
        <v>0</v>
      </c>
      <c r="CX100" s="1147">
        <v>3</v>
      </c>
      <c r="CY100" s="1151" t="s">
        <v>2119</v>
      </c>
      <c r="CZ100" s="1148" t="s">
        <v>103</v>
      </c>
      <c r="DA100" s="1649">
        <v>0.2</v>
      </c>
      <c r="DB100" s="1518"/>
      <c r="DC100" s="1518"/>
      <c r="DD100" s="1518"/>
      <c r="DE100" s="1518"/>
      <c r="DF100" s="1518"/>
      <c r="DG100" s="1518"/>
      <c r="DH100" s="1518"/>
      <c r="DI100" s="1518"/>
      <c r="DJ100" s="1518"/>
      <c r="DK100" s="1519"/>
      <c r="DL100" s="1518"/>
      <c r="DM100" s="1518"/>
    </row>
    <row r="101" spans="2:117">
      <c r="B101" s="1136">
        <f t="shared" si="90"/>
        <v>3.1</v>
      </c>
      <c r="C101" s="1158" t="str">
        <f t="shared" si="67"/>
        <v>空間のゆとり</v>
      </c>
      <c r="D101" s="1155">
        <f>IF(I$100=0,0,G101/I$100)</f>
        <v>0</v>
      </c>
      <c r="E101" s="1156">
        <f>IF(J$100=0,0,H101/J$100)</f>
        <v>0.5</v>
      </c>
      <c r="G101" s="1156">
        <f t="shared" si="72"/>
        <v>0</v>
      </c>
      <c r="H101" s="1156">
        <f t="shared" si="73"/>
        <v>0.33333333333333331</v>
      </c>
      <c r="I101" s="1156">
        <f>SUM(G102:G103)</f>
        <v>0</v>
      </c>
      <c r="J101" s="1156">
        <f>SUM(H102:H103)</f>
        <v>0.66666666666666663</v>
      </c>
      <c r="K101" s="1156">
        <f>IF(スコア!Q101=0,0,1)</f>
        <v>0</v>
      </c>
      <c r="L101" s="1156">
        <f>IF(スコア!S101=0,0,1)</f>
        <v>1</v>
      </c>
      <c r="M101" s="1156">
        <f t="shared" si="74"/>
        <v>9.9999999999999992E-2</v>
      </c>
      <c r="N101" s="1156">
        <f t="shared" si="94"/>
        <v>0.33333333333333331</v>
      </c>
      <c r="P101" s="1157">
        <f t="shared" si="68"/>
        <v>3.1</v>
      </c>
      <c r="Q101" s="1157" t="str">
        <f t="shared" si="69"/>
        <v xml:space="preserve"> Q2 3</v>
      </c>
      <c r="R101" s="1158" t="str">
        <f t="shared" si="70"/>
        <v>空間のゆとり</v>
      </c>
      <c r="S101" s="1585">
        <f t="shared" si="52"/>
        <v>0.3</v>
      </c>
      <c r="T101" s="1585">
        <f t="shared" si="53"/>
        <v>0.3</v>
      </c>
      <c r="U101" s="1585">
        <f t="shared" si="54"/>
        <v>0.3</v>
      </c>
      <c r="V101" s="1585">
        <f t="shared" si="55"/>
        <v>0.3</v>
      </c>
      <c r="W101" s="1585">
        <f t="shared" si="56"/>
        <v>0.3</v>
      </c>
      <c r="X101" s="1585">
        <f t="shared" si="57"/>
        <v>0</v>
      </c>
      <c r="Y101" s="1585">
        <f t="shared" si="58"/>
        <v>0</v>
      </c>
      <c r="Z101" s="1587">
        <f t="shared" si="59"/>
        <v>0.3</v>
      </c>
      <c r="AA101" s="1585">
        <f t="shared" si="60"/>
        <v>0.3</v>
      </c>
      <c r="AB101" s="1585">
        <f t="shared" si="61"/>
        <v>0.3</v>
      </c>
      <c r="AC101" s="1586">
        <f t="shared" si="62"/>
        <v>0.5</v>
      </c>
      <c r="AD101" s="1585">
        <f t="shared" si="63"/>
        <v>0.5</v>
      </c>
      <c r="AE101" s="1585">
        <f t="shared" si="64"/>
        <v>0.5</v>
      </c>
      <c r="AG101" s="1157">
        <v>3.1</v>
      </c>
      <c r="AH101" s="1161" t="s">
        <v>104</v>
      </c>
      <c r="AI101" s="1158" t="s">
        <v>1020</v>
      </c>
      <c r="AJ101" s="1159">
        <v>0.3</v>
      </c>
      <c r="AK101" s="1159">
        <v>0.3</v>
      </c>
      <c r="AL101" s="1159">
        <v>0.3</v>
      </c>
      <c r="AM101" s="1159">
        <v>0.3</v>
      </c>
      <c r="AN101" s="1159">
        <v>0.3</v>
      </c>
      <c r="AO101" s="1159"/>
      <c r="AP101" s="1159"/>
      <c r="AQ101" s="1167">
        <v>0.3</v>
      </c>
      <c r="AR101" s="1159">
        <v>0.3</v>
      </c>
      <c r="AS101" s="1163">
        <v>0.3</v>
      </c>
      <c r="AT101" s="1164">
        <v>0.5</v>
      </c>
      <c r="AU101" s="1163">
        <v>0.5</v>
      </c>
      <c r="AV101" s="1163">
        <v>0.5</v>
      </c>
      <c r="AX101" s="1157">
        <v>3.1</v>
      </c>
      <c r="AY101" s="1161" t="s">
        <v>104</v>
      </c>
      <c r="AZ101" s="1158" t="s">
        <v>1020</v>
      </c>
      <c r="BA101" s="1163">
        <v>0.3</v>
      </c>
      <c r="BB101" s="1163">
        <v>0.3</v>
      </c>
      <c r="BC101" s="1163">
        <v>0.3</v>
      </c>
      <c r="BD101" s="1163">
        <v>0.3</v>
      </c>
      <c r="BE101" s="1163">
        <v>0.3</v>
      </c>
      <c r="BF101" s="1163"/>
      <c r="BG101" s="1163"/>
      <c r="BH101" s="1170">
        <v>0.3</v>
      </c>
      <c r="BI101" s="1163">
        <v>0.3</v>
      </c>
      <c r="BJ101" s="1163">
        <v>0.3</v>
      </c>
      <c r="BK101" s="1164">
        <v>0.5</v>
      </c>
      <c r="BL101" s="1163">
        <v>0.5</v>
      </c>
      <c r="BM101" s="1163">
        <v>0.5</v>
      </c>
      <c r="BO101" s="1157">
        <v>3.1</v>
      </c>
      <c r="BP101" s="1161" t="s">
        <v>104</v>
      </c>
      <c r="BQ101" s="1158" t="s">
        <v>1020</v>
      </c>
      <c r="BR101" s="1163">
        <v>0.3</v>
      </c>
      <c r="BS101" s="1163">
        <v>0.3</v>
      </c>
      <c r="BT101" s="1163">
        <v>0.3</v>
      </c>
      <c r="BU101" s="1163">
        <v>0.3</v>
      </c>
      <c r="BV101" s="1163">
        <v>0.3</v>
      </c>
      <c r="BW101" s="1163"/>
      <c r="BX101" s="1163"/>
      <c r="BY101" s="1170">
        <v>0.3</v>
      </c>
      <c r="BZ101" s="1163">
        <v>0.3</v>
      </c>
      <c r="CA101" s="1163">
        <v>0.3</v>
      </c>
      <c r="CB101" s="1164">
        <v>0.5</v>
      </c>
      <c r="CC101" s="1163">
        <v>0.5</v>
      </c>
      <c r="CD101" s="1163">
        <v>0.5</v>
      </c>
      <c r="CE101" s="1382"/>
      <c r="CG101" s="1157">
        <v>3.1</v>
      </c>
      <c r="CH101" s="1161" t="s">
        <v>104</v>
      </c>
      <c r="CI101" s="1158" t="s">
        <v>1020</v>
      </c>
      <c r="CJ101" s="1531">
        <v>0</v>
      </c>
      <c r="CK101" s="1531">
        <v>0</v>
      </c>
      <c r="CL101" s="1531">
        <v>0</v>
      </c>
      <c r="CM101" s="1531">
        <v>0</v>
      </c>
      <c r="CN101" s="1531">
        <v>0</v>
      </c>
      <c r="CO101" s="1531">
        <v>0</v>
      </c>
      <c r="CP101" s="1531">
        <v>0</v>
      </c>
      <c r="CQ101" s="1531">
        <v>0</v>
      </c>
      <c r="CR101" s="1531">
        <v>0</v>
      </c>
      <c r="CS101" s="1531">
        <v>0</v>
      </c>
      <c r="CT101" s="1531">
        <v>0</v>
      </c>
      <c r="CU101" s="1531">
        <v>0</v>
      </c>
      <c r="CV101" s="1531">
        <v>0</v>
      </c>
      <c r="CX101" s="1157">
        <v>3.1</v>
      </c>
      <c r="CY101" s="1161" t="s">
        <v>104</v>
      </c>
      <c r="CZ101" s="1158" t="s">
        <v>1020</v>
      </c>
      <c r="DA101" s="1520">
        <f t="shared" si="89"/>
        <v>0.3</v>
      </c>
      <c r="DB101" s="1520"/>
      <c r="DC101" s="1520"/>
      <c r="DD101" s="1520"/>
      <c r="DE101" s="1520"/>
      <c r="DF101" s="1520"/>
      <c r="DG101" s="1520"/>
      <c r="DH101" s="1520"/>
      <c r="DI101" s="1520"/>
      <c r="DJ101" s="1520"/>
      <c r="DK101" s="1520"/>
      <c r="DL101" s="1520"/>
      <c r="DM101" s="1520"/>
    </row>
    <row r="102" spans="2:117">
      <c r="B102" s="1136" t="str">
        <f t="shared" si="90"/>
        <v>3.1.1</v>
      </c>
      <c r="C102" s="1158" t="str">
        <f t="shared" si="67"/>
        <v>階高のゆとり</v>
      </c>
      <c r="D102" s="1146">
        <f>IF(I$101&gt;0,G102/I$101,0)</f>
        <v>0</v>
      </c>
      <c r="E102" s="1156">
        <f>IF(J$101&gt;0,H102/J$101,0)</f>
        <v>0.6</v>
      </c>
      <c r="G102" s="1156">
        <f t="shared" si="72"/>
        <v>0</v>
      </c>
      <c r="H102" s="1156">
        <f t="shared" si="73"/>
        <v>0.39999999999999997</v>
      </c>
      <c r="I102" s="1156"/>
      <c r="J102" s="1156"/>
      <c r="K102" s="1156">
        <f>IF(スコア!Q102=0,0,1)</f>
        <v>0</v>
      </c>
      <c r="L102" s="1156">
        <f>IF(スコア!S102=0,0,1)</f>
        <v>1</v>
      </c>
      <c r="M102" s="1156">
        <f t="shared" si="74"/>
        <v>0.19999999999999998</v>
      </c>
      <c r="N102" s="1156">
        <f t="shared" si="94"/>
        <v>0.39999999999999997</v>
      </c>
      <c r="P102" s="1157" t="str">
        <f t="shared" si="68"/>
        <v>3.1.1</v>
      </c>
      <c r="Q102" s="1157" t="str">
        <f t="shared" si="69"/>
        <v xml:space="preserve"> Q2 3.1</v>
      </c>
      <c r="R102" s="1158" t="str">
        <f t="shared" si="70"/>
        <v>階高のゆとり</v>
      </c>
      <c r="S102" s="1585">
        <f t="shared" si="52"/>
        <v>0.6</v>
      </c>
      <c r="T102" s="1585">
        <f t="shared" si="53"/>
        <v>0.6</v>
      </c>
      <c r="U102" s="1585">
        <f t="shared" si="54"/>
        <v>0.6</v>
      </c>
      <c r="V102" s="1585">
        <f t="shared" si="55"/>
        <v>0.6</v>
      </c>
      <c r="W102" s="1585">
        <f t="shared" si="56"/>
        <v>0.6</v>
      </c>
      <c r="X102" s="1585">
        <f t="shared" si="57"/>
        <v>0</v>
      </c>
      <c r="Y102" s="1585">
        <f t="shared" si="58"/>
        <v>0</v>
      </c>
      <c r="Z102" s="1587">
        <f t="shared" si="59"/>
        <v>0</v>
      </c>
      <c r="AA102" s="1585">
        <f t="shared" si="60"/>
        <v>0.6</v>
      </c>
      <c r="AB102" s="1585">
        <f t="shared" si="61"/>
        <v>0.6</v>
      </c>
      <c r="AC102" s="1586">
        <f t="shared" si="62"/>
        <v>0.6</v>
      </c>
      <c r="AD102" s="1585">
        <f t="shared" si="63"/>
        <v>0.6</v>
      </c>
      <c r="AE102" s="1585">
        <f t="shared" si="64"/>
        <v>0.6</v>
      </c>
      <c r="AG102" s="1157" t="s">
        <v>1141</v>
      </c>
      <c r="AH102" s="1161" t="s">
        <v>105</v>
      </c>
      <c r="AI102" s="1158" t="s">
        <v>106</v>
      </c>
      <c r="AJ102" s="1159">
        <v>0.6</v>
      </c>
      <c r="AK102" s="1159">
        <v>0.6</v>
      </c>
      <c r="AL102" s="1159">
        <v>0.6</v>
      </c>
      <c r="AM102" s="1159">
        <v>0.6</v>
      </c>
      <c r="AN102" s="1159">
        <v>0.6</v>
      </c>
      <c r="AO102" s="1159"/>
      <c r="AP102" s="1159"/>
      <c r="AQ102" s="1167">
        <v>0</v>
      </c>
      <c r="AR102" s="1159">
        <v>0.6</v>
      </c>
      <c r="AS102" s="1163">
        <v>0.6</v>
      </c>
      <c r="AT102" s="1164">
        <v>0.6</v>
      </c>
      <c r="AU102" s="1163">
        <v>0.6</v>
      </c>
      <c r="AV102" s="1163">
        <v>0.6</v>
      </c>
      <c r="AX102" s="1157" t="s">
        <v>1141</v>
      </c>
      <c r="AY102" s="1161" t="s">
        <v>105</v>
      </c>
      <c r="AZ102" s="1158" t="s">
        <v>106</v>
      </c>
      <c r="BA102" s="1163">
        <v>0.6</v>
      </c>
      <c r="BB102" s="1163">
        <v>0.6</v>
      </c>
      <c r="BC102" s="1163">
        <v>0.6</v>
      </c>
      <c r="BD102" s="1163">
        <v>0.6</v>
      </c>
      <c r="BE102" s="1163">
        <v>0.6</v>
      </c>
      <c r="BF102" s="1163"/>
      <c r="BG102" s="1163"/>
      <c r="BH102" s="1170">
        <v>0</v>
      </c>
      <c r="BI102" s="1163">
        <v>0.6</v>
      </c>
      <c r="BJ102" s="1163">
        <v>0.6</v>
      </c>
      <c r="BK102" s="1164">
        <v>0.6</v>
      </c>
      <c r="BL102" s="1163">
        <v>0.6</v>
      </c>
      <c r="BM102" s="1163">
        <v>0.6</v>
      </c>
      <c r="BO102" s="1157" t="s">
        <v>1141</v>
      </c>
      <c r="BP102" s="1161" t="s">
        <v>105</v>
      </c>
      <c r="BQ102" s="1158" t="s">
        <v>106</v>
      </c>
      <c r="BR102" s="1163">
        <v>0.6</v>
      </c>
      <c r="BS102" s="1163">
        <v>0.6</v>
      </c>
      <c r="BT102" s="1163">
        <v>0.6</v>
      </c>
      <c r="BU102" s="1163">
        <v>0.6</v>
      </c>
      <c r="BV102" s="1163">
        <v>0.6</v>
      </c>
      <c r="BW102" s="1163"/>
      <c r="BX102" s="1163"/>
      <c r="BY102" s="1170">
        <v>0</v>
      </c>
      <c r="BZ102" s="1163">
        <v>0.6</v>
      </c>
      <c r="CA102" s="1163">
        <v>0.6</v>
      </c>
      <c r="CB102" s="1164">
        <v>0.6</v>
      </c>
      <c r="CC102" s="1163">
        <v>0.6</v>
      </c>
      <c r="CD102" s="1163">
        <v>0.6</v>
      </c>
      <c r="CE102" s="1382"/>
      <c r="CG102" s="1157" t="s">
        <v>928</v>
      </c>
      <c r="CH102" s="1161" t="s">
        <v>105</v>
      </c>
      <c r="CI102" s="1158" t="s">
        <v>106</v>
      </c>
      <c r="CJ102" s="1531">
        <v>0</v>
      </c>
      <c r="CK102" s="1531">
        <v>0</v>
      </c>
      <c r="CL102" s="1531">
        <v>0</v>
      </c>
      <c r="CM102" s="1531">
        <v>0</v>
      </c>
      <c r="CN102" s="1531">
        <v>0</v>
      </c>
      <c r="CO102" s="1531">
        <v>0</v>
      </c>
      <c r="CP102" s="1531">
        <v>0</v>
      </c>
      <c r="CQ102" s="1531">
        <v>0</v>
      </c>
      <c r="CR102" s="1531">
        <v>0</v>
      </c>
      <c r="CS102" s="1531">
        <v>0</v>
      </c>
      <c r="CT102" s="1531">
        <v>0</v>
      </c>
      <c r="CU102" s="1531">
        <v>0</v>
      </c>
      <c r="CV102" s="1531">
        <v>0</v>
      </c>
      <c r="CX102" s="1157" t="s">
        <v>928</v>
      </c>
      <c r="CY102" s="1161" t="s">
        <v>105</v>
      </c>
      <c r="CZ102" s="1158" t="s">
        <v>106</v>
      </c>
      <c r="DA102" s="1642">
        <v>0</v>
      </c>
      <c r="DB102" s="1520"/>
      <c r="DC102" s="1520"/>
      <c r="DD102" s="1520"/>
      <c r="DE102" s="1520"/>
      <c r="DF102" s="1520"/>
      <c r="DG102" s="1520"/>
      <c r="DH102" s="1520"/>
      <c r="DI102" s="1520"/>
      <c r="DJ102" s="1520"/>
      <c r="DK102" s="1520"/>
      <c r="DL102" s="1520"/>
      <c r="DM102" s="1520"/>
    </row>
    <row r="103" spans="2:117">
      <c r="B103" s="1136" t="str">
        <f t="shared" si="90"/>
        <v>3.1.2</v>
      </c>
      <c r="C103" s="1158" t="str">
        <f t="shared" si="67"/>
        <v>空間の形状・自由さ</v>
      </c>
      <c r="D103" s="1146">
        <f>IF(I$101&gt;0,G103/I$101,0)</f>
        <v>0</v>
      </c>
      <c r="E103" s="1156">
        <f>IF(J$101&gt;0,H103/J$101,0)</f>
        <v>0.4</v>
      </c>
      <c r="G103" s="1156">
        <f t="shared" si="72"/>
        <v>0</v>
      </c>
      <c r="H103" s="1156">
        <f t="shared" si="73"/>
        <v>0.26666666666666666</v>
      </c>
      <c r="I103" s="1156"/>
      <c r="J103" s="1156"/>
      <c r="K103" s="1156">
        <f>IF(スコア!Q103=0,0,1)</f>
        <v>0</v>
      </c>
      <c r="L103" s="1156">
        <f>IF(スコア!S103=0,0,1)</f>
        <v>1</v>
      </c>
      <c r="M103" s="1156">
        <f t="shared" si="74"/>
        <v>0.13333333333333333</v>
      </c>
      <c r="N103" s="1156">
        <f t="shared" si="94"/>
        <v>0.26666666666666666</v>
      </c>
      <c r="P103" s="1157" t="str">
        <f t="shared" si="68"/>
        <v>3.1.2</v>
      </c>
      <c r="Q103" s="1157" t="str">
        <f t="shared" si="69"/>
        <v xml:space="preserve"> Q2 3.1</v>
      </c>
      <c r="R103" s="1158" t="str">
        <f t="shared" si="70"/>
        <v>空間の形状・自由さ</v>
      </c>
      <c r="S103" s="1585">
        <f t="shared" si="52"/>
        <v>0.4</v>
      </c>
      <c r="T103" s="1585">
        <f t="shared" si="53"/>
        <v>0.4</v>
      </c>
      <c r="U103" s="1585">
        <f t="shared" si="54"/>
        <v>0.4</v>
      </c>
      <c r="V103" s="1585">
        <f t="shared" si="55"/>
        <v>0.4</v>
      </c>
      <c r="W103" s="1585">
        <f t="shared" si="56"/>
        <v>0.4</v>
      </c>
      <c r="X103" s="1585">
        <f t="shared" si="57"/>
        <v>0</v>
      </c>
      <c r="Y103" s="1585">
        <f t="shared" si="58"/>
        <v>0</v>
      </c>
      <c r="Z103" s="1587">
        <f t="shared" si="59"/>
        <v>1</v>
      </c>
      <c r="AA103" s="1585">
        <f t="shared" si="60"/>
        <v>0.4</v>
      </c>
      <c r="AB103" s="1585">
        <f t="shared" si="61"/>
        <v>0.4</v>
      </c>
      <c r="AC103" s="1586">
        <f t="shared" si="62"/>
        <v>0.4</v>
      </c>
      <c r="AD103" s="1585">
        <f t="shared" si="63"/>
        <v>0.4</v>
      </c>
      <c r="AE103" s="1585">
        <f t="shared" si="64"/>
        <v>0.4</v>
      </c>
      <c r="AG103" s="1157" t="s">
        <v>1142</v>
      </c>
      <c r="AH103" s="1161" t="s">
        <v>105</v>
      </c>
      <c r="AI103" s="1158" t="s">
        <v>107</v>
      </c>
      <c r="AJ103" s="1159">
        <v>0.4</v>
      </c>
      <c r="AK103" s="1159">
        <v>0.4</v>
      </c>
      <c r="AL103" s="1159">
        <v>0.4</v>
      </c>
      <c r="AM103" s="1159">
        <v>0.4</v>
      </c>
      <c r="AN103" s="1159">
        <v>0.4</v>
      </c>
      <c r="AO103" s="1159"/>
      <c r="AP103" s="1159"/>
      <c r="AQ103" s="1167">
        <v>1</v>
      </c>
      <c r="AR103" s="1159">
        <v>0.4</v>
      </c>
      <c r="AS103" s="1163">
        <v>0.4</v>
      </c>
      <c r="AT103" s="1164">
        <v>0.4</v>
      </c>
      <c r="AU103" s="1163">
        <v>0.4</v>
      </c>
      <c r="AV103" s="1163">
        <v>0.4</v>
      </c>
      <c r="AX103" s="1157" t="s">
        <v>1142</v>
      </c>
      <c r="AY103" s="1161" t="s">
        <v>105</v>
      </c>
      <c r="AZ103" s="1158" t="s">
        <v>107</v>
      </c>
      <c r="BA103" s="1163">
        <v>0.4</v>
      </c>
      <c r="BB103" s="1163">
        <v>0.4</v>
      </c>
      <c r="BC103" s="1163">
        <v>0.4</v>
      </c>
      <c r="BD103" s="1163">
        <v>0.4</v>
      </c>
      <c r="BE103" s="1163">
        <v>0.4</v>
      </c>
      <c r="BF103" s="1163"/>
      <c r="BG103" s="1163"/>
      <c r="BH103" s="1170">
        <v>1</v>
      </c>
      <c r="BI103" s="1163">
        <v>0.4</v>
      </c>
      <c r="BJ103" s="1163">
        <v>0.4</v>
      </c>
      <c r="BK103" s="1164">
        <v>0.4</v>
      </c>
      <c r="BL103" s="1163">
        <v>0.4</v>
      </c>
      <c r="BM103" s="1163">
        <v>0.4</v>
      </c>
      <c r="BO103" s="1157" t="s">
        <v>1142</v>
      </c>
      <c r="BP103" s="1161" t="s">
        <v>105</v>
      </c>
      <c r="BQ103" s="1158" t="s">
        <v>107</v>
      </c>
      <c r="BR103" s="1163">
        <v>0.4</v>
      </c>
      <c r="BS103" s="1163">
        <v>0.4</v>
      </c>
      <c r="BT103" s="1163">
        <v>0.4</v>
      </c>
      <c r="BU103" s="1163">
        <v>0.4</v>
      </c>
      <c r="BV103" s="1163">
        <v>0.4</v>
      </c>
      <c r="BW103" s="1163"/>
      <c r="BX103" s="1163"/>
      <c r="BY103" s="1170">
        <v>1</v>
      </c>
      <c r="BZ103" s="1163">
        <v>0.4</v>
      </c>
      <c r="CA103" s="1163">
        <v>0.4</v>
      </c>
      <c r="CB103" s="1164">
        <v>0.4</v>
      </c>
      <c r="CC103" s="1163">
        <v>0.4</v>
      </c>
      <c r="CD103" s="1163">
        <v>0.4</v>
      </c>
      <c r="CE103" s="1382"/>
      <c r="CG103" s="1157" t="s">
        <v>929</v>
      </c>
      <c r="CH103" s="1161" t="s">
        <v>105</v>
      </c>
      <c r="CI103" s="1158" t="s">
        <v>107</v>
      </c>
      <c r="CJ103" s="1531">
        <v>0</v>
      </c>
      <c r="CK103" s="1531">
        <v>0</v>
      </c>
      <c r="CL103" s="1531">
        <v>0</v>
      </c>
      <c r="CM103" s="1531">
        <v>0</v>
      </c>
      <c r="CN103" s="1531">
        <v>0</v>
      </c>
      <c r="CO103" s="1531">
        <v>0</v>
      </c>
      <c r="CP103" s="1531">
        <v>0</v>
      </c>
      <c r="CQ103" s="1531">
        <v>0</v>
      </c>
      <c r="CR103" s="1531">
        <v>0</v>
      </c>
      <c r="CS103" s="1531">
        <v>0</v>
      </c>
      <c r="CT103" s="1531">
        <v>0</v>
      </c>
      <c r="CU103" s="1531">
        <v>0</v>
      </c>
      <c r="CV103" s="1531">
        <v>0</v>
      </c>
      <c r="CX103" s="1157" t="s">
        <v>929</v>
      </c>
      <c r="CY103" s="1161" t="s">
        <v>105</v>
      </c>
      <c r="CZ103" s="1158" t="s">
        <v>107</v>
      </c>
      <c r="DA103" s="1642">
        <v>1</v>
      </c>
      <c r="DB103" s="1520"/>
      <c r="DC103" s="1520"/>
      <c r="DD103" s="1520"/>
      <c r="DE103" s="1520"/>
      <c r="DF103" s="1520"/>
      <c r="DG103" s="1520"/>
      <c r="DH103" s="1520"/>
      <c r="DI103" s="1520"/>
      <c r="DJ103" s="1520"/>
      <c r="DK103" s="1520"/>
      <c r="DL103" s="1520"/>
      <c r="DM103" s="1520"/>
    </row>
    <row r="104" spans="2:117">
      <c r="B104" s="1136">
        <f t="shared" si="90"/>
        <v>3.2</v>
      </c>
      <c r="C104" s="1158" t="str">
        <f t="shared" si="67"/>
        <v>荷重のゆとり</v>
      </c>
      <c r="D104" s="1155">
        <f>IF(I$100=0,0,G104/I$100)</f>
        <v>0</v>
      </c>
      <c r="E104" s="1156">
        <f>IF(J$100=0,0,H104/J$100)</f>
        <v>0.5</v>
      </c>
      <c r="G104" s="1156">
        <f t="shared" si="72"/>
        <v>0</v>
      </c>
      <c r="H104" s="1156">
        <f t="shared" si="73"/>
        <v>0.33333333333333331</v>
      </c>
      <c r="I104" s="1156"/>
      <c r="J104" s="1156"/>
      <c r="K104" s="1156">
        <f>IF(スコア!Q104=0,0,1)</f>
        <v>0</v>
      </c>
      <c r="L104" s="1156">
        <f>IF(スコア!S104=0,0,1)</f>
        <v>1</v>
      </c>
      <c r="M104" s="1156">
        <f t="shared" si="74"/>
        <v>9.9999999999999992E-2</v>
      </c>
      <c r="N104" s="1156">
        <f t="shared" si="94"/>
        <v>0.33333333333333331</v>
      </c>
      <c r="P104" s="1157">
        <f t="shared" si="68"/>
        <v>3.2</v>
      </c>
      <c r="Q104" s="1157" t="str">
        <f t="shared" si="69"/>
        <v xml:space="preserve"> Q2 3</v>
      </c>
      <c r="R104" s="1158" t="str">
        <f t="shared" si="70"/>
        <v>荷重のゆとり</v>
      </c>
      <c r="S104" s="1585">
        <f t="shared" si="52"/>
        <v>0.3</v>
      </c>
      <c r="T104" s="1585">
        <f t="shared" si="53"/>
        <v>0.3</v>
      </c>
      <c r="U104" s="1585">
        <f t="shared" si="54"/>
        <v>0.3</v>
      </c>
      <c r="V104" s="1585">
        <f t="shared" si="55"/>
        <v>0.3</v>
      </c>
      <c r="W104" s="1585">
        <f t="shared" si="56"/>
        <v>0.3</v>
      </c>
      <c r="X104" s="1585">
        <f t="shared" si="57"/>
        <v>0</v>
      </c>
      <c r="Y104" s="1585">
        <f t="shared" si="58"/>
        <v>0</v>
      </c>
      <c r="Z104" s="1587">
        <f t="shared" si="59"/>
        <v>0.3</v>
      </c>
      <c r="AA104" s="1585">
        <f t="shared" si="60"/>
        <v>0.3</v>
      </c>
      <c r="AB104" s="1585">
        <f t="shared" si="61"/>
        <v>0.3</v>
      </c>
      <c r="AC104" s="1586">
        <f t="shared" si="62"/>
        <v>0.5</v>
      </c>
      <c r="AD104" s="1585">
        <f t="shared" si="63"/>
        <v>0.5</v>
      </c>
      <c r="AE104" s="1585">
        <f t="shared" si="64"/>
        <v>0.5</v>
      </c>
      <c r="AG104" s="1157">
        <v>3.2</v>
      </c>
      <c r="AH104" s="1161" t="s">
        <v>104</v>
      </c>
      <c r="AI104" s="1158" t="s">
        <v>1023</v>
      </c>
      <c r="AJ104" s="1159">
        <v>0.3</v>
      </c>
      <c r="AK104" s="1159">
        <v>0.3</v>
      </c>
      <c r="AL104" s="1159">
        <v>0.3</v>
      </c>
      <c r="AM104" s="1159">
        <v>0.3</v>
      </c>
      <c r="AN104" s="1159">
        <v>0.3</v>
      </c>
      <c r="AO104" s="1159"/>
      <c r="AP104" s="1159"/>
      <c r="AQ104" s="1167">
        <v>0.3</v>
      </c>
      <c r="AR104" s="1159">
        <v>0.3</v>
      </c>
      <c r="AS104" s="1163">
        <v>0.3</v>
      </c>
      <c r="AT104" s="1164">
        <v>0.5</v>
      </c>
      <c r="AU104" s="1163">
        <v>0.5</v>
      </c>
      <c r="AV104" s="1163">
        <v>0.5</v>
      </c>
      <c r="AX104" s="1157">
        <v>3.2</v>
      </c>
      <c r="AY104" s="1161" t="s">
        <v>104</v>
      </c>
      <c r="AZ104" s="1158" t="s">
        <v>1023</v>
      </c>
      <c r="BA104" s="1163">
        <v>0.3</v>
      </c>
      <c r="BB104" s="1163">
        <v>0.3</v>
      </c>
      <c r="BC104" s="1163">
        <v>0.3</v>
      </c>
      <c r="BD104" s="1163">
        <v>0.3</v>
      </c>
      <c r="BE104" s="1163">
        <v>0.3</v>
      </c>
      <c r="BF104" s="1163"/>
      <c r="BG104" s="1163"/>
      <c r="BH104" s="1170">
        <v>0.3</v>
      </c>
      <c r="BI104" s="1163">
        <v>0.3</v>
      </c>
      <c r="BJ104" s="1163">
        <v>0.3</v>
      </c>
      <c r="BK104" s="1164">
        <v>0.5</v>
      </c>
      <c r="BL104" s="1163">
        <v>0.5</v>
      </c>
      <c r="BM104" s="1163">
        <v>0.5</v>
      </c>
      <c r="BO104" s="1157">
        <v>3.2</v>
      </c>
      <c r="BP104" s="1161" t="s">
        <v>104</v>
      </c>
      <c r="BQ104" s="1158" t="s">
        <v>1023</v>
      </c>
      <c r="BR104" s="1163">
        <v>0.3</v>
      </c>
      <c r="BS104" s="1163">
        <v>0.3</v>
      </c>
      <c r="BT104" s="1163">
        <v>0.3</v>
      </c>
      <c r="BU104" s="1163">
        <v>0.3</v>
      </c>
      <c r="BV104" s="1163">
        <v>0.3</v>
      </c>
      <c r="BW104" s="1163"/>
      <c r="BX104" s="1163"/>
      <c r="BY104" s="1170">
        <v>0.3</v>
      </c>
      <c r="BZ104" s="1163">
        <v>0.3</v>
      </c>
      <c r="CA104" s="1163">
        <v>0.3</v>
      </c>
      <c r="CB104" s="1164">
        <v>0.5</v>
      </c>
      <c r="CC104" s="1163">
        <v>0.5</v>
      </c>
      <c r="CD104" s="1163">
        <v>0.5</v>
      </c>
      <c r="CE104" s="1382"/>
      <c r="CG104" s="1157">
        <v>3.2</v>
      </c>
      <c r="CH104" s="1161" t="s">
        <v>104</v>
      </c>
      <c r="CI104" s="1158" t="s">
        <v>1023</v>
      </c>
      <c r="CJ104" s="1531">
        <v>0</v>
      </c>
      <c r="CK104" s="1531">
        <v>0</v>
      </c>
      <c r="CL104" s="1531">
        <v>0</v>
      </c>
      <c r="CM104" s="1531">
        <v>0</v>
      </c>
      <c r="CN104" s="1531">
        <v>0</v>
      </c>
      <c r="CO104" s="1531">
        <v>0</v>
      </c>
      <c r="CP104" s="1531">
        <v>0</v>
      </c>
      <c r="CQ104" s="1531">
        <v>0</v>
      </c>
      <c r="CR104" s="1531">
        <v>0</v>
      </c>
      <c r="CS104" s="1531">
        <v>0</v>
      </c>
      <c r="CT104" s="1531">
        <v>0</v>
      </c>
      <c r="CU104" s="1531">
        <v>0</v>
      </c>
      <c r="CV104" s="1531">
        <v>0</v>
      </c>
      <c r="CX104" s="1157">
        <v>3.2</v>
      </c>
      <c r="CY104" s="1161" t="s">
        <v>104</v>
      </c>
      <c r="CZ104" s="1158" t="s">
        <v>1023</v>
      </c>
      <c r="DA104" s="1520">
        <f t="shared" si="89"/>
        <v>0.3</v>
      </c>
      <c r="DB104" s="1520"/>
      <c r="DC104" s="1520"/>
      <c r="DD104" s="1520"/>
      <c r="DE104" s="1520"/>
      <c r="DF104" s="1520"/>
      <c r="DG104" s="1520"/>
      <c r="DH104" s="1520"/>
      <c r="DI104" s="1520"/>
      <c r="DJ104" s="1520"/>
      <c r="DK104" s="1520"/>
      <c r="DL104" s="1520"/>
      <c r="DM104" s="1520"/>
    </row>
    <row r="105" spans="2:117">
      <c r="B105" s="1136">
        <f t="shared" si="90"/>
        <v>3.3</v>
      </c>
      <c r="C105" s="1158" t="str">
        <f t="shared" si="67"/>
        <v>設備の更新性</v>
      </c>
      <c r="D105" s="1155">
        <f>IF(I$100=0,0,G105/I$100)</f>
        <v>1</v>
      </c>
      <c r="E105" s="1156">
        <f>IF(J$100=0,0,H105/J$100)</f>
        <v>0</v>
      </c>
      <c r="G105" s="1156">
        <f t="shared" si="72"/>
        <v>0.79999999999999993</v>
      </c>
      <c r="H105" s="1156">
        <f t="shared" si="73"/>
        <v>0</v>
      </c>
      <c r="I105" s="1156">
        <f>SUM(G106:G111)</f>
        <v>1</v>
      </c>
      <c r="J105" s="1156">
        <f>SUM(H106:H111)</f>
        <v>0</v>
      </c>
      <c r="K105" s="1156">
        <f>IF(スコア!Q105=0,0,1)</f>
        <v>1</v>
      </c>
      <c r="L105" s="1156">
        <f>IF(スコア!S105=0,0,1)</f>
        <v>0</v>
      </c>
      <c r="M105" s="1156">
        <f t="shared" si="74"/>
        <v>0.79999999999999993</v>
      </c>
      <c r="N105" s="1156">
        <f t="shared" si="94"/>
        <v>0</v>
      </c>
      <c r="P105" s="1157">
        <f t="shared" si="68"/>
        <v>3.3</v>
      </c>
      <c r="Q105" s="1157" t="str">
        <f t="shared" si="69"/>
        <v xml:space="preserve"> Q2 3</v>
      </c>
      <c r="R105" s="1158" t="str">
        <f t="shared" si="70"/>
        <v>設備の更新性</v>
      </c>
      <c r="S105" s="1585">
        <f t="shared" si="52"/>
        <v>0.4</v>
      </c>
      <c r="T105" s="1585">
        <f t="shared" si="53"/>
        <v>0.4</v>
      </c>
      <c r="U105" s="1585">
        <f t="shared" si="54"/>
        <v>0.4</v>
      </c>
      <c r="V105" s="1585">
        <f t="shared" si="55"/>
        <v>0.4</v>
      </c>
      <c r="W105" s="1585">
        <f t="shared" si="56"/>
        <v>0.4</v>
      </c>
      <c r="X105" s="1585">
        <f t="shared" si="57"/>
        <v>1</v>
      </c>
      <c r="Y105" s="1585">
        <f t="shared" si="58"/>
        <v>1</v>
      </c>
      <c r="Z105" s="1587">
        <f t="shared" si="59"/>
        <v>0.4</v>
      </c>
      <c r="AA105" s="1585">
        <f t="shared" si="60"/>
        <v>0.4</v>
      </c>
      <c r="AB105" s="1585">
        <f t="shared" si="61"/>
        <v>0.4</v>
      </c>
      <c r="AC105" s="1586">
        <f t="shared" si="62"/>
        <v>0</v>
      </c>
      <c r="AD105" s="1585">
        <f t="shared" si="63"/>
        <v>0</v>
      </c>
      <c r="AE105" s="1585">
        <f t="shared" si="64"/>
        <v>0</v>
      </c>
      <c r="AG105" s="1157">
        <v>3.3</v>
      </c>
      <c r="AH105" s="1161" t="s">
        <v>104</v>
      </c>
      <c r="AI105" s="1158" t="s">
        <v>1024</v>
      </c>
      <c r="AJ105" s="1159">
        <v>0.4</v>
      </c>
      <c r="AK105" s="1159">
        <v>0.4</v>
      </c>
      <c r="AL105" s="1159">
        <v>0.4</v>
      </c>
      <c r="AM105" s="1159">
        <v>0.4</v>
      </c>
      <c r="AN105" s="1159">
        <v>0.4</v>
      </c>
      <c r="AO105" s="1159">
        <v>1</v>
      </c>
      <c r="AP105" s="1159">
        <v>1</v>
      </c>
      <c r="AQ105" s="1167">
        <v>0.4</v>
      </c>
      <c r="AR105" s="1159">
        <v>0.4</v>
      </c>
      <c r="AS105" s="1163">
        <v>0.4</v>
      </c>
      <c r="AT105" s="1164"/>
      <c r="AU105" s="1163"/>
      <c r="AV105" s="1163"/>
      <c r="AX105" s="1157">
        <v>3.3</v>
      </c>
      <c r="AY105" s="1161" t="s">
        <v>104</v>
      </c>
      <c r="AZ105" s="1158" t="s">
        <v>1024</v>
      </c>
      <c r="BA105" s="1163">
        <v>0.4</v>
      </c>
      <c r="BB105" s="1163">
        <v>0.4</v>
      </c>
      <c r="BC105" s="1163">
        <v>0.4</v>
      </c>
      <c r="BD105" s="1163">
        <v>0.4</v>
      </c>
      <c r="BE105" s="1163">
        <v>0.4</v>
      </c>
      <c r="BF105" s="1163">
        <v>1</v>
      </c>
      <c r="BG105" s="1163">
        <v>1</v>
      </c>
      <c r="BH105" s="1170">
        <v>0.4</v>
      </c>
      <c r="BI105" s="1163">
        <v>0.4</v>
      </c>
      <c r="BJ105" s="1163">
        <v>0.4</v>
      </c>
      <c r="BK105" s="1164"/>
      <c r="BL105" s="1163"/>
      <c r="BM105" s="1163"/>
      <c r="BO105" s="1157">
        <v>3.3</v>
      </c>
      <c r="BP105" s="1161" t="s">
        <v>104</v>
      </c>
      <c r="BQ105" s="1158" t="s">
        <v>1024</v>
      </c>
      <c r="BR105" s="1163">
        <v>0.4</v>
      </c>
      <c r="BS105" s="1163">
        <v>0.4</v>
      </c>
      <c r="BT105" s="1163">
        <v>0.4</v>
      </c>
      <c r="BU105" s="1163">
        <v>0.4</v>
      </c>
      <c r="BV105" s="1163">
        <v>0.4</v>
      </c>
      <c r="BW105" s="1163">
        <v>1</v>
      </c>
      <c r="BX105" s="1163">
        <v>1</v>
      </c>
      <c r="BY105" s="1170">
        <v>0.4</v>
      </c>
      <c r="BZ105" s="1163">
        <v>0.4</v>
      </c>
      <c r="CA105" s="1163">
        <v>0.4</v>
      </c>
      <c r="CB105" s="1164"/>
      <c r="CC105" s="1163"/>
      <c r="CD105" s="1163"/>
      <c r="CE105" s="1382"/>
      <c r="CG105" s="1157">
        <v>3.3</v>
      </c>
      <c r="CH105" s="1161" t="s">
        <v>104</v>
      </c>
      <c r="CI105" s="1158" t="s">
        <v>1024</v>
      </c>
      <c r="CJ105" s="1531">
        <v>0</v>
      </c>
      <c r="CK105" s="1531">
        <v>0</v>
      </c>
      <c r="CL105" s="1531">
        <v>0</v>
      </c>
      <c r="CM105" s="1531">
        <v>0</v>
      </c>
      <c r="CN105" s="1531">
        <v>0</v>
      </c>
      <c r="CO105" s="1531">
        <v>0</v>
      </c>
      <c r="CP105" s="1531">
        <v>0</v>
      </c>
      <c r="CQ105" s="1531">
        <v>0</v>
      </c>
      <c r="CR105" s="1531">
        <v>0</v>
      </c>
      <c r="CS105" s="1531">
        <v>0</v>
      </c>
      <c r="CT105" s="1531">
        <v>0</v>
      </c>
      <c r="CU105" s="1531">
        <v>0</v>
      </c>
      <c r="CV105" s="1531">
        <v>0</v>
      </c>
      <c r="CX105" s="1157">
        <v>3.3</v>
      </c>
      <c r="CY105" s="1161" t="s">
        <v>104</v>
      </c>
      <c r="CZ105" s="1158" t="s">
        <v>1024</v>
      </c>
      <c r="DA105" s="1520">
        <f t="shared" si="89"/>
        <v>0.4</v>
      </c>
      <c r="DB105" s="1520"/>
      <c r="DC105" s="1520"/>
      <c r="DD105" s="1520"/>
      <c r="DE105" s="1520"/>
      <c r="DF105" s="1520"/>
      <c r="DG105" s="1520"/>
      <c r="DH105" s="1520"/>
      <c r="DI105" s="1520"/>
      <c r="DJ105" s="1520"/>
      <c r="DK105" s="1520"/>
      <c r="DL105" s="1520"/>
      <c r="DM105" s="1520"/>
    </row>
    <row r="106" spans="2:117">
      <c r="B106" s="1136" t="str">
        <f t="shared" si="90"/>
        <v>3.3.1</v>
      </c>
      <c r="C106" s="1158" t="str">
        <f t="shared" si="67"/>
        <v>空調配管の更新性</v>
      </c>
      <c r="D106" s="1146">
        <f>IF(I$105&gt;0,G106/I$105,0)</f>
        <v>0.2</v>
      </c>
      <c r="E106" s="1156">
        <f t="shared" ref="D106:E111" si="95">IF(J$105&gt;0,H106/J$105,0)</f>
        <v>0</v>
      </c>
      <c r="G106" s="1156">
        <f t="shared" si="72"/>
        <v>0.2</v>
      </c>
      <c r="H106" s="1156">
        <f t="shared" si="73"/>
        <v>0</v>
      </c>
      <c r="I106" s="1156"/>
      <c r="J106" s="1156"/>
      <c r="K106" s="1156">
        <f>IF(スコア!Q106=0,0,1)</f>
        <v>1</v>
      </c>
      <c r="L106" s="1156">
        <f>IF(スコア!S106=0,0,1)</f>
        <v>0</v>
      </c>
      <c r="M106" s="1156">
        <f t="shared" si="74"/>
        <v>0.2</v>
      </c>
      <c r="N106" s="1156">
        <f t="shared" si="94"/>
        <v>0</v>
      </c>
      <c r="P106" s="1157" t="str">
        <f t="shared" si="68"/>
        <v>3.3.1</v>
      </c>
      <c r="Q106" s="1157" t="str">
        <f t="shared" si="69"/>
        <v xml:space="preserve"> Q2 3.3</v>
      </c>
      <c r="R106" s="1158" t="str">
        <f t="shared" si="70"/>
        <v>空調配管の更新性</v>
      </c>
      <c r="S106" s="1585">
        <f t="shared" si="52"/>
        <v>0.2</v>
      </c>
      <c r="T106" s="1585">
        <f t="shared" si="53"/>
        <v>0.2</v>
      </c>
      <c r="U106" s="1585">
        <f t="shared" si="54"/>
        <v>0.2</v>
      </c>
      <c r="V106" s="1585">
        <f t="shared" si="55"/>
        <v>0.2</v>
      </c>
      <c r="W106" s="1585">
        <f t="shared" si="56"/>
        <v>0.2</v>
      </c>
      <c r="X106" s="1585">
        <f t="shared" si="57"/>
        <v>0.2</v>
      </c>
      <c r="Y106" s="1585">
        <f t="shared" si="58"/>
        <v>0.2</v>
      </c>
      <c r="Z106" s="1587">
        <f t="shared" si="59"/>
        <v>0.2</v>
      </c>
      <c r="AA106" s="1585">
        <f t="shared" si="60"/>
        <v>0.2</v>
      </c>
      <c r="AB106" s="1585">
        <f t="shared" si="61"/>
        <v>0.2</v>
      </c>
      <c r="AC106" s="1586">
        <f t="shared" si="62"/>
        <v>0</v>
      </c>
      <c r="AD106" s="1585">
        <f t="shared" si="63"/>
        <v>0</v>
      </c>
      <c r="AE106" s="1585">
        <f t="shared" si="64"/>
        <v>0</v>
      </c>
      <c r="AG106" s="1157" t="s">
        <v>1143</v>
      </c>
      <c r="AH106" s="1161" t="s">
        <v>108</v>
      </c>
      <c r="AI106" s="1158" t="s">
        <v>109</v>
      </c>
      <c r="AJ106" s="1159">
        <v>0.2</v>
      </c>
      <c r="AK106" s="1159">
        <v>0.2</v>
      </c>
      <c r="AL106" s="1159">
        <v>0.2</v>
      </c>
      <c r="AM106" s="1159">
        <v>0.2</v>
      </c>
      <c r="AN106" s="1159">
        <v>0.2</v>
      </c>
      <c r="AO106" s="1159">
        <v>0.2</v>
      </c>
      <c r="AP106" s="1159">
        <v>0.2</v>
      </c>
      <c r="AQ106" s="1167">
        <v>0.2</v>
      </c>
      <c r="AR106" s="1159">
        <v>0.2</v>
      </c>
      <c r="AS106" s="1163">
        <v>0.2</v>
      </c>
      <c r="AT106" s="1164"/>
      <c r="AU106" s="1163"/>
      <c r="AV106" s="1163"/>
      <c r="AX106" s="1157" t="s">
        <v>1143</v>
      </c>
      <c r="AY106" s="1161" t="s">
        <v>108</v>
      </c>
      <c r="AZ106" s="1158" t="s">
        <v>109</v>
      </c>
      <c r="BA106" s="1163">
        <v>0.2</v>
      </c>
      <c r="BB106" s="1163">
        <v>0.2</v>
      </c>
      <c r="BC106" s="1163">
        <v>0.2</v>
      </c>
      <c r="BD106" s="1163">
        <v>0.2</v>
      </c>
      <c r="BE106" s="1163">
        <v>0.2</v>
      </c>
      <c r="BF106" s="1163">
        <v>0.2</v>
      </c>
      <c r="BG106" s="1163">
        <v>0.2</v>
      </c>
      <c r="BH106" s="1170">
        <v>0.2</v>
      </c>
      <c r="BI106" s="1163">
        <v>0.2</v>
      </c>
      <c r="BJ106" s="1163">
        <v>0.2</v>
      </c>
      <c r="BK106" s="1164"/>
      <c r="BL106" s="1163"/>
      <c r="BM106" s="1163"/>
      <c r="BO106" s="1157" t="s">
        <v>1143</v>
      </c>
      <c r="BP106" s="1161" t="s">
        <v>108</v>
      </c>
      <c r="BQ106" s="1158" t="s">
        <v>109</v>
      </c>
      <c r="BR106" s="1163">
        <v>0.2</v>
      </c>
      <c r="BS106" s="1163">
        <v>0.2</v>
      </c>
      <c r="BT106" s="1163">
        <v>0.2</v>
      </c>
      <c r="BU106" s="1163">
        <v>0.2</v>
      </c>
      <c r="BV106" s="1163">
        <v>0.2</v>
      </c>
      <c r="BW106" s="1163">
        <v>0.2</v>
      </c>
      <c r="BX106" s="1163">
        <v>0.2</v>
      </c>
      <c r="BY106" s="1170">
        <v>0.2</v>
      </c>
      <c r="BZ106" s="1163">
        <v>0.2</v>
      </c>
      <c r="CA106" s="1163">
        <v>0.2</v>
      </c>
      <c r="CB106" s="1164"/>
      <c r="CC106" s="1163"/>
      <c r="CD106" s="1163"/>
      <c r="CE106" s="1382"/>
      <c r="CG106" s="1157" t="s">
        <v>1143</v>
      </c>
      <c r="CH106" s="1161" t="s">
        <v>108</v>
      </c>
      <c r="CI106" s="1158" t="s">
        <v>109</v>
      </c>
      <c r="CJ106" s="1531">
        <v>0</v>
      </c>
      <c r="CK106" s="1531">
        <v>0</v>
      </c>
      <c r="CL106" s="1531">
        <v>0</v>
      </c>
      <c r="CM106" s="1531">
        <v>0</v>
      </c>
      <c r="CN106" s="1531">
        <v>0</v>
      </c>
      <c r="CO106" s="1531">
        <v>0</v>
      </c>
      <c r="CP106" s="1531">
        <v>0</v>
      </c>
      <c r="CQ106" s="1531">
        <v>0</v>
      </c>
      <c r="CR106" s="1531">
        <v>0</v>
      </c>
      <c r="CS106" s="1531">
        <v>0</v>
      </c>
      <c r="CT106" s="1531">
        <v>0</v>
      </c>
      <c r="CU106" s="1531">
        <v>0</v>
      </c>
      <c r="CV106" s="1531">
        <v>0</v>
      </c>
      <c r="CX106" s="1157" t="s">
        <v>1143</v>
      </c>
      <c r="CY106" s="1161" t="s">
        <v>108</v>
      </c>
      <c r="CZ106" s="1158" t="s">
        <v>109</v>
      </c>
      <c r="DA106" s="1642">
        <v>0</v>
      </c>
      <c r="DB106" s="1520"/>
      <c r="DC106" s="1520"/>
      <c r="DD106" s="1520"/>
      <c r="DE106" s="1520"/>
      <c r="DF106" s="1520"/>
      <c r="DG106" s="1520"/>
      <c r="DH106" s="1520"/>
      <c r="DI106" s="1520"/>
      <c r="DJ106" s="1520"/>
      <c r="DK106" s="1520"/>
      <c r="DL106" s="1520"/>
      <c r="DM106" s="1520"/>
    </row>
    <row r="107" spans="2:117">
      <c r="B107" s="1136" t="str">
        <f t="shared" si="90"/>
        <v>3.3.2</v>
      </c>
      <c r="C107" s="1158" t="str">
        <f t="shared" si="67"/>
        <v>給排水管の更新性</v>
      </c>
      <c r="D107" s="1146">
        <f t="shared" si="95"/>
        <v>0.2</v>
      </c>
      <c r="E107" s="1156">
        <f t="shared" si="95"/>
        <v>0</v>
      </c>
      <c r="G107" s="1156">
        <f t="shared" si="72"/>
        <v>0.2</v>
      </c>
      <c r="H107" s="1156">
        <f t="shared" si="73"/>
        <v>0</v>
      </c>
      <c r="I107" s="1156"/>
      <c r="J107" s="1156"/>
      <c r="K107" s="1156">
        <f>IF(スコア!Q107=0,0,1)</f>
        <v>1</v>
      </c>
      <c r="L107" s="1156">
        <f>IF(スコア!S107=0,0,1)</f>
        <v>0</v>
      </c>
      <c r="M107" s="1156">
        <f t="shared" si="74"/>
        <v>0.2</v>
      </c>
      <c r="N107" s="1156">
        <f t="shared" si="94"/>
        <v>0</v>
      </c>
      <c r="P107" s="1157" t="str">
        <f t="shared" si="68"/>
        <v>3.3.2</v>
      </c>
      <c r="Q107" s="1157" t="str">
        <f t="shared" si="69"/>
        <v xml:space="preserve"> Q2 3.3</v>
      </c>
      <c r="R107" s="1158" t="str">
        <f t="shared" si="70"/>
        <v>給排水管の更新性</v>
      </c>
      <c r="S107" s="1585">
        <f t="shared" si="52"/>
        <v>0.2</v>
      </c>
      <c r="T107" s="1585">
        <f t="shared" si="53"/>
        <v>0.2</v>
      </c>
      <c r="U107" s="1585">
        <f t="shared" si="54"/>
        <v>0.2</v>
      </c>
      <c r="V107" s="1585">
        <f t="shared" si="55"/>
        <v>0.2</v>
      </c>
      <c r="W107" s="1585">
        <f t="shared" si="56"/>
        <v>0.2</v>
      </c>
      <c r="X107" s="1585">
        <f t="shared" si="57"/>
        <v>0.2</v>
      </c>
      <c r="Y107" s="1585">
        <f t="shared" si="58"/>
        <v>0.2</v>
      </c>
      <c r="Z107" s="1587">
        <f t="shared" si="59"/>
        <v>0.2</v>
      </c>
      <c r="AA107" s="1585">
        <f t="shared" si="60"/>
        <v>0.2</v>
      </c>
      <c r="AB107" s="1585">
        <f t="shared" si="61"/>
        <v>0.2</v>
      </c>
      <c r="AC107" s="1586">
        <f t="shared" si="62"/>
        <v>0</v>
      </c>
      <c r="AD107" s="1585">
        <f t="shared" si="63"/>
        <v>0</v>
      </c>
      <c r="AE107" s="1585">
        <f t="shared" si="64"/>
        <v>0</v>
      </c>
      <c r="AG107" s="1157" t="s">
        <v>1144</v>
      </c>
      <c r="AH107" s="1161" t="s">
        <v>108</v>
      </c>
      <c r="AI107" s="1158" t="s">
        <v>110</v>
      </c>
      <c r="AJ107" s="1159">
        <v>0.2</v>
      </c>
      <c r="AK107" s="1159">
        <v>0.2</v>
      </c>
      <c r="AL107" s="1159">
        <v>0.2</v>
      </c>
      <c r="AM107" s="1159">
        <v>0.2</v>
      </c>
      <c r="AN107" s="1159">
        <v>0.2</v>
      </c>
      <c r="AO107" s="1159">
        <v>0.2</v>
      </c>
      <c r="AP107" s="1159">
        <v>0.2</v>
      </c>
      <c r="AQ107" s="1167">
        <v>0.2</v>
      </c>
      <c r="AR107" s="1159">
        <v>0.2</v>
      </c>
      <c r="AS107" s="1163">
        <v>0.2</v>
      </c>
      <c r="AT107" s="1164"/>
      <c r="AU107" s="1163"/>
      <c r="AV107" s="1163"/>
      <c r="AX107" s="1157" t="s">
        <v>1144</v>
      </c>
      <c r="AY107" s="1161" t="s">
        <v>108</v>
      </c>
      <c r="AZ107" s="1158" t="s">
        <v>110</v>
      </c>
      <c r="BA107" s="1163">
        <v>0.2</v>
      </c>
      <c r="BB107" s="1163">
        <v>0.2</v>
      </c>
      <c r="BC107" s="1163">
        <v>0.2</v>
      </c>
      <c r="BD107" s="1163">
        <v>0.2</v>
      </c>
      <c r="BE107" s="1163">
        <v>0.2</v>
      </c>
      <c r="BF107" s="1163">
        <v>0.2</v>
      </c>
      <c r="BG107" s="1163">
        <v>0.2</v>
      </c>
      <c r="BH107" s="1170">
        <v>0.2</v>
      </c>
      <c r="BI107" s="1163">
        <v>0.2</v>
      </c>
      <c r="BJ107" s="1163">
        <v>0.2</v>
      </c>
      <c r="BK107" s="1164"/>
      <c r="BL107" s="1163"/>
      <c r="BM107" s="1163"/>
      <c r="BO107" s="1157" t="s">
        <v>1144</v>
      </c>
      <c r="BP107" s="1161" t="s">
        <v>108</v>
      </c>
      <c r="BQ107" s="1158" t="s">
        <v>110</v>
      </c>
      <c r="BR107" s="1163">
        <v>0.2</v>
      </c>
      <c r="BS107" s="1163">
        <v>0.2</v>
      </c>
      <c r="BT107" s="1163">
        <v>0.2</v>
      </c>
      <c r="BU107" s="1163">
        <v>0.2</v>
      </c>
      <c r="BV107" s="1163">
        <v>0.2</v>
      </c>
      <c r="BW107" s="1163">
        <v>0.2</v>
      </c>
      <c r="BX107" s="1163">
        <v>0.2</v>
      </c>
      <c r="BY107" s="1170">
        <v>0.2</v>
      </c>
      <c r="BZ107" s="1163">
        <v>0.2</v>
      </c>
      <c r="CA107" s="1163">
        <v>0.2</v>
      </c>
      <c r="CB107" s="1164"/>
      <c r="CC107" s="1163"/>
      <c r="CD107" s="1163"/>
      <c r="CE107" s="1382"/>
      <c r="CG107" s="1157" t="s">
        <v>1144</v>
      </c>
      <c r="CH107" s="1161" t="s">
        <v>108</v>
      </c>
      <c r="CI107" s="1158" t="s">
        <v>110</v>
      </c>
      <c r="CJ107" s="1531">
        <v>0</v>
      </c>
      <c r="CK107" s="1531">
        <v>0</v>
      </c>
      <c r="CL107" s="1531">
        <v>0</v>
      </c>
      <c r="CM107" s="1531">
        <v>0</v>
      </c>
      <c r="CN107" s="1531">
        <v>0</v>
      </c>
      <c r="CO107" s="1531">
        <v>0</v>
      </c>
      <c r="CP107" s="1531">
        <v>0</v>
      </c>
      <c r="CQ107" s="1531">
        <v>0</v>
      </c>
      <c r="CR107" s="1531">
        <v>0</v>
      </c>
      <c r="CS107" s="1531">
        <v>0</v>
      </c>
      <c r="CT107" s="1531">
        <v>0</v>
      </c>
      <c r="CU107" s="1531">
        <v>0</v>
      </c>
      <c r="CV107" s="1531">
        <v>0</v>
      </c>
      <c r="CX107" s="1157" t="s">
        <v>1144</v>
      </c>
      <c r="CY107" s="1161" t="s">
        <v>108</v>
      </c>
      <c r="CZ107" s="1158" t="s">
        <v>110</v>
      </c>
      <c r="DA107" s="1642">
        <v>0.4</v>
      </c>
      <c r="DB107" s="1520"/>
      <c r="DC107" s="1520"/>
      <c r="DD107" s="1520"/>
      <c r="DE107" s="1520"/>
      <c r="DF107" s="1520"/>
      <c r="DG107" s="1520"/>
      <c r="DH107" s="1520"/>
      <c r="DI107" s="1520"/>
      <c r="DJ107" s="1520"/>
      <c r="DK107" s="1520"/>
      <c r="DL107" s="1520"/>
      <c r="DM107" s="1520"/>
    </row>
    <row r="108" spans="2:117">
      <c r="B108" s="1136" t="str">
        <f t="shared" si="90"/>
        <v>3.3.3</v>
      </c>
      <c r="C108" s="1158" t="str">
        <f t="shared" si="67"/>
        <v>電気配線の更新性</v>
      </c>
      <c r="D108" s="1146">
        <f t="shared" si="95"/>
        <v>0.1</v>
      </c>
      <c r="E108" s="1156">
        <f t="shared" si="95"/>
        <v>0</v>
      </c>
      <c r="G108" s="1156">
        <f t="shared" ref="G108:G145" si="96">K108*M108</f>
        <v>0.1</v>
      </c>
      <c r="H108" s="1156">
        <f t="shared" ref="H108:H145" si="97">L108*N108</f>
        <v>0</v>
      </c>
      <c r="I108" s="1156"/>
      <c r="J108" s="1156"/>
      <c r="K108" s="1156">
        <f>IF(スコア!Q108=0,0,1)</f>
        <v>1</v>
      </c>
      <c r="L108" s="1156">
        <f>IF(スコア!S108=0,0,1)</f>
        <v>0</v>
      </c>
      <c r="M108" s="1156">
        <f t="shared" ref="M108:M145" si="98">SUMPRODUCT($S$7:$AB$7,S108:AB108)</f>
        <v>0.1</v>
      </c>
      <c r="N108" s="1156">
        <f t="shared" si="94"/>
        <v>0</v>
      </c>
      <c r="P108" s="1157" t="str">
        <f t="shared" si="68"/>
        <v>3.3.3</v>
      </c>
      <c r="Q108" s="1157" t="str">
        <f t="shared" si="69"/>
        <v xml:space="preserve"> Q2 3.3</v>
      </c>
      <c r="R108" s="1158" t="str">
        <f t="shared" si="70"/>
        <v>電気配線の更新性</v>
      </c>
      <c r="S108" s="1585">
        <f t="shared" si="52"/>
        <v>0.1</v>
      </c>
      <c r="T108" s="1585">
        <f t="shared" si="53"/>
        <v>0.1</v>
      </c>
      <c r="U108" s="1585">
        <f t="shared" si="54"/>
        <v>0.1</v>
      </c>
      <c r="V108" s="1585">
        <f t="shared" si="55"/>
        <v>0.1</v>
      </c>
      <c r="W108" s="1585">
        <f t="shared" si="56"/>
        <v>0.1</v>
      </c>
      <c r="X108" s="1585">
        <f t="shared" si="57"/>
        <v>0.1</v>
      </c>
      <c r="Y108" s="1585">
        <f t="shared" si="58"/>
        <v>0.1</v>
      </c>
      <c r="Z108" s="1587">
        <f t="shared" si="59"/>
        <v>0.1</v>
      </c>
      <c r="AA108" s="1585">
        <f t="shared" si="60"/>
        <v>0.1</v>
      </c>
      <c r="AB108" s="1585">
        <f t="shared" si="61"/>
        <v>0.1</v>
      </c>
      <c r="AC108" s="1586">
        <f t="shared" si="62"/>
        <v>0</v>
      </c>
      <c r="AD108" s="1585">
        <f t="shared" si="63"/>
        <v>0</v>
      </c>
      <c r="AE108" s="1585">
        <f t="shared" si="64"/>
        <v>0</v>
      </c>
      <c r="AG108" s="1157" t="s">
        <v>1145</v>
      </c>
      <c r="AH108" s="1161" t="s">
        <v>108</v>
      </c>
      <c r="AI108" s="1158" t="s">
        <v>111</v>
      </c>
      <c r="AJ108" s="1159">
        <v>0.1</v>
      </c>
      <c r="AK108" s="1159">
        <v>0.1</v>
      </c>
      <c r="AL108" s="1159">
        <v>0.1</v>
      </c>
      <c r="AM108" s="1159">
        <v>0.1</v>
      </c>
      <c r="AN108" s="1159">
        <v>0.1</v>
      </c>
      <c r="AO108" s="1159">
        <v>0.1</v>
      </c>
      <c r="AP108" s="1159">
        <v>0.1</v>
      </c>
      <c r="AQ108" s="1167">
        <v>0.1</v>
      </c>
      <c r="AR108" s="1159">
        <v>0.1</v>
      </c>
      <c r="AS108" s="1163">
        <v>0.1</v>
      </c>
      <c r="AT108" s="1164"/>
      <c r="AU108" s="1163"/>
      <c r="AV108" s="1163"/>
      <c r="AX108" s="1157" t="s">
        <v>1145</v>
      </c>
      <c r="AY108" s="1161" t="s">
        <v>108</v>
      </c>
      <c r="AZ108" s="1158" t="s">
        <v>111</v>
      </c>
      <c r="BA108" s="1163">
        <v>0.1</v>
      </c>
      <c r="BB108" s="1163">
        <v>0.1</v>
      </c>
      <c r="BC108" s="1163">
        <v>0.1</v>
      </c>
      <c r="BD108" s="1163">
        <v>0.1</v>
      </c>
      <c r="BE108" s="1163">
        <v>0.1</v>
      </c>
      <c r="BF108" s="1163">
        <v>0.1</v>
      </c>
      <c r="BG108" s="1163">
        <v>0.1</v>
      </c>
      <c r="BH108" s="1170">
        <v>0.1</v>
      </c>
      <c r="BI108" s="1163">
        <v>0.1</v>
      </c>
      <c r="BJ108" s="1163">
        <v>0.1</v>
      </c>
      <c r="BK108" s="1164"/>
      <c r="BL108" s="1163"/>
      <c r="BM108" s="1163"/>
      <c r="BO108" s="1157" t="s">
        <v>1145</v>
      </c>
      <c r="BP108" s="1161" t="s">
        <v>108</v>
      </c>
      <c r="BQ108" s="1158" t="s">
        <v>111</v>
      </c>
      <c r="BR108" s="1163">
        <v>0.1</v>
      </c>
      <c r="BS108" s="1163">
        <v>0.1</v>
      </c>
      <c r="BT108" s="1163">
        <v>0.1</v>
      </c>
      <c r="BU108" s="1163">
        <v>0.1</v>
      </c>
      <c r="BV108" s="1163">
        <v>0.1</v>
      </c>
      <c r="BW108" s="1163">
        <v>0.1</v>
      </c>
      <c r="BX108" s="1163">
        <v>0.1</v>
      </c>
      <c r="BY108" s="1170">
        <v>0.1</v>
      </c>
      <c r="BZ108" s="1163">
        <v>0.1</v>
      </c>
      <c r="CA108" s="1163">
        <v>0.1</v>
      </c>
      <c r="CB108" s="1164"/>
      <c r="CC108" s="1163"/>
      <c r="CD108" s="1163"/>
      <c r="CE108" s="1382"/>
      <c r="CG108" s="1157" t="s">
        <v>1145</v>
      </c>
      <c r="CH108" s="1161" t="s">
        <v>108</v>
      </c>
      <c r="CI108" s="1158" t="s">
        <v>111</v>
      </c>
      <c r="CJ108" s="1531">
        <v>0</v>
      </c>
      <c r="CK108" s="1531">
        <v>0</v>
      </c>
      <c r="CL108" s="1531">
        <v>0</v>
      </c>
      <c r="CM108" s="1531">
        <v>0</v>
      </c>
      <c r="CN108" s="1531">
        <v>0</v>
      </c>
      <c r="CO108" s="1531">
        <v>0</v>
      </c>
      <c r="CP108" s="1531">
        <v>0</v>
      </c>
      <c r="CQ108" s="1531">
        <v>0</v>
      </c>
      <c r="CR108" s="1531">
        <v>0</v>
      </c>
      <c r="CS108" s="1531">
        <v>0</v>
      </c>
      <c r="CT108" s="1531">
        <v>0</v>
      </c>
      <c r="CU108" s="1531">
        <v>0</v>
      </c>
      <c r="CV108" s="1531">
        <v>0</v>
      </c>
      <c r="CX108" s="1157" t="s">
        <v>1145</v>
      </c>
      <c r="CY108" s="1161" t="s">
        <v>108</v>
      </c>
      <c r="CZ108" s="1158" t="s">
        <v>111</v>
      </c>
      <c r="DA108" s="1520">
        <f t="shared" si="89"/>
        <v>0.1</v>
      </c>
      <c r="DB108" s="1520"/>
      <c r="DC108" s="1520"/>
      <c r="DD108" s="1520"/>
      <c r="DE108" s="1520"/>
      <c r="DF108" s="1520"/>
      <c r="DG108" s="1520"/>
      <c r="DH108" s="1520"/>
      <c r="DI108" s="1520"/>
      <c r="DJ108" s="1520"/>
      <c r="DK108" s="1520"/>
      <c r="DL108" s="1520"/>
      <c r="DM108" s="1520"/>
    </row>
    <row r="109" spans="2:117">
      <c r="B109" s="1136" t="str">
        <f t="shared" si="90"/>
        <v>3.3.4</v>
      </c>
      <c r="C109" s="1158" t="str">
        <f t="shared" si="67"/>
        <v>通信配線の更新性</v>
      </c>
      <c r="D109" s="1146">
        <f t="shared" si="95"/>
        <v>0.1</v>
      </c>
      <c r="E109" s="1156">
        <f t="shared" si="95"/>
        <v>0</v>
      </c>
      <c r="G109" s="1156">
        <f t="shared" si="96"/>
        <v>0.1</v>
      </c>
      <c r="H109" s="1156">
        <f t="shared" si="97"/>
        <v>0</v>
      </c>
      <c r="I109" s="1156"/>
      <c r="J109" s="1156"/>
      <c r="K109" s="1156">
        <f>IF(スコア!Q109=0,0,1)</f>
        <v>1</v>
      </c>
      <c r="L109" s="1156">
        <f>IF(スコア!S109=0,0,1)</f>
        <v>0</v>
      </c>
      <c r="M109" s="1156">
        <f t="shared" si="98"/>
        <v>0.1</v>
      </c>
      <c r="N109" s="1156">
        <f t="shared" si="94"/>
        <v>0</v>
      </c>
      <c r="P109" s="1157" t="str">
        <f t="shared" si="68"/>
        <v>3.3.4</v>
      </c>
      <c r="Q109" s="1157" t="str">
        <f t="shared" si="69"/>
        <v xml:space="preserve"> Q2 3.3</v>
      </c>
      <c r="R109" s="1158" t="str">
        <f t="shared" si="70"/>
        <v>通信配線の更新性</v>
      </c>
      <c r="S109" s="1585">
        <f t="shared" si="52"/>
        <v>0.1</v>
      </c>
      <c r="T109" s="1585">
        <f t="shared" si="53"/>
        <v>0.1</v>
      </c>
      <c r="U109" s="1585">
        <f t="shared" si="54"/>
        <v>0.1</v>
      </c>
      <c r="V109" s="1585">
        <f t="shared" si="55"/>
        <v>0.1</v>
      </c>
      <c r="W109" s="1585">
        <f t="shared" si="56"/>
        <v>0.1</v>
      </c>
      <c r="X109" s="1585">
        <f t="shared" si="57"/>
        <v>0.1</v>
      </c>
      <c r="Y109" s="1585">
        <f t="shared" si="58"/>
        <v>0.1</v>
      </c>
      <c r="Z109" s="1587">
        <f t="shared" si="59"/>
        <v>0.1</v>
      </c>
      <c r="AA109" s="1585">
        <f t="shared" si="60"/>
        <v>0.1</v>
      </c>
      <c r="AB109" s="1585">
        <f t="shared" si="61"/>
        <v>0.1</v>
      </c>
      <c r="AC109" s="1586">
        <f t="shared" si="62"/>
        <v>0</v>
      </c>
      <c r="AD109" s="1585">
        <f t="shared" si="63"/>
        <v>0</v>
      </c>
      <c r="AE109" s="1585">
        <f t="shared" si="64"/>
        <v>0</v>
      </c>
      <c r="AG109" s="1157" t="s">
        <v>1146</v>
      </c>
      <c r="AH109" s="1161" t="s">
        <v>108</v>
      </c>
      <c r="AI109" s="1158" t="s">
        <v>112</v>
      </c>
      <c r="AJ109" s="1159">
        <v>0.1</v>
      </c>
      <c r="AK109" s="1159">
        <v>0.1</v>
      </c>
      <c r="AL109" s="1159">
        <v>0.1</v>
      </c>
      <c r="AM109" s="1159">
        <v>0.1</v>
      </c>
      <c r="AN109" s="1159">
        <v>0.1</v>
      </c>
      <c r="AO109" s="1159">
        <v>0.1</v>
      </c>
      <c r="AP109" s="1159">
        <v>0.1</v>
      </c>
      <c r="AQ109" s="1167">
        <v>0.1</v>
      </c>
      <c r="AR109" s="1159">
        <v>0.1</v>
      </c>
      <c r="AS109" s="1163">
        <v>0.1</v>
      </c>
      <c r="AT109" s="1164"/>
      <c r="AU109" s="1163"/>
      <c r="AV109" s="1163"/>
      <c r="AX109" s="1157" t="s">
        <v>1146</v>
      </c>
      <c r="AY109" s="1161" t="s">
        <v>108</v>
      </c>
      <c r="AZ109" s="1158" t="s">
        <v>112</v>
      </c>
      <c r="BA109" s="1163">
        <v>0.1</v>
      </c>
      <c r="BB109" s="1163">
        <v>0.1</v>
      </c>
      <c r="BC109" s="1163">
        <v>0.1</v>
      </c>
      <c r="BD109" s="1163">
        <v>0.1</v>
      </c>
      <c r="BE109" s="1163">
        <v>0.1</v>
      </c>
      <c r="BF109" s="1163">
        <v>0.1</v>
      </c>
      <c r="BG109" s="1163">
        <v>0.1</v>
      </c>
      <c r="BH109" s="1170">
        <v>0.1</v>
      </c>
      <c r="BI109" s="1163">
        <v>0.1</v>
      </c>
      <c r="BJ109" s="1163">
        <v>0.1</v>
      </c>
      <c r="BK109" s="1164"/>
      <c r="BL109" s="1163"/>
      <c r="BM109" s="1163"/>
      <c r="BO109" s="1157" t="s">
        <v>1146</v>
      </c>
      <c r="BP109" s="1161" t="s">
        <v>108</v>
      </c>
      <c r="BQ109" s="1158" t="s">
        <v>112</v>
      </c>
      <c r="BR109" s="1163">
        <v>0.1</v>
      </c>
      <c r="BS109" s="1163">
        <v>0.1</v>
      </c>
      <c r="BT109" s="1163">
        <v>0.1</v>
      </c>
      <c r="BU109" s="1163">
        <v>0.1</v>
      </c>
      <c r="BV109" s="1163">
        <v>0.1</v>
      </c>
      <c r="BW109" s="1163">
        <v>0.1</v>
      </c>
      <c r="BX109" s="1163">
        <v>0.1</v>
      </c>
      <c r="BY109" s="1170">
        <v>0.1</v>
      </c>
      <c r="BZ109" s="1163">
        <v>0.1</v>
      </c>
      <c r="CA109" s="1163">
        <v>0.1</v>
      </c>
      <c r="CB109" s="1164"/>
      <c r="CC109" s="1163"/>
      <c r="CD109" s="1163"/>
      <c r="CE109" s="1382"/>
      <c r="CG109" s="1157" t="s">
        <v>1146</v>
      </c>
      <c r="CH109" s="1161" t="s">
        <v>108</v>
      </c>
      <c r="CI109" s="1158" t="s">
        <v>112</v>
      </c>
      <c r="CJ109" s="1531">
        <v>0</v>
      </c>
      <c r="CK109" s="1531">
        <v>0</v>
      </c>
      <c r="CL109" s="1531">
        <v>0</v>
      </c>
      <c r="CM109" s="1531">
        <v>0</v>
      </c>
      <c r="CN109" s="1531">
        <v>0</v>
      </c>
      <c r="CO109" s="1531">
        <v>0</v>
      </c>
      <c r="CP109" s="1531">
        <v>0</v>
      </c>
      <c r="CQ109" s="1531">
        <v>0</v>
      </c>
      <c r="CR109" s="1531">
        <v>0</v>
      </c>
      <c r="CS109" s="1531">
        <v>0</v>
      </c>
      <c r="CT109" s="1531">
        <v>0</v>
      </c>
      <c r="CU109" s="1531">
        <v>0</v>
      </c>
      <c r="CV109" s="1531">
        <v>0</v>
      </c>
      <c r="CX109" s="1157" t="s">
        <v>1146</v>
      </c>
      <c r="CY109" s="1161" t="s">
        <v>108</v>
      </c>
      <c r="CZ109" s="1158" t="s">
        <v>112</v>
      </c>
      <c r="DA109" s="1520">
        <f t="shared" si="89"/>
        <v>0.1</v>
      </c>
      <c r="DB109" s="1520"/>
      <c r="DC109" s="1520"/>
      <c r="DD109" s="1520"/>
      <c r="DE109" s="1520"/>
      <c r="DF109" s="1520"/>
      <c r="DG109" s="1520"/>
      <c r="DH109" s="1520"/>
      <c r="DI109" s="1520"/>
      <c r="DJ109" s="1520"/>
      <c r="DK109" s="1520"/>
      <c r="DL109" s="1520"/>
      <c r="DM109" s="1520"/>
    </row>
    <row r="110" spans="2:117">
      <c r="B110" s="1136" t="str">
        <f t="shared" ref="B110:B147" si="99">P110</f>
        <v>3.3.5</v>
      </c>
      <c r="C110" s="1158" t="str">
        <f t="shared" si="67"/>
        <v>設備機器の更新性</v>
      </c>
      <c r="D110" s="1146">
        <f>IF(I$105&gt;0,G110/I$105,0)</f>
        <v>0.2</v>
      </c>
      <c r="E110" s="1156">
        <f t="shared" si="95"/>
        <v>0</v>
      </c>
      <c r="G110" s="1156">
        <f t="shared" si="96"/>
        <v>0.2</v>
      </c>
      <c r="H110" s="1156">
        <f t="shared" si="97"/>
        <v>0</v>
      </c>
      <c r="I110" s="1156"/>
      <c r="J110" s="1156"/>
      <c r="K110" s="1156">
        <f>IF(スコア!Q110=0,0,1)</f>
        <v>1</v>
      </c>
      <c r="L110" s="1156">
        <f>IF(スコア!S110=0,0,1)</f>
        <v>0</v>
      </c>
      <c r="M110" s="1156">
        <f t="shared" si="98"/>
        <v>0.2</v>
      </c>
      <c r="N110" s="1156">
        <f t="shared" si="94"/>
        <v>0</v>
      </c>
      <c r="P110" s="1157" t="str">
        <f t="shared" si="68"/>
        <v>3.3.5</v>
      </c>
      <c r="Q110" s="1157" t="str">
        <f t="shared" si="69"/>
        <v xml:space="preserve"> Q2 3.3</v>
      </c>
      <c r="R110" s="1158" t="str">
        <f t="shared" si="70"/>
        <v>設備機器の更新性</v>
      </c>
      <c r="S110" s="1585">
        <f t="shared" si="52"/>
        <v>0.2</v>
      </c>
      <c r="T110" s="1585">
        <f t="shared" si="53"/>
        <v>0.2</v>
      </c>
      <c r="U110" s="1585">
        <f t="shared" si="54"/>
        <v>0.2</v>
      </c>
      <c r="V110" s="1585">
        <f t="shared" si="55"/>
        <v>0.2</v>
      </c>
      <c r="W110" s="1585">
        <f t="shared" si="56"/>
        <v>0.2</v>
      </c>
      <c r="X110" s="1585">
        <f t="shared" si="57"/>
        <v>0.2</v>
      </c>
      <c r="Y110" s="1585">
        <f t="shared" si="58"/>
        <v>0.2</v>
      </c>
      <c r="Z110" s="1587">
        <f t="shared" si="59"/>
        <v>0.2</v>
      </c>
      <c r="AA110" s="1585">
        <f t="shared" si="60"/>
        <v>0.2</v>
      </c>
      <c r="AB110" s="1585">
        <f t="shared" si="61"/>
        <v>0.2</v>
      </c>
      <c r="AC110" s="1586">
        <f t="shared" si="62"/>
        <v>0</v>
      </c>
      <c r="AD110" s="1585">
        <f t="shared" si="63"/>
        <v>0</v>
      </c>
      <c r="AE110" s="1585">
        <f t="shared" si="64"/>
        <v>0</v>
      </c>
      <c r="AG110" s="1157" t="s">
        <v>1147</v>
      </c>
      <c r="AH110" s="1161" t="s">
        <v>108</v>
      </c>
      <c r="AI110" s="1158" t="s">
        <v>113</v>
      </c>
      <c r="AJ110" s="1159">
        <v>0.2</v>
      </c>
      <c r="AK110" s="1159">
        <v>0.2</v>
      </c>
      <c r="AL110" s="1159">
        <v>0.2</v>
      </c>
      <c r="AM110" s="1159">
        <v>0.2</v>
      </c>
      <c r="AN110" s="1159">
        <v>0.2</v>
      </c>
      <c r="AO110" s="1159">
        <v>0.2</v>
      </c>
      <c r="AP110" s="1159">
        <v>0.2</v>
      </c>
      <c r="AQ110" s="1167">
        <v>0.2</v>
      </c>
      <c r="AR110" s="1159">
        <v>0.2</v>
      </c>
      <c r="AS110" s="1163">
        <v>0.2</v>
      </c>
      <c r="AT110" s="1164"/>
      <c r="AU110" s="1163"/>
      <c r="AV110" s="1163"/>
      <c r="AX110" s="1157" t="s">
        <v>1147</v>
      </c>
      <c r="AY110" s="1161" t="s">
        <v>108</v>
      </c>
      <c r="AZ110" s="1158" t="s">
        <v>113</v>
      </c>
      <c r="BA110" s="1163">
        <v>0.2</v>
      </c>
      <c r="BB110" s="1163">
        <v>0.2</v>
      </c>
      <c r="BC110" s="1163">
        <v>0.2</v>
      </c>
      <c r="BD110" s="1163">
        <v>0.2</v>
      </c>
      <c r="BE110" s="1163">
        <v>0.2</v>
      </c>
      <c r="BF110" s="1163">
        <v>0.2</v>
      </c>
      <c r="BG110" s="1163">
        <v>0.2</v>
      </c>
      <c r="BH110" s="1170">
        <v>0.2</v>
      </c>
      <c r="BI110" s="1163">
        <v>0.2</v>
      </c>
      <c r="BJ110" s="1163">
        <v>0.2</v>
      </c>
      <c r="BK110" s="1164"/>
      <c r="BL110" s="1163"/>
      <c r="BM110" s="1163"/>
      <c r="BO110" s="1157" t="s">
        <v>1147</v>
      </c>
      <c r="BP110" s="1161" t="s">
        <v>108</v>
      </c>
      <c r="BQ110" s="1158" t="s">
        <v>113</v>
      </c>
      <c r="BR110" s="1163">
        <v>0.2</v>
      </c>
      <c r="BS110" s="1163">
        <v>0.2</v>
      </c>
      <c r="BT110" s="1163">
        <v>0.2</v>
      </c>
      <c r="BU110" s="1163">
        <v>0.2</v>
      </c>
      <c r="BV110" s="1163">
        <v>0.2</v>
      </c>
      <c r="BW110" s="1163">
        <v>0.2</v>
      </c>
      <c r="BX110" s="1163">
        <v>0.2</v>
      </c>
      <c r="BY110" s="1170">
        <v>0.2</v>
      </c>
      <c r="BZ110" s="1163">
        <v>0.2</v>
      </c>
      <c r="CA110" s="1163">
        <v>0.2</v>
      </c>
      <c r="CB110" s="1164"/>
      <c r="CC110" s="1163"/>
      <c r="CD110" s="1163"/>
      <c r="CE110" s="1382"/>
      <c r="CG110" s="1157" t="s">
        <v>1147</v>
      </c>
      <c r="CH110" s="1161" t="s">
        <v>108</v>
      </c>
      <c r="CI110" s="1158" t="s">
        <v>113</v>
      </c>
      <c r="CJ110" s="1531">
        <v>0</v>
      </c>
      <c r="CK110" s="1531">
        <v>0</v>
      </c>
      <c r="CL110" s="1531">
        <v>0</v>
      </c>
      <c r="CM110" s="1531">
        <v>0</v>
      </c>
      <c r="CN110" s="1531">
        <v>0</v>
      </c>
      <c r="CO110" s="1531">
        <v>0</v>
      </c>
      <c r="CP110" s="1531">
        <v>0</v>
      </c>
      <c r="CQ110" s="1531">
        <v>0</v>
      </c>
      <c r="CR110" s="1531">
        <v>0</v>
      </c>
      <c r="CS110" s="1531">
        <v>0</v>
      </c>
      <c r="CT110" s="1531">
        <v>0</v>
      </c>
      <c r="CU110" s="1531">
        <v>0</v>
      </c>
      <c r="CV110" s="1531">
        <v>0</v>
      </c>
      <c r="CX110" s="1157" t="s">
        <v>1147</v>
      </c>
      <c r="CY110" s="1161" t="s">
        <v>108</v>
      </c>
      <c r="CZ110" s="1158" t="s">
        <v>113</v>
      </c>
      <c r="DA110" s="1520">
        <f t="shared" si="89"/>
        <v>0.2</v>
      </c>
      <c r="DB110" s="1520"/>
      <c r="DC110" s="1520"/>
      <c r="DD110" s="1520"/>
      <c r="DE110" s="1520"/>
      <c r="DF110" s="1520"/>
      <c r="DG110" s="1520"/>
      <c r="DH110" s="1520"/>
      <c r="DI110" s="1520"/>
      <c r="DJ110" s="1520"/>
      <c r="DK110" s="1520"/>
      <c r="DL110" s="1520"/>
      <c r="DM110" s="1520"/>
    </row>
    <row r="111" spans="2:117">
      <c r="B111" s="1136" t="str">
        <f t="shared" si="99"/>
        <v>3.3.6</v>
      </c>
      <c r="C111" s="1158" t="str">
        <f t="shared" si="67"/>
        <v>バックアップスペースの確保</v>
      </c>
      <c r="D111" s="1146">
        <f t="shared" si="95"/>
        <v>0.2</v>
      </c>
      <c r="E111" s="1156">
        <f t="shared" si="95"/>
        <v>0</v>
      </c>
      <c r="G111" s="1156">
        <f t="shared" si="96"/>
        <v>0.2</v>
      </c>
      <c r="H111" s="1156">
        <f t="shared" si="97"/>
        <v>0</v>
      </c>
      <c r="I111" s="1156"/>
      <c r="J111" s="1156"/>
      <c r="K111" s="1156">
        <f>IF(スコア!Q111=0,0,1)</f>
        <v>1</v>
      </c>
      <c r="L111" s="1156">
        <f>IF(スコア!S111=0,0,1)</f>
        <v>0</v>
      </c>
      <c r="M111" s="1156">
        <f t="shared" si="98"/>
        <v>0.2</v>
      </c>
      <c r="N111" s="1156">
        <f t="shared" si="94"/>
        <v>0</v>
      </c>
      <c r="P111" s="1157" t="str">
        <f t="shared" si="68"/>
        <v>3.3.6</v>
      </c>
      <c r="Q111" s="1157" t="str">
        <f t="shared" si="69"/>
        <v xml:space="preserve"> Q2 3.3</v>
      </c>
      <c r="R111" s="1158" t="str">
        <f t="shared" si="70"/>
        <v>バックアップスペースの確保</v>
      </c>
      <c r="S111" s="1585">
        <f t="shared" si="52"/>
        <v>0.2</v>
      </c>
      <c r="T111" s="1585">
        <f t="shared" si="53"/>
        <v>0.2</v>
      </c>
      <c r="U111" s="1585">
        <f t="shared" si="54"/>
        <v>0.2</v>
      </c>
      <c r="V111" s="1585">
        <f t="shared" si="55"/>
        <v>0.2</v>
      </c>
      <c r="W111" s="1585">
        <f t="shared" si="56"/>
        <v>0.2</v>
      </c>
      <c r="X111" s="1585">
        <f t="shared" si="57"/>
        <v>0.2</v>
      </c>
      <c r="Y111" s="1585">
        <f t="shared" si="58"/>
        <v>0.2</v>
      </c>
      <c r="Z111" s="1587">
        <f t="shared" si="59"/>
        <v>0.2</v>
      </c>
      <c r="AA111" s="1585">
        <f t="shared" si="60"/>
        <v>0.2</v>
      </c>
      <c r="AB111" s="1585">
        <f t="shared" si="61"/>
        <v>0.2</v>
      </c>
      <c r="AC111" s="1586">
        <f t="shared" si="62"/>
        <v>0</v>
      </c>
      <c r="AD111" s="1585">
        <f t="shared" si="63"/>
        <v>0</v>
      </c>
      <c r="AE111" s="1585">
        <f t="shared" si="64"/>
        <v>0</v>
      </c>
      <c r="AG111" s="1157" t="s">
        <v>1148</v>
      </c>
      <c r="AH111" s="1161" t="s">
        <v>108</v>
      </c>
      <c r="AI111" s="1158" t="s">
        <v>1029</v>
      </c>
      <c r="AJ111" s="1159">
        <v>0.2</v>
      </c>
      <c r="AK111" s="1159">
        <v>0.2</v>
      </c>
      <c r="AL111" s="1159">
        <v>0.2</v>
      </c>
      <c r="AM111" s="1159">
        <v>0.2</v>
      </c>
      <c r="AN111" s="1159">
        <v>0.2</v>
      </c>
      <c r="AO111" s="1159">
        <v>0.2</v>
      </c>
      <c r="AP111" s="1159">
        <v>0.2</v>
      </c>
      <c r="AQ111" s="1167">
        <v>0.2</v>
      </c>
      <c r="AR111" s="1159">
        <v>0.2</v>
      </c>
      <c r="AS111" s="1163">
        <v>0.2</v>
      </c>
      <c r="AT111" s="1164"/>
      <c r="AU111" s="1163"/>
      <c r="AV111" s="1163"/>
      <c r="AX111" s="1157" t="s">
        <v>1148</v>
      </c>
      <c r="AY111" s="1161" t="s">
        <v>108</v>
      </c>
      <c r="AZ111" s="1158" t="s">
        <v>1688</v>
      </c>
      <c r="BA111" s="1163">
        <v>0.2</v>
      </c>
      <c r="BB111" s="1163">
        <v>0.2</v>
      </c>
      <c r="BC111" s="1163">
        <v>0.2</v>
      </c>
      <c r="BD111" s="1163">
        <v>0.2</v>
      </c>
      <c r="BE111" s="1163">
        <v>0.2</v>
      </c>
      <c r="BF111" s="1163">
        <v>0.2</v>
      </c>
      <c r="BG111" s="1163">
        <v>0.2</v>
      </c>
      <c r="BH111" s="1170">
        <v>0.2</v>
      </c>
      <c r="BI111" s="1163">
        <v>0.2</v>
      </c>
      <c r="BJ111" s="1163">
        <v>0.2</v>
      </c>
      <c r="BK111" s="1164"/>
      <c r="BL111" s="1163"/>
      <c r="BM111" s="1163"/>
      <c r="BO111" s="1157" t="s">
        <v>1148</v>
      </c>
      <c r="BP111" s="1161" t="s">
        <v>108</v>
      </c>
      <c r="BQ111" s="1158" t="s">
        <v>1029</v>
      </c>
      <c r="BR111" s="1163">
        <v>0.2</v>
      </c>
      <c r="BS111" s="1163">
        <v>0.2</v>
      </c>
      <c r="BT111" s="1163">
        <v>0.2</v>
      </c>
      <c r="BU111" s="1163">
        <v>0.2</v>
      </c>
      <c r="BV111" s="1163">
        <v>0.2</v>
      </c>
      <c r="BW111" s="1163">
        <v>0.2</v>
      </c>
      <c r="BX111" s="1163">
        <v>0.2</v>
      </c>
      <c r="BY111" s="1170">
        <v>0.2</v>
      </c>
      <c r="BZ111" s="1163">
        <v>0.2</v>
      </c>
      <c r="CA111" s="1163">
        <v>0.2</v>
      </c>
      <c r="CB111" s="1164"/>
      <c r="CC111" s="1163"/>
      <c r="CD111" s="1163"/>
      <c r="CE111" s="1382"/>
      <c r="CG111" s="1157" t="s">
        <v>1148</v>
      </c>
      <c r="CH111" s="1161" t="s">
        <v>108</v>
      </c>
      <c r="CI111" s="1158" t="s">
        <v>1029</v>
      </c>
      <c r="CJ111" s="1531">
        <v>0</v>
      </c>
      <c r="CK111" s="1531">
        <v>0</v>
      </c>
      <c r="CL111" s="1531">
        <v>0</v>
      </c>
      <c r="CM111" s="1531">
        <v>0</v>
      </c>
      <c r="CN111" s="1531">
        <v>0</v>
      </c>
      <c r="CO111" s="1531">
        <v>0</v>
      </c>
      <c r="CP111" s="1531">
        <v>0</v>
      </c>
      <c r="CQ111" s="1531">
        <v>0</v>
      </c>
      <c r="CR111" s="1531">
        <v>0</v>
      </c>
      <c r="CS111" s="1531">
        <v>0</v>
      </c>
      <c r="CT111" s="1531">
        <v>0</v>
      </c>
      <c r="CU111" s="1531">
        <v>0</v>
      </c>
      <c r="CV111" s="1531">
        <v>0</v>
      </c>
      <c r="CX111" s="1157" t="s">
        <v>1148</v>
      </c>
      <c r="CY111" s="1161" t="s">
        <v>108</v>
      </c>
      <c r="CZ111" s="1158" t="s">
        <v>1029</v>
      </c>
      <c r="DA111" s="1520">
        <f t="shared" si="89"/>
        <v>0.2</v>
      </c>
      <c r="DB111" s="1520"/>
      <c r="DC111" s="1520"/>
      <c r="DD111" s="1520"/>
      <c r="DE111" s="1520"/>
      <c r="DF111" s="1520"/>
      <c r="DG111" s="1520"/>
      <c r="DH111" s="1520"/>
      <c r="DI111" s="1520"/>
      <c r="DJ111" s="1520"/>
      <c r="DK111" s="1520"/>
      <c r="DL111" s="1520"/>
      <c r="DM111" s="1520"/>
    </row>
    <row r="112" spans="2:117">
      <c r="B112" s="1136" t="str">
        <f t="shared" si="99"/>
        <v>Q3</v>
      </c>
      <c r="C112" s="1139" t="str">
        <f t="shared" si="67"/>
        <v>室外環境（敷地内）</v>
      </c>
      <c r="D112" s="1137">
        <f>IF(I$8=0,0,G112/I$8)</f>
        <v>0.3</v>
      </c>
      <c r="E112" s="1138">
        <f>IF(J$8=0,0,H112/J$8)</f>
        <v>0</v>
      </c>
      <c r="G112" s="1138">
        <f t="shared" si="96"/>
        <v>0.3</v>
      </c>
      <c r="H112" s="1138">
        <f t="shared" si="97"/>
        <v>0</v>
      </c>
      <c r="I112" s="1138">
        <f>G113+G116+G117+G114</f>
        <v>1</v>
      </c>
      <c r="J112" s="1138">
        <f>H113+H116+H117+H114</f>
        <v>0</v>
      </c>
      <c r="K112" s="1138">
        <f>IF(スコア!U112=0,0,1)</f>
        <v>1</v>
      </c>
      <c r="L112" s="1138">
        <f>IF(スコア!S112=0,0,1)</f>
        <v>0</v>
      </c>
      <c r="M112" s="1138">
        <f t="shared" si="98"/>
        <v>0.3</v>
      </c>
      <c r="N112" s="1138">
        <f t="shared" si="94"/>
        <v>0</v>
      </c>
      <c r="P112" s="1136" t="str">
        <f t="shared" si="68"/>
        <v>Q3</v>
      </c>
      <c r="Q112" s="1136" t="str">
        <f t="shared" si="69"/>
        <v xml:space="preserve"> Q</v>
      </c>
      <c r="R112" s="1139" t="str">
        <f t="shared" si="70"/>
        <v>室外環境（敷地内）</v>
      </c>
      <c r="S112" s="1579">
        <f t="shared" si="52"/>
        <v>0.3</v>
      </c>
      <c r="T112" s="1579">
        <f t="shared" si="53"/>
        <v>0.3</v>
      </c>
      <c r="U112" s="1579">
        <f t="shared" si="54"/>
        <v>0.3</v>
      </c>
      <c r="V112" s="1579">
        <f t="shared" si="55"/>
        <v>0.3</v>
      </c>
      <c r="W112" s="1579">
        <f t="shared" si="56"/>
        <v>0.3</v>
      </c>
      <c r="X112" s="1579">
        <f t="shared" si="57"/>
        <v>0.3</v>
      </c>
      <c r="Y112" s="1579">
        <f t="shared" si="58"/>
        <v>0.3</v>
      </c>
      <c r="Z112" s="1579">
        <f t="shared" si="59"/>
        <v>0.3</v>
      </c>
      <c r="AA112" s="1579">
        <f t="shared" si="60"/>
        <v>0.4</v>
      </c>
      <c r="AB112" s="1579">
        <f t="shared" si="61"/>
        <v>0.3</v>
      </c>
      <c r="AC112" s="1581">
        <f t="shared" si="62"/>
        <v>0</v>
      </c>
      <c r="AD112" s="1579">
        <f t="shared" si="63"/>
        <v>0</v>
      </c>
      <c r="AE112" s="1579">
        <f t="shared" si="64"/>
        <v>0</v>
      </c>
      <c r="AG112" s="1136" t="s">
        <v>1149</v>
      </c>
      <c r="AH112" s="1141" t="s">
        <v>780</v>
      </c>
      <c r="AI112" s="1139" t="s">
        <v>1150</v>
      </c>
      <c r="AJ112" s="1140">
        <v>0.3</v>
      </c>
      <c r="AK112" s="1140">
        <v>0.3</v>
      </c>
      <c r="AL112" s="1140">
        <v>0.3</v>
      </c>
      <c r="AM112" s="1140">
        <v>0.3</v>
      </c>
      <c r="AN112" s="1140">
        <v>0.3</v>
      </c>
      <c r="AO112" s="1140">
        <v>0.3</v>
      </c>
      <c r="AP112" s="1140">
        <v>0.3</v>
      </c>
      <c r="AQ112" s="1140">
        <v>0.3</v>
      </c>
      <c r="AR112" s="1140">
        <v>0.4</v>
      </c>
      <c r="AS112" s="1142">
        <v>0.3</v>
      </c>
      <c r="AT112" s="1143">
        <v>0</v>
      </c>
      <c r="AU112" s="1142">
        <v>0</v>
      </c>
      <c r="AV112" s="1142">
        <v>0</v>
      </c>
      <c r="AX112" s="1136" t="s">
        <v>1149</v>
      </c>
      <c r="AY112" s="1141" t="s">
        <v>780</v>
      </c>
      <c r="AZ112" s="1139" t="s">
        <v>1150</v>
      </c>
      <c r="BA112" s="1142">
        <v>0.3</v>
      </c>
      <c r="BB112" s="1142">
        <v>0.3</v>
      </c>
      <c r="BC112" s="1142">
        <v>0.3</v>
      </c>
      <c r="BD112" s="1142">
        <v>0.3</v>
      </c>
      <c r="BE112" s="1142">
        <v>0.3</v>
      </c>
      <c r="BF112" s="1142">
        <v>0.3</v>
      </c>
      <c r="BG112" s="1142">
        <v>0.3</v>
      </c>
      <c r="BH112" s="1142">
        <v>0.3</v>
      </c>
      <c r="BI112" s="1142">
        <v>0.4</v>
      </c>
      <c r="BJ112" s="1142">
        <v>0.3</v>
      </c>
      <c r="BK112" s="1143"/>
      <c r="BL112" s="1142"/>
      <c r="BM112" s="1142"/>
      <c r="BO112" s="1136" t="s">
        <v>1149</v>
      </c>
      <c r="BP112" s="1141" t="s">
        <v>780</v>
      </c>
      <c r="BQ112" s="1139" t="s">
        <v>1150</v>
      </c>
      <c r="BR112" s="1142">
        <v>0.3</v>
      </c>
      <c r="BS112" s="1142">
        <v>0.3</v>
      </c>
      <c r="BT112" s="1142">
        <v>0.3</v>
      </c>
      <c r="BU112" s="1142">
        <v>0.3</v>
      </c>
      <c r="BV112" s="1142">
        <v>0.3</v>
      </c>
      <c r="BW112" s="1142">
        <v>0.3</v>
      </c>
      <c r="BX112" s="1142">
        <v>0.3</v>
      </c>
      <c r="BY112" s="1142">
        <v>0.3</v>
      </c>
      <c r="BZ112" s="1142">
        <v>0.4</v>
      </c>
      <c r="CA112" s="1142">
        <v>0.3</v>
      </c>
      <c r="CB112" s="1143"/>
      <c r="CC112" s="1142"/>
      <c r="CD112" s="1142"/>
      <c r="CE112" s="1380"/>
      <c r="CG112" s="1136" t="s">
        <v>617</v>
      </c>
      <c r="CH112" s="1141" t="s">
        <v>780</v>
      </c>
      <c r="CI112" s="1139" t="s">
        <v>1150</v>
      </c>
      <c r="CJ112" s="1516">
        <v>0.35</v>
      </c>
      <c r="CK112" s="1516">
        <v>0.35</v>
      </c>
      <c r="CL112" s="1516">
        <v>0.35</v>
      </c>
      <c r="CM112" s="1516">
        <v>0.35</v>
      </c>
      <c r="CN112" s="1516">
        <v>0.35</v>
      </c>
      <c r="CO112" s="1516">
        <v>0.35</v>
      </c>
      <c r="CP112" s="1516">
        <v>0.35</v>
      </c>
      <c r="CQ112" s="1516">
        <v>0.35</v>
      </c>
      <c r="CR112" s="1516">
        <v>0.5</v>
      </c>
      <c r="CS112" s="1516">
        <v>0.35</v>
      </c>
      <c r="CT112" s="1517">
        <f t="shared" si="85"/>
        <v>0</v>
      </c>
      <c r="CU112" s="1516">
        <f t="shared" si="86"/>
        <v>0</v>
      </c>
      <c r="CV112" s="1516">
        <f t="shared" si="87"/>
        <v>0</v>
      </c>
      <c r="CX112" s="1136" t="s">
        <v>617</v>
      </c>
      <c r="CY112" s="1141" t="s">
        <v>780</v>
      </c>
      <c r="CZ112" s="1139" t="s">
        <v>1150</v>
      </c>
      <c r="DA112" s="1641">
        <v>0.1</v>
      </c>
      <c r="DB112" s="1516"/>
      <c r="DC112" s="1516"/>
      <c r="DD112" s="1516"/>
      <c r="DE112" s="1516"/>
      <c r="DF112" s="1516"/>
      <c r="DG112" s="1516"/>
      <c r="DH112" s="1516"/>
      <c r="DI112" s="1516"/>
      <c r="DJ112" s="1516"/>
      <c r="DK112" s="1517"/>
      <c r="DL112" s="1516"/>
      <c r="DM112" s="1516"/>
    </row>
    <row r="113" spans="2:117">
      <c r="B113" s="1136">
        <f t="shared" si="99"/>
        <v>1</v>
      </c>
      <c r="C113" s="1148" t="str">
        <f t="shared" si="67"/>
        <v>生物資源の保全と創出</v>
      </c>
      <c r="D113" s="1144">
        <f>IF(I$112=0,0,G113/I$112)</f>
        <v>0.3</v>
      </c>
      <c r="E113" s="1145">
        <f t="shared" ref="D113:E117" si="100">IF(J$112=0,0,H113/J$112)</f>
        <v>0</v>
      </c>
      <c r="G113" s="1145">
        <f t="shared" si="96"/>
        <v>0.3</v>
      </c>
      <c r="H113" s="1145">
        <f t="shared" si="97"/>
        <v>0</v>
      </c>
      <c r="I113" s="1145"/>
      <c r="J113" s="1145"/>
      <c r="K113" s="1145">
        <f>IF(スコア!Q113=0,0,1)</f>
        <v>1</v>
      </c>
      <c r="L113" s="1145">
        <f>IF(スコア!S113=0,0,1)</f>
        <v>0</v>
      </c>
      <c r="M113" s="1145">
        <f t="shared" si="98"/>
        <v>0.3</v>
      </c>
      <c r="N113" s="1145">
        <f t="shared" si="94"/>
        <v>0</v>
      </c>
      <c r="P113" s="1147">
        <f t="shared" si="68"/>
        <v>1</v>
      </c>
      <c r="Q113" s="1147" t="str">
        <f t="shared" si="69"/>
        <v xml:space="preserve"> Q3</v>
      </c>
      <c r="R113" s="1148" t="str">
        <f t="shared" si="70"/>
        <v>生物資源の保全と創出</v>
      </c>
      <c r="S113" s="1582">
        <f t="shared" si="52"/>
        <v>0.3</v>
      </c>
      <c r="T113" s="1582">
        <f t="shared" si="53"/>
        <v>0.3</v>
      </c>
      <c r="U113" s="1582">
        <f t="shared" si="54"/>
        <v>0.3</v>
      </c>
      <c r="V113" s="1582">
        <f t="shared" si="55"/>
        <v>0.3</v>
      </c>
      <c r="W113" s="1582">
        <f t="shared" si="56"/>
        <v>0.3</v>
      </c>
      <c r="X113" s="1582">
        <f t="shared" si="57"/>
        <v>0.3</v>
      </c>
      <c r="Y113" s="1582">
        <f t="shared" si="58"/>
        <v>0.3</v>
      </c>
      <c r="Z113" s="1596">
        <f t="shared" si="59"/>
        <v>0.3</v>
      </c>
      <c r="AA113" s="1582">
        <f t="shared" si="60"/>
        <v>0.3</v>
      </c>
      <c r="AB113" s="1582">
        <f t="shared" si="61"/>
        <v>0.3</v>
      </c>
      <c r="AC113" s="1584">
        <f t="shared" si="62"/>
        <v>0</v>
      </c>
      <c r="AD113" s="1582">
        <f t="shared" si="63"/>
        <v>0</v>
      </c>
      <c r="AE113" s="1582">
        <f t="shared" si="64"/>
        <v>0</v>
      </c>
      <c r="AG113" s="1147">
        <v>1</v>
      </c>
      <c r="AH113" s="1151" t="s">
        <v>114</v>
      </c>
      <c r="AI113" s="1148" t="s">
        <v>115</v>
      </c>
      <c r="AJ113" s="1149">
        <v>0.3</v>
      </c>
      <c r="AK113" s="1149">
        <v>0.3</v>
      </c>
      <c r="AL113" s="1149">
        <v>0.3</v>
      </c>
      <c r="AM113" s="1149">
        <v>0.3</v>
      </c>
      <c r="AN113" s="1149">
        <v>0.3</v>
      </c>
      <c r="AO113" s="1149">
        <v>0.3</v>
      </c>
      <c r="AP113" s="1149">
        <v>0.3</v>
      </c>
      <c r="AQ113" s="1201">
        <v>0.3</v>
      </c>
      <c r="AR113" s="1149">
        <v>0.3</v>
      </c>
      <c r="AS113" s="1152">
        <v>0.3</v>
      </c>
      <c r="AT113" s="1153">
        <v>0</v>
      </c>
      <c r="AU113" s="1152">
        <v>0</v>
      </c>
      <c r="AV113" s="1152">
        <v>0</v>
      </c>
      <c r="AX113" s="1147">
        <v>1</v>
      </c>
      <c r="AY113" s="1151" t="s">
        <v>114</v>
      </c>
      <c r="AZ113" s="1148" t="s">
        <v>115</v>
      </c>
      <c r="BA113" s="1152">
        <v>0.3</v>
      </c>
      <c r="BB113" s="1152">
        <v>0.3</v>
      </c>
      <c r="BC113" s="1152">
        <v>0.3</v>
      </c>
      <c r="BD113" s="1152">
        <v>0.3</v>
      </c>
      <c r="BE113" s="1152">
        <v>0.3</v>
      </c>
      <c r="BF113" s="1152">
        <v>0.3</v>
      </c>
      <c r="BG113" s="1152">
        <v>0.3</v>
      </c>
      <c r="BH113" s="1202">
        <v>0.3</v>
      </c>
      <c r="BI113" s="1152">
        <v>0.3</v>
      </c>
      <c r="BJ113" s="1152">
        <v>0.3</v>
      </c>
      <c r="BK113" s="1153"/>
      <c r="BL113" s="1152"/>
      <c r="BM113" s="1152"/>
      <c r="BO113" s="1147">
        <v>1</v>
      </c>
      <c r="BP113" s="1151" t="s">
        <v>114</v>
      </c>
      <c r="BQ113" s="1148" t="s">
        <v>115</v>
      </c>
      <c r="BR113" s="1152">
        <v>0.3</v>
      </c>
      <c r="BS113" s="1152">
        <v>0.3</v>
      </c>
      <c r="BT113" s="1152">
        <v>0.3</v>
      </c>
      <c r="BU113" s="1152">
        <v>0.3</v>
      </c>
      <c r="BV113" s="1152">
        <v>0.3</v>
      </c>
      <c r="BW113" s="1152">
        <v>0.3</v>
      </c>
      <c r="BX113" s="1152">
        <v>0.3</v>
      </c>
      <c r="BY113" s="1202">
        <v>0.3</v>
      </c>
      <c r="BZ113" s="1152">
        <v>0.3</v>
      </c>
      <c r="CA113" s="1152">
        <v>0.3</v>
      </c>
      <c r="CB113" s="1153"/>
      <c r="CC113" s="1152"/>
      <c r="CD113" s="1152"/>
      <c r="CE113" s="1381"/>
      <c r="CG113" s="1147">
        <v>1</v>
      </c>
      <c r="CH113" s="1151" t="s">
        <v>114</v>
      </c>
      <c r="CI113" s="1148" t="s">
        <v>115</v>
      </c>
      <c r="CJ113" s="1528">
        <f t="shared" si="88"/>
        <v>0.3</v>
      </c>
      <c r="CK113" s="1528">
        <f t="shared" si="76"/>
        <v>0.3</v>
      </c>
      <c r="CL113" s="1528">
        <f t="shared" si="77"/>
        <v>0.3</v>
      </c>
      <c r="CM113" s="1528">
        <f t="shared" si="78"/>
        <v>0.3</v>
      </c>
      <c r="CN113" s="1528">
        <f t="shared" si="79"/>
        <v>0.3</v>
      </c>
      <c r="CO113" s="1528">
        <f t="shared" si="80"/>
        <v>0.3</v>
      </c>
      <c r="CP113" s="1528">
        <f t="shared" si="81"/>
        <v>0.3</v>
      </c>
      <c r="CQ113" s="1545">
        <f t="shared" si="82"/>
        <v>0.3</v>
      </c>
      <c r="CR113" s="1528">
        <f t="shared" si="83"/>
        <v>0.3</v>
      </c>
      <c r="CS113" s="1528">
        <f t="shared" si="84"/>
        <v>0.3</v>
      </c>
      <c r="CT113" s="1530">
        <f t="shared" si="85"/>
        <v>0</v>
      </c>
      <c r="CU113" s="1528">
        <f t="shared" si="86"/>
        <v>0</v>
      </c>
      <c r="CV113" s="1528">
        <f t="shared" si="87"/>
        <v>0</v>
      </c>
      <c r="CX113" s="1147">
        <v>1</v>
      </c>
      <c r="CY113" s="1151" t="s">
        <v>114</v>
      </c>
      <c r="CZ113" s="1148" t="s">
        <v>115</v>
      </c>
      <c r="DA113" s="1649">
        <v>0</v>
      </c>
      <c r="DB113" s="1518"/>
      <c r="DC113" s="1518"/>
      <c r="DD113" s="1518"/>
      <c r="DE113" s="1518"/>
      <c r="DF113" s="1518"/>
      <c r="DG113" s="1518"/>
      <c r="DH113" s="1632"/>
      <c r="DI113" s="1518"/>
      <c r="DJ113" s="1518"/>
      <c r="DK113" s="1519"/>
      <c r="DL113" s="1518"/>
      <c r="DM113" s="1518"/>
    </row>
    <row r="114" spans="2:117" hidden="1">
      <c r="B114" s="1136">
        <v>1</v>
      </c>
      <c r="C114" s="1148">
        <f t="shared" si="67"/>
        <v>0</v>
      </c>
      <c r="D114" s="1144">
        <f>IF(I$112=0,0,G114/I$112)</f>
        <v>0</v>
      </c>
      <c r="E114" s="1145">
        <f>IF(J$112=0,0,H114/J$112)</f>
        <v>0</v>
      </c>
      <c r="G114" s="1145">
        <f>K114*M114</f>
        <v>0</v>
      </c>
      <c r="H114" s="1145">
        <f>L114*N114</f>
        <v>0</v>
      </c>
      <c r="I114" s="1204">
        <f>SUM(G115)</f>
        <v>0</v>
      </c>
      <c r="J114" s="1204">
        <f>SUM(H115)</f>
        <v>0</v>
      </c>
      <c r="K114" s="1145">
        <f>IF(スコア!Q114=0,0,1)</f>
        <v>0</v>
      </c>
      <c r="L114" s="1145">
        <f>IF(スコア!S114=0,0,1)</f>
        <v>0</v>
      </c>
      <c r="M114" s="1145">
        <f>SUMPRODUCT($S$7:$AB$7,S114:AB114)</f>
        <v>0</v>
      </c>
      <c r="N114" s="1145">
        <f>(AC$7*AC114)+(AD$7*AD114)+(AE$7*AE114)</f>
        <v>0</v>
      </c>
      <c r="P114" s="1147">
        <f t="shared" si="68"/>
        <v>0</v>
      </c>
      <c r="Q114" s="1147">
        <f t="shared" si="69"/>
        <v>0</v>
      </c>
      <c r="R114" s="1148">
        <f t="shared" si="70"/>
        <v>0</v>
      </c>
      <c r="S114" s="1582">
        <f t="shared" si="52"/>
        <v>0</v>
      </c>
      <c r="T114" s="1582">
        <f t="shared" si="53"/>
        <v>0</v>
      </c>
      <c r="U114" s="1582">
        <f t="shared" si="54"/>
        <v>0</v>
      </c>
      <c r="V114" s="1582">
        <f t="shared" si="55"/>
        <v>0</v>
      </c>
      <c r="W114" s="1582">
        <f t="shared" si="56"/>
        <v>0</v>
      </c>
      <c r="X114" s="1582">
        <f t="shared" si="57"/>
        <v>0</v>
      </c>
      <c r="Y114" s="1582">
        <f t="shared" si="58"/>
        <v>0</v>
      </c>
      <c r="Z114" s="1596">
        <f t="shared" si="59"/>
        <v>0</v>
      </c>
      <c r="AA114" s="1582">
        <f t="shared" si="60"/>
        <v>0</v>
      </c>
      <c r="AB114" s="1582">
        <f t="shared" si="61"/>
        <v>0</v>
      </c>
      <c r="AC114" s="1584">
        <f t="shared" si="62"/>
        <v>0</v>
      </c>
      <c r="AD114" s="1582">
        <f t="shared" si="63"/>
        <v>0</v>
      </c>
      <c r="AE114" s="1582">
        <f t="shared" si="64"/>
        <v>0</v>
      </c>
      <c r="AG114" s="1147"/>
      <c r="AH114" s="1151"/>
      <c r="AI114" s="1148"/>
      <c r="AJ114" s="1149"/>
      <c r="AK114" s="1149"/>
      <c r="AL114" s="1149"/>
      <c r="AM114" s="1149"/>
      <c r="AN114" s="1149"/>
      <c r="AO114" s="1149"/>
      <c r="AP114" s="1149"/>
      <c r="AQ114" s="1201"/>
      <c r="AR114" s="1149"/>
      <c r="AS114" s="1152"/>
      <c r="AT114" s="1153"/>
      <c r="AU114" s="1152"/>
      <c r="AV114" s="1152"/>
      <c r="AX114" s="1147"/>
      <c r="AY114" s="1151"/>
      <c r="AZ114" s="1148"/>
      <c r="BA114" s="1152"/>
      <c r="BB114" s="1152"/>
      <c r="BC114" s="1152"/>
      <c r="BD114" s="1152"/>
      <c r="BE114" s="1152"/>
      <c r="BF114" s="1152"/>
      <c r="BG114" s="1152"/>
      <c r="BH114" s="1202"/>
      <c r="BI114" s="1152"/>
      <c r="BJ114" s="1152"/>
      <c r="BK114" s="1153"/>
      <c r="BL114" s="1152"/>
      <c r="BM114" s="1152"/>
      <c r="BO114" s="1147"/>
      <c r="BP114" s="1151"/>
      <c r="BQ114" s="1148"/>
      <c r="BR114" s="1152"/>
      <c r="BS114" s="1152"/>
      <c r="BT114" s="1152"/>
      <c r="BU114" s="1152"/>
      <c r="BV114" s="1152"/>
      <c r="BW114" s="1152"/>
      <c r="BX114" s="1152"/>
      <c r="BY114" s="1202"/>
      <c r="BZ114" s="1152"/>
      <c r="CA114" s="1152"/>
      <c r="CB114" s="1153"/>
      <c r="CC114" s="1152"/>
      <c r="CD114" s="1152"/>
      <c r="CE114" s="1381"/>
      <c r="CG114" s="1147"/>
      <c r="CH114" s="1151"/>
      <c r="CI114" s="1148"/>
      <c r="CJ114" s="1528"/>
      <c r="CK114" s="1528"/>
      <c r="CL114" s="1528"/>
      <c r="CM114" s="1528"/>
      <c r="CN114" s="1528"/>
      <c r="CO114" s="1528"/>
      <c r="CP114" s="1528"/>
      <c r="CQ114" s="1545"/>
      <c r="CR114" s="1528"/>
      <c r="CS114" s="1528"/>
      <c r="CT114" s="1530"/>
      <c r="CU114" s="1528"/>
      <c r="CV114" s="1528"/>
      <c r="CX114" s="1147">
        <v>1</v>
      </c>
      <c r="CY114" s="1151" t="s">
        <v>114</v>
      </c>
      <c r="CZ114" s="1650" t="s">
        <v>2772</v>
      </c>
      <c r="DA114" s="1649">
        <v>1</v>
      </c>
      <c r="DB114" s="1518"/>
      <c r="DC114" s="1518"/>
      <c r="DD114" s="1518"/>
      <c r="DE114" s="1518"/>
      <c r="DF114" s="1518"/>
      <c r="DG114" s="1518"/>
      <c r="DH114" s="1632"/>
      <c r="DI114" s="1518"/>
      <c r="DJ114" s="1518"/>
      <c r="DK114" s="1519"/>
      <c r="DL114" s="1518"/>
      <c r="DM114" s="1518"/>
    </row>
    <row r="115" spans="2:117" hidden="1">
      <c r="B115" s="1136">
        <v>1.1000000000000001</v>
      </c>
      <c r="C115" s="1158">
        <f t="shared" si="67"/>
        <v>0</v>
      </c>
      <c r="D115" s="1156">
        <f>IF(I$114=0,0,G115/I$114)</f>
        <v>0</v>
      </c>
      <c r="E115" s="1156">
        <f>IF(J$114=0,0,H115/J$114)</f>
        <v>0</v>
      </c>
      <c r="G115" s="1156">
        <f>K115*M115</f>
        <v>0</v>
      </c>
      <c r="H115" s="1156">
        <f>L115*N115</f>
        <v>0</v>
      </c>
      <c r="I115" s="483"/>
      <c r="J115" s="1156"/>
      <c r="K115" s="1156">
        <f>IF(スコア!Q115=0,0,1)</f>
        <v>1</v>
      </c>
      <c r="L115" s="1156">
        <f>IF(スコア!S115=0,0,1)</f>
        <v>0</v>
      </c>
      <c r="M115" s="1156">
        <f>SUMPRODUCT($S$7:$AB$7,S115:AB115)</f>
        <v>0</v>
      </c>
      <c r="N115" s="1156">
        <f>(AC$7*AC115)+(AD$7*AD115)+(AE$7*AE115)</f>
        <v>0</v>
      </c>
      <c r="P115" s="1147">
        <f t="shared" si="68"/>
        <v>0</v>
      </c>
      <c r="Q115" s="1147">
        <f t="shared" si="69"/>
        <v>0</v>
      </c>
      <c r="R115" s="1148">
        <f t="shared" si="70"/>
        <v>0</v>
      </c>
      <c r="S115" s="1582">
        <f t="shared" si="52"/>
        <v>0</v>
      </c>
      <c r="T115" s="1582">
        <f t="shared" si="53"/>
        <v>0</v>
      </c>
      <c r="U115" s="1582">
        <f t="shared" si="54"/>
        <v>0</v>
      </c>
      <c r="V115" s="1582">
        <f t="shared" si="55"/>
        <v>0</v>
      </c>
      <c r="W115" s="1582">
        <f t="shared" si="56"/>
        <v>0</v>
      </c>
      <c r="X115" s="1582">
        <f t="shared" si="57"/>
        <v>0</v>
      </c>
      <c r="Y115" s="1582">
        <f t="shared" si="58"/>
        <v>0</v>
      </c>
      <c r="Z115" s="1596">
        <f t="shared" si="59"/>
        <v>0</v>
      </c>
      <c r="AA115" s="1582">
        <f t="shared" si="60"/>
        <v>0</v>
      </c>
      <c r="AB115" s="1582">
        <f t="shared" si="61"/>
        <v>0</v>
      </c>
      <c r="AC115" s="1584">
        <f t="shared" si="62"/>
        <v>0</v>
      </c>
      <c r="AD115" s="1582">
        <f t="shared" si="63"/>
        <v>0</v>
      </c>
      <c r="AE115" s="1582">
        <f t="shared" si="64"/>
        <v>0</v>
      </c>
      <c r="AG115" s="1147"/>
      <c r="AH115" s="1151"/>
      <c r="AI115" s="1148"/>
      <c r="AJ115" s="1149"/>
      <c r="AK115" s="1149"/>
      <c r="AL115" s="1149"/>
      <c r="AM115" s="1149"/>
      <c r="AN115" s="1149"/>
      <c r="AO115" s="1149"/>
      <c r="AP115" s="1149"/>
      <c r="AQ115" s="1201"/>
      <c r="AR115" s="1149"/>
      <c r="AS115" s="1152"/>
      <c r="AT115" s="1153"/>
      <c r="AU115" s="1152"/>
      <c r="AV115" s="1152"/>
      <c r="AX115" s="1147"/>
      <c r="AY115" s="1151"/>
      <c r="AZ115" s="1148"/>
      <c r="BA115" s="1152"/>
      <c r="BB115" s="1152"/>
      <c r="BC115" s="1152"/>
      <c r="BD115" s="1152"/>
      <c r="BE115" s="1152"/>
      <c r="BF115" s="1152"/>
      <c r="BG115" s="1152"/>
      <c r="BH115" s="1202"/>
      <c r="BI115" s="1152"/>
      <c r="BJ115" s="1152"/>
      <c r="BK115" s="1153"/>
      <c r="BL115" s="1152"/>
      <c r="BM115" s="1152"/>
      <c r="BO115" s="1147"/>
      <c r="BP115" s="1151"/>
      <c r="BQ115" s="1148"/>
      <c r="BR115" s="1152"/>
      <c r="BS115" s="1152"/>
      <c r="BT115" s="1152"/>
      <c r="BU115" s="1152"/>
      <c r="BV115" s="1152"/>
      <c r="BW115" s="1152"/>
      <c r="BX115" s="1152"/>
      <c r="BY115" s="1202"/>
      <c r="BZ115" s="1152"/>
      <c r="CA115" s="1152"/>
      <c r="CB115" s="1153"/>
      <c r="CC115" s="1152"/>
      <c r="CD115" s="1152"/>
      <c r="CE115" s="1381"/>
      <c r="CG115" s="1147"/>
      <c r="CH115" s="1151"/>
      <c r="CI115" s="1148"/>
      <c r="CJ115" s="1528"/>
      <c r="CK115" s="1528"/>
      <c r="CL115" s="1528"/>
      <c r="CM115" s="1528"/>
      <c r="CN115" s="1528"/>
      <c r="CO115" s="1528"/>
      <c r="CP115" s="1528"/>
      <c r="CQ115" s="1545"/>
      <c r="CR115" s="1528"/>
      <c r="CS115" s="1528"/>
      <c r="CT115" s="1530"/>
      <c r="CU115" s="1528"/>
      <c r="CV115" s="1528"/>
      <c r="CX115" s="1157" t="s">
        <v>1153</v>
      </c>
      <c r="CY115" s="1161" t="s">
        <v>116</v>
      </c>
      <c r="CZ115" s="1651" t="s">
        <v>2764</v>
      </c>
      <c r="DA115" s="1649">
        <v>1</v>
      </c>
      <c r="DB115" s="1518"/>
      <c r="DC115" s="1518"/>
      <c r="DD115" s="1518"/>
      <c r="DE115" s="1518"/>
      <c r="DF115" s="1518"/>
      <c r="DG115" s="1518"/>
      <c r="DH115" s="1632"/>
      <c r="DI115" s="1518"/>
      <c r="DJ115" s="1518"/>
      <c r="DK115" s="1519"/>
      <c r="DL115" s="1518"/>
      <c r="DM115" s="1518"/>
    </row>
    <row r="116" spans="2:117">
      <c r="B116" s="1136">
        <f t="shared" si="99"/>
        <v>2</v>
      </c>
      <c r="C116" s="1148" t="str">
        <f t="shared" si="67"/>
        <v>まちなみ・景観への配慮</v>
      </c>
      <c r="D116" s="1144">
        <f t="shared" si="100"/>
        <v>0.4</v>
      </c>
      <c r="E116" s="1145">
        <f t="shared" si="100"/>
        <v>0</v>
      </c>
      <c r="G116" s="1145">
        <f t="shared" si="96"/>
        <v>0.4</v>
      </c>
      <c r="H116" s="1145">
        <f t="shared" si="97"/>
        <v>0</v>
      </c>
      <c r="I116" s="1145"/>
      <c r="J116" s="1145"/>
      <c r="K116" s="1145">
        <f>IF(スコア!Q116=0,0,1)</f>
        <v>1</v>
      </c>
      <c r="L116" s="1145">
        <f>IF(スコア!S116=0,0,1)</f>
        <v>0</v>
      </c>
      <c r="M116" s="1145">
        <f t="shared" si="98"/>
        <v>0.4</v>
      </c>
      <c r="N116" s="1145">
        <f t="shared" si="94"/>
        <v>0</v>
      </c>
      <c r="P116" s="1147">
        <f t="shared" si="68"/>
        <v>2</v>
      </c>
      <c r="Q116" s="1147" t="str">
        <f t="shared" si="69"/>
        <v xml:space="preserve"> Q3</v>
      </c>
      <c r="R116" s="1148" t="str">
        <f t="shared" si="70"/>
        <v>まちなみ・景観への配慮</v>
      </c>
      <c r="S116" s="1582">
        <f t="shared" si="52"/>
        <v>0.4</v>
      </c>
      <c r="T116" s="1582">
        <f t="shared" si="53"/>
        <v>0.4</v>
      </c>
      <c r="U116" s="1582">
        <f t="shared" si="54"/>
        <v>0.4</v>
      </c>
      <c r="V116" s="1582">
        <f t="shared" si="55"/>
        <v>0.4</v>
      </c>
      <c r="W116" s="1582">
        <f t="shared" si="56"/>
        <v>0.4</v>
      </c>
      <c r="X116" s="1582">
        <f t="shared" si="57"/>
        <v>0.4</v>
      </c>
      <c r="Y116" s="1582">
        <f t="shared" si="58"/>
        <v>0.4</v>
      </c>
      <c r="Z116" s="1596">
        <f t="shared" si="59"/>
        <v>0.4</v>
      </c>
      <c r="AA116" s="1582">
        <f t="shared" si="60"/>
        <v>0.4</v>
      </c>
      <c r="AB116" s="1582">
        <f t="shared" si="61"/>
        <v>0.4</v>
      </c>
      <c r="AC116" s="1584">
        <f t="shared" si="62"/>
        <v>0</v>
      </c>
      <c r="AD116" s="1582">
        <f t="shared" si="63"/>
        <v>0</v>
      </c>
      <c r="AE116" s="1582">
        <f t="shared" si="64"/>
        <v>0</v>
      </c>
      <c r="AG116" s="1147">
        <v>2</v>
      </c>
      <c r="AH116" s="1151" t="s">
        <v>114</v>
      </c>
      <c r="AI116" s="1148" t="s">
        <v>1151</v>
      </c>
      <c r="AJ116" s="1149">
        <v>0.4</v>
      </c>
      <c r="AK116" s="1149">
        <v>0.4</v>
      </c>
      <c r="AL116" s="1149">
        <v>0.4</v>
      </c>
      <c r="AM116" s="1149">
        <v>0.4</v>
      </c>
      <c r="AN116" s="1149">
        <v>0.4</v>
      </c>
      <c r="AO116" s="1149">
        <v>0.4</v>
      </c>
      <c r="AP116" s="1149">
        <v>0.4</v>
      </c>
      <c r="AQ116" s="1201">
        <v>0.4</v>
      </c>
      <c r="AR116" s="1149">
        <v>0.4</v>
      </c>
      <c r="AS116" s="1152">
        <v>0.4</v>
      </c>
      <c r="AT116" s="1153">
        <v>0</v>
      </c>
      <c r="AU116" s="1152">
        <v>0</v>
      </c>
      <c r="AV116" s="1152">
        <v>0</v>
      </c>
      <c r="AX116" s="1147">
        <v>2</v>
      </c>
      <c r="AY116" s="1151" t="s">
        <v>114</v>
      </c>
      <c r="AZ116" s="1148" t="s">
        <v>1151</v>
      </c>
      <c r="BA116" s="1152">
        <v>0.4</v>
      </c>
      <c r="BB116" s="1152">
        <v>0.4</v>
      </c>
      <c r="BC116" s="1152">
        <v>0.4</v>
      </c>
      <c r="BD116" s="1152">
        <v>0.4</v>
      </c>
      <c r="BE116" s="1152">
        <v>0.4</v>
      </c>
      <c r="BF116" s="1152">
        <v>0.4</v>
      </c>
      <c r="BG116" s="1152">
        <v>0.4</v>
      </c>
      <c r="BH116" s="1202">
        <v>0.4</v>
      </c>
      <c r="BI116" s="1152">
        <v>0.4</v>
      </c>
      <c r="BJ116" s="1152">
        <v>0.4</v>
      </c>
      <c r="BK116" s="1153"/>
      <c r="BL116" s="1152"/>
      <c r="BM116" s="1152"/>
      <c r="BO116" s="1147">
        <v>2</v>
      </c>
      <c r="BP116" s="1151" t="s">
        <v>114</v>
      </c>
      <c r="BQ116" s="1148" t="s">
        <v>1151</v>
      </c>
      <c r="BR116" s="1152">
        <v>0.4</v>
      </c>
      <c r="BS116" s="1152">
        <v>0.4</v>
      </c>
      <c r="BT116" s="1152">
        <v>0.4</v>
      </c>
      <c r="BU116" s="1152">
        <v>0.4</v>
      </c>
      <c r="BV116" s="1152">
        <v>0.4</v>
      </c>
      <c r="BW116" s="1152">
        <v>0.4</v>
      </c>
      <c r="BX116" s="1152">
        <v>0.4</v>
      </c>
      <c r="BY116" s="1202">
        <v>0.4</v>
      </c>
      <c r="BZ116" s="1152">
        <v>0.4</v>
      </c>
      <c r="CA116" s="1152">
        <v>0.4</v>
      </c>
      <c r="CB116" s="1153"/>
      <c r="CC116" s="1152"/>
      <c r="CD116" s="1152"/>
      <c r="CE116" s="1381"/>
      <c r="CG116" s="1147">
        <v>2</v>
      </c>
      <c r="CH116" s="1151" t="s">
        <v>114</v>
      </c>
      <c r="CI116" s="1148" t="s">
        <v>1151</v>
      </c>
      <c r="CJ116" s="1528">
        <f t="shared" si="88"/>
        <v>0.4</v>
      </c>
      <c r="CK116" s="1528">
        <f t="shared" si="76"/>
        <v>0.4</v>
      </c>
      <c r="CL116" s="1528">
        <f t="shared" si="77"/>
        <v>0.4</v>
      </c>
      <c r="CM116" s="1528">
        <f t="shared" si="78"/>
        <v>0.4</v>
      </c>
      <c r="CN116" s="1528">
        <f t="shared" si="79"/>
        <v>0.4</v>
      </c>
      <c r="CO116" s="1528">
        <f t="shared" si="80"/>
        <v>0.4</v>
      </c>
      <c r="CP116" s="1528">
        <f t="shared" si="81"/>
        <v>0.4</v>
      </c>
      <c r="CQ116" s="1545">
        <f t="shared" si="82"/>
        <v>0.4</v>
      </c>
      <c r="CR116" s="1528">
        <f t="shared" si="83"/>
        <v>0.4</v>
      </c>
      <c r="CS116" s="1528">
        <f t="shared" si="84"/>
        <v>0.4</v>
      </c>
      <c r="CT116" s="1530">
        <f t="shared" si="85"/>
        <v>0</v>
      </c>
      <c r="CU116" s="1528">
        <f t="shared" si="86"/>
        <v>0</v>
      </c>
      <c r="CV116" s="1528">
        <f t="shared" si="87"/>
        <v>0</v>
      </c>
      <c r="CX116" s="1147">
        <v>2</v>
      </c>
      <c r="CY116" s="1151" t="s">
        <v>114</v>
      </c>
      <c r="CZ116" s="1148" t="s">
        <v>1151</v>
      </c>
      <c r="DA116" s="1649">
        <v>0</v>
      </c>
      <c r="DB116" s="1518"/>
      <c r="DC116" s="1518"/>
      <c r="DD116" s="1518"/>
      <c r="DE116" s="1518"/>
      <c r="DF116" s="1518"/>
      <c r="DG116" s="1518"/>
      <c r="DH116" s="1632"/>
      <c r="DI116" s="1518"/>
      <c r="DJ116" s="1518"/>
      <c r="DK116" s="1519"/>
      <c r="DL116" s="1518"/>
      <c r="DM116" s="1518"/>
    </row>
    <row r="117" spans="2:117">
      <c r="B117" s="1136">
        <f t="shared" si="99"/>
        <v>3</v>
      </c>
      <c r="C117" s="1148" t="str">
        <f t="shared" si="67"/>
        <v>地域性・アメニティへの配慮</v>
      </c>
      <c r="D117" s="1144">
        <f t="shared" si="100"/>
        <v>0.3</v>
      </c>
      <c r="E117" s="1145">
        <f t="shared" si="100"/>
        <v>0</v>
      </c>
      <c r="G117" s="1145">
        <f t="shared" si="96"/>
        <v>0.3</v>
      </c>
      <c r="H117" s="1145">
        <f t="shared" si="97"/>
        <v>0</v>
      </c>
      <c r="I117" s="1204">
        <f>SUM(G118:G119)</f>
        <v>1</v>
      </c>
      <c r="J117" s="1204">
        <f>SUM(H118:H119)</f>
        <v>0</v>
      </c>
      <c r="K117" s="1145">
        <f>IF(スコア!Q117=0,0,1)</f>
        <v>1</v>
      </c>
      <c r="L117" s="1145">
        <f>IF(スコア!S117=0,0,1)</f>
        <v>0</v>
      </c>
      <c r="M117" s="1145">
        <f t="shared" si="98"/>
        <v>0.3</v>
      </c>
      <c r="N117" s="1145">
        <f t="shared" si="94"/>
        <v>0</v>
      </c>
      <c r="P117" s="1147">
        <f t="shared" si="68"/>
        <v>3</v>
      </c>
      <c r="Q117" s="1147" t="str">
        <f t="shared" si="69"/>
        <v xml:space="preserve"> Q3</v>
      </c>
      <c r="R117" s="1148" t="str">
        <f t="shared" si="70"/>
        <v>地域性・アメニティへの配慮</v>
      </c>
      <c r="S117" s="1582">
        <f t="shared" si="52"/>
        <v>0.3</v>
      </c>
      <c r="T117" s="1582">
        <f t="shared" si="53"/>
        <v>0.3</v>
      </c>
      <c r="U117" s="1582">
        <f t="shared" si="54"/>
        <v>0.3</v>
      </c>
      <c r="V117" s="1582">
        <f t="shared" si="55"/>
        <v>0.3</v>
      </c>
      <c r="W117" s="1582">
        <f t="shared" si="56"/>
        <v>0.3</v>
      </c>
      <c r="X117" s="1582">
        <f t="shared" si="57"/>
        <v>0.3</v>
      </c>
      <c r="Y117" s="1582">
        <f t="shared" si="58"/>
        <v>0.3</v>
      </c>
      <c r="Z117" s="1596">
        <f t="shared" si="59"/>
        <v>0.3</v>
      </c>
      <c r="AA117" s="1582">
        <f t="shared" si="60"/>
        <v>0.3</v>
      </c>
      <c r="AB117" s="1582">
        <f t="shared" si="61"/>
        <v>0.3</v>
      </c>
      <c r="AC117" s="1584">
        <f t="shared" si="62"/>
        <v>0</v>
      </c>
      <c r="AD117" s="1582">
        <f t="shared" si="63"/>
        <v>0</v>
      </c>
      <c r="AE117" s="1582">
        <f t="shared" si="64"/>
        <v>0</v>
      </c>
      <c r="AG117" s="1147">
        <v>3</v>
      </c>
      <c r="AH117" s="1151" t="s">
        <v>114</v>
      </c>
      <c r="AI117" s="1148" t="s">
        <v>1152</v>
      </c>
      <c r="AJ117" s="1149">
        <v>0.3</v>
      </c>
      <c r="AK117" s="1149">
        <v>0.3</v>
      </c>
      <c r="AL117" s="1149">
        <v>0.3</v>
      </c>
      <c r="AM117" s="1149">
        <v>0.3</v>
      </c>
      <c r="AN117" s="1149">
        <v>0.3</v>
      </c>
      <c r="AO117" s="1149">
        <v>0.3</v>
      </c>
      <c r="AP117" s="1149">
        <v>0.3</v>
      </c>
      <c r="AQ117" s="1201">
        <v>0.3</v>
      </c>
      <c r="AR117" s="1149">
        <v>0.3</v>
      </c>
      <c r="AS117" s="1152">
        <v>0.3</v>
      </c>
      <c r="AT117" s="1153">
        <v>0</v>
      </c>
      <c r="AU117" s="1152">
        <v>0</v>
      </c>
      <c r="AV117" s="1152">
        <v>0</v>
      </c>
      <c r="AX117" s="1147">
        <v>3</v>
      </c>
      <c r="AY117" s="1151" t="s">
        <v>114</v>
      </c>
      <c r="AZ117" s="1148" t="s">
        <v>1152</v>
      </c>
      <c r="BA117" s="1152">
        <v>0.3</v>
      </c>
      <c r="BB117" s="1152">
        <v>0.3</v>
      </c>
      <c r="BC117" s="1152">
        <v>0.3</v>
      </c>
      <c r="BD117" s="1152">
        <v>0.3</v>
      </c>
      <c r="BE117" s="1152">
        <v>0.3</v>
      </c>
      <c r="BF117" s="1152">
        <v>0.3</v>
      </c>
      <c r="BG117" s="1152">
        <v>0.3</v>
      </c>
      <c r="BH117" s="1202">
        <v>0.3</v>
      </c>
      <c r="BI117" s="1152">
        <v>0.3</v>
      </c>
      <c r="BJ117" s="1152">
        <v>0.3</v>
      </c>
      <c r="BK117" s="1153"/>
      <c r="BL117" s="1152"/>
      <c r="BM117" s="1152"/>
      <c r="BO117" s="1147">
        <v>3</v>
      </c>
      <c r="BP117" s="1151" t="s">
        <v>114</v>
      </c>
      <c r="BQ117" s="1148" t="s">
        <v>1152</v>
      </c>
      <c r="BR117" s="1152">
        <v>0.3</v>
      </c>
      <c r="BS117" s="1152">
        <v>0.3</v>
      </c>
      <c r="BT117" s="1152">
        <v>0.3</v>
      </c>
      <c r="BU117" s="1152">
        <v>0.3</v>
      </c>
      <c r="BV117" s="1152">
        <v>0.3</v>
      </c>
      <c r="BW117" s="1152">
        <v>0.3</v>
      </c>
      <c r="BX117" s="1152">
        <v>0.3</v>
      </c>
      <c r="BY117" s="1202">
        <v>0.3</v>
      </c>
      <c r="BZ117" s="1152">
        <v>0.3</v>
      </c>
      <c r="CA117" s="1152">
        <v>0.3</v>
      </c>
      <c r="CB117" s="1153"/>
      <c r="CC117" s="1152"/>
      <c r="CD117" s="1152"/>
      <c r="CE117" s="1381"/>
      <c r="CG117" s="1147">
        <v>3</v>
      </c>
      <c r="CH117" s="1151" t="s">
        <v>114</v>
      </c>
      <c r="CI117" s="1148" t="s">
        <v>1152</v>
      </c>
      <c r="CJ117" s="1528">
        <f t="shared" si="88"/>
        <v>0.3</v>
      </c>
      <c r="CK117" s="1528">
        <f t="shared" si="76"/>
        <v>0.3</v>
      </c>
      <c r="CL117" s="1528">
        <f t="shared" si="77"/>
        <v>0.3</v>
      </c>
      <c r="CM117" s="1528">
        <f t="shared" si="78"/>
        <v>0.3</v>
      </c>
      <c r="CN117" s="1528">
        <f t="shared" si="79"/>
        <v>0.3</v>
      </c>
      <c r="CO117" s="1528">
        <f t="shared" si="80"/>
        <v>0.3</v>
      </c>
      <c r="CP117" s="1528">
        <f t="shared" si="81"/>
        <v>0.3</v>
      </c>
      <c r="CQ117" s="1545">
        <f t="shared" si="82"/>
        <v>0.3</v>
      </c>
      <c r="CR117" s="1528">
        <f t="shared" si="83"/>
        <v>0.3</v>
      </c>
      <c r="CS117" s="1528">
        <f t="shared" si="84"/>
        <v>0.3</v>
      </c>
      <c r="CT117" s="1530">
        <f t="shared" si="85"/>
        <v>0</v>
      </c>
      <c r="CU117" s="1528">
        <f t="shared" si="86"/>
        <v>0</v>
      </c>
      <c r="CV117" s="1528">
        <f t="shared" si="87"/>
        <v>0</v>
      </c>
      <c r="CX117" s="1147">
        <v>3</v>
      </c>
      <c r="CY117" s="1151" t="s">
        <v>114</v>
      </c>
      <c r="CZ117" s="1148" t="s">
        <v>1152</v>
      </c>
      <c r="DA117" s="1649">
        <v>0</v>
      </c>
      <c r="DB117" s="1518"/>
      <c r="DC117" s="1518"/>
      <c r="DD117" s="1518"/>
      <c r="DE117" s="1518"/>
      <c r="DF117" s="1518"/>
      <c r="DG117" s="1518"/>
      <c r="DH117" s="1632"/>
      <c r="DI117" s="1518"/>
      <c r="DJ117" s="1518"/>
      <c r="DK117" s="1519"/>
      <c r="DL117" s="1518"/>
      <c r="DM117" s="1518"/>
    </row>
    <row r="118" spans="2:117">
      <c r="B118" s="1136" t="str">
        <f t="shared" si="99"/>
        <v>3.1</v>
      </c>
      <c r="C118" s="1158" t="str">
        <f t="shared" si="67"/>
        <v>地域性への配慮、快適性の向上</v>
      </c>
      <c r="D118" s="1155">
        <f>IF(I$117=0,0,G118/I$117)</f>
        <v>0.5</v>
      </c>
      <c r="E118" s="1156">
        <f>IF(J$117=0,0,H118/J$117)</f>
        <v>0</v>
      </c>
      <c r="G118" s="1156">
        <f>K118*M118</f>
        <v>0.5</v>
      </c>
      <c r="H118" s="1156">
        <f t="shared" si="97"/>
        <v>0</v>
      </c>
      <c r="I118" s="483"/>
      <c r="J118" s="1156"/>
      <c r="K118" s="1156">
        <f>IF(スコア!Q118=0,0,1)</f>
        <v>1</v>
      </c>
      <c r="L118" s="1156">
        <f>IF(スコア!S118=0,0,1)</f>
        <v>0</v>
      </c>
      <c r="M118" s="1156">
        <f t="shared" si="98"/>
        <v>0.5</v>
      </c>
      <c r="N118" s="1156">
        <f t="shared" si="94"/>
        <v>0</v>
      </c>
      <c r="P118" s="1157" t="str">
        <f t="shared" si="68"/>
        <v>3.1</v>
      </c>
      <c r="Q118" s="1157" t="str">
        <f t="shared" si="69"/>
        <v xml:space="preserve"> Q3 3</v>
      </c>
      <c r="R118" s="1158" t="str">
        <f t="shared" si="70"/>
        <v>地域性への配慮、快適性の向上</v>
      </c>
      <c r="S118" s="1597">
        <f t="shared" si="52"/>
        <v>0.5</v>
      </c>
      <c r="T118" s="1597">
        <f t="shared" si="53"/>
        <v>0.5</v>
      </c>
      <c r="U118" s="1597">
        <f t="shared" si="54"/>
        <v>0.5</v>
      </c>
      <c r="V118" s="1597">
        <f t="shared" si="55"/>
        <v>0.5</v>
      </c>
      <c r="W118" s="1597">
        <f t="shared" si="56"/>
        <v>0.5</v>
      </c>
      <c r="X118" s="1597">
        <f t="shared" si="57"/>
        <v>0.5</v>
      </c>
      <c r="Y118" s="1597">
        <f t="shared" si="58"/>
        <v>0.5</v>
      </c>
      <c r="Z118" s="1597">
        <f t="shared" si="59"/>
        <v>0.5</v>
      </c>
      <c r="AA118" s="1597">
        <f t="shared" si="60"/>
        <v>0.5</v>
      </c>
      <c r="AB118" s="1597">
        <f t="shared" si="61"/>
        <v>0.5</v>
      </c>
      <c r="AC118" s="1598">
        <f t="shared" si="62"/>
        <v>0</v>
      </c>
      <c r="AD118" s="1597">
        <f t="shared" si="63"/>
        <v>0</v>
      </c>
      <c r="AE118" s="1597">
        <f t="shared" si="64"/>
        <v>0</v>
      </c>
      <c r="AG118" s="1157" t="s">
        <v>1153</v>
      </c>
      <c r="AH118" s="1161" t="s">
        <v>116</v>
      </c>
      <c r="AI118" s="1205" t="s">
        <v>1154</v>
      </c>
      <c r="AJ118" s="1206">
        <v>0.5</v>
      </c>
      <c r="AK118" s="1206">
        <v>0.5</v>
      </c>
      <c r="AL118" s="1206">
        <v>0.5</v>
      </c>
      <c r="AM118" s="1206">
        <v>0.5</v>
      </c>
      <c r="AN118" s="1206">
        <v>0.5</v>
      </c>
      <c r="AO118" s="1206">
        <v>0.5</v>
      </c>
      <c r="AP118" s="1206">
        <v>0.5</v>
      </c>
      <c r="AQ118" s="1206">
        <v>0.5</v>
      </c>
      <c r="AR118" s="1206">
        <v>0.5</v>
      </c>
      <c r="AS118" s="1207">
        <v>0.5</v>
      </c>
      <c r="AT118" s="1208">
        <v>0</v>
      </c>
      <c r="AU118" s="1207">
        <v>0</v>
      </c>
      <c r="AV118" s="1207">
        <v>0</v>
      </c>
      <c r="AX118" s="1157" t="s">
        <v>1153</v>
      </c>
      <c r="AY118" s="1161" t="s">
        <v>116</v>
      </c>
      <c r="AZ118" s="1205" t="s">
        <v>1154</v>
      </c>
      <c r="BA118" s="1207">
        <v>0.5</v>
      </c>
      <c r="BB118" s="1207">
        <v>0.5</v>
      </c>
      <c r="BC118" s="1207">
        <v>0.5</v>
      </c>
      <c r="BD118" s="1207">
        <v>0.5</v>
      </c>
      <c r="BE118" s="1207">
        <v>0.5</v>
      </c>
      <c r="BF118" s="1207">
        <v>0.5</v>
      </c>
      <c r="BG118" s="1207">
        <v>0.5</v>
      </c>
      <c r="BH118" s="1207">
        <v>0.5</v>
      </c>
      <c r="BI118" s="1207">
        <v>0.5</v>
      </c>
      <c r="BJ118" s="1207">
        <v>0.5</v>
      </c>
      <c r="BK118" s="1208"/>
      <c r="BL118" s="1207"/>
      <c r="BM118" s="1207"/>
      <c r="BO118" s="1157" t="s">
        <v>1153</v>
      </c>
      <c r="BP118" s="1161" t="s">
        <v>116</v>
      </c>
      <c r="BQ118" s="1205" t="s">
        <v>1154</v>
      </c>
      <c r="BR118" s="1207">
        <v>0.5</v>
      </c>
      <c r="BS118" s="1207">
        <v>0.5</v>
      </c>
      <c r="BT118" s="1207">
        <v>0.5</v>
      </c>
      <c r="BU118" s="1207">
        <v>0.5</v>
      </c>
      <c r="BV118" s="1207">
        <v>0.5</v>
      </c>
      <c r="BW118" s="1207">
        <v>0.5</v>
      </c>
      <c r="BX118" s="1207">
        <v>0.5</v>
      </c>
      <c r="BY118" s="1207">
        <v>0.5</v>
      </c>
      <c r="BZ118" s="1207">
        <v>0.5</v>
      </c>
      <c r="CA118" s="1207">
        <v>0.5</v>
      </c>
      <c r="CB118" s="1208"/>
      <c r="CC118" s="1207"/>
      <c r="CD118" s="1207"/>
      <c r="CE118" s="1385"/>
      <c r="CG118" s="1157" t="s">
        <v>1153</v>
      </c>
      <c r="CH118" s="1161" t="s">
        <v>116</v>
      </c>
      <c r="CI118" s="1205" t="s">
        <v>1154</v>
      </c>
      <c r="CJ118" s="1546">
        <f t="shared" si="88"/>
        <v>0.5</v>
      </c>
      <c r="CK118" s="1546">
        <f t="shared" si="76"/>
        <v>0.5</v>
      </c>
      <c r="CL118" s="1546">
        <f t="shared" si="77"/>
        <v>0.5</v>
      </c>
      <c r="CM118" s="1546">
        <f t="shared" si="78"/>
        <v>0.5</v>
      </c>
      <c r="CN118" s="1546">
        <f t="shared" si="79"/>
        <v>0.5</v>
      </c>
      <c r="CO118" s="1546">
        <f t="shared" si="80"/>
        <v>0.5</v>
      </c>
      <c r="CP118" s="1546">
        <f t="shared" si="81"/>
        <v>0.5</v>
      </c>
      <c r="CQ118" s="1546">
        <f t="shared" si="82"/>
        <v>0.5</v>
      </c>
      <c r="CR118" s="1546">
        <f t="shared" si="83"/>
        <v>0.5</v>
      </c>
      <c r="CS118" s="1546">
        <f t="shared" si="84"/>
        <v>0.5</v>
      </c>
      <c r="CT118" s="1547">
        <f t="shared" si="85"/>
        <v>0</v>
      </c>
      <c r="CU118" s="1546">
        <f t="shared" si="86"/>
        <v>0</v>
      </c>
      <c r="CV118" s="1546">
        <f t="shared" si="87"/>
        <v>0</v>
      </c>
      <c r="CX118" s="1157" t="s">
        <v>1153</v>
      </c>
      <c r="CY118" s="1161" t="s">
        <v>116</v>
      </c>
      <c r="CZ118" s="1205" t="s">
        <v>1154</v>
      </c>
      <c r="DA118" s="1652">
        <v>0</v>
      </c>
      <c r="DB118" s="1523"/>
      <c r="DC118" s="1523"/>
      <c r="DD118" s="1523"/>
      <c r="DE118" s="1523"/>
      <c r="DF118" s="1523"/>
      <c r="DG118" s="1523"/>
      <c r="DH118" s="1523"/>
      <c r="DI118" s="1523"/>
      <c r="DJ118" s="1523"/>
      <c r="DK118" s="1633"/>
      <c r="DL118" s="1523"/>
      <c r="DM118" s="1523"/>
    </row>
    <row r="119" spans="2:117">
      <c r="B119" s="1136" t="str">
        <f t="shared" si="99"/>
        <v>3.2</v>
      </c>
      <c r="C119" s="1158" t="str">
        <f t="shared" si="67"/>
        <v>敷地内温熱環境の向上</v>
      </c>
      <c r="D119" s="1155">
        <f>IF(I$117=0,0,G119/I$117)</f>
        <v>0.5</v>
      </c>
      <c r="E119" s="1156">
        <f>IF(J$117=0,0,H119/J$117)</f>
        <v>0</v>
      </c>
      <c r="G119" s="1156">
        <f t="shared" si="96"/>
        <v>0.5</v>
      </c>
      <c r="H119" s="1156">
        <f t="shared" si="97"/>
        <v>0</v>
      </c>
      <c r="I119" s="483"/>
      <c r="J119" s="1156"/>
      <c r="K119" s="1156">
        <f>IF(スコア!Q119=0,0,1)</f>
        <v>1</v>
      </c>
      <c r="L119" s="1156">
        <f>IF(スコア!S119=0,0,1)</f>
        <v>0</v>
      </c>
      <c r="M119" s="1156">
        <f t="shared" si="98"/>
        <v>0.5</v>
      </c>
      <c r="N119" s="1156">
        <f t="shared" si="94"/>
        <v>0</v>
      </c>
      <c r="P119" s="1157" t="str">
        <f t="shared" si="68"/>
        <v>3.2</v>
      </c>
      <c r="Q119" s="1157" t="str">
        <f t="shared" si="69"/>
        <v xml:space="preserve"> Q3 3</v>
      </c>
      <c r="R119" s="1158" t="str">
        <f t="shared" si="70"/>
        <v>敷地内温熱環境の向上</v>
      </c>
      <c r="S119" s="1597">
        <f t="shared" si="52"/>
        <v>0.5</v>
      </c>
      <c r="T119" s="1597">
        <f t="shared" si="53"/>
        <v>0.5</v>
      </c>
      <c r="U119" s="1597">
        <f t="shared" si="54"/>
        <v>0.5</v>
      </c>
      <c r="V119" s="1597">
        <f t="shared" si="55"/>
        <v>0.5</v>
      </c>
      <c r="W119" s="1597">
        <f t="shared" si="56"/>
        <v>0.5</v>
      </c>
      <c r="X119" s="1597">
        <f t="shared" si="57"/>
        <v>0.5</v>
      </c>
      <c r="Y119" s="1597">
        <f t="shared" si="58"/>
        <v>0.5</v>
      </c>
      <c r="Z119" s="1597">
        <f t="shared" si="59"/>
        <v>0.5</v>
      </c>
      <c r="AA119" s="1597">
        <f t="shared" si="60"/>
        <v>0.5</v>
      </c>
      <c r="AB119" s="1597">
        <f t="shared" si="61"/>
        <v>0.5</v>
      </c>
      <c r="AC119" s="1598">
        <f t="shared" si="62"/>
        <v>0</v>
      </c>
      <c r="AD119" s="1597">
        <f t="shared" si="63"/>
        <v>0</v>
      </c>
      <c r="AE119" s="1597">
        <f t="shared" si="64"/>
        <v>0</v>
      </c>
      <c r="AG119" s="1157" t="s">
        <v>1155</v>
      </c>
      <c r="AH119" s="1161" t="s">
        <v>116</v>
      </c>
      <c r="AI119" s="1205" t="s">
        <v>1156</v>
      </c>
      <c r="AJ119" s="1206">
        <v>0.5</v>
      </c>
      <c r="AK119" s="1206">
        <v>0.5</v>
      </c>
      <c r="AL119" s="1206">
        <v>0.5</v>
      </c>
      <c r="AM119" s="1206">
        <v>0.5</v>
      </c>
      <c r="AN119" s="1206">
        <v>0.5</v>
      </c>
      <c r="AO119" s="1206">
        <v>0.5</v>
      </c>
      <c r="AP119" s="1206">
        <v>0.5</v>
      </c>
      <c r="AQ119" s="1206">
        <v>0.5</v>
      </c>
      <c r="AR119" s="1206">
        <v>0.5</v>
      </c>
      <c r="AS119" s="1207">
        <v>0.5</v>
      </c>
      <c r="AT119" s="1208">
        <v>0</v>
      </c>
      <c r="AU119" s="1207">
        <v>0</v>
      </c>
      <c r="AV119" s="1207">
        <v>0</v>
      </c>
      <c r="AX119" s="1157" t="s">
        <v>1155</v>
      </c>
      <c r="AY119" s="1161" t="s">
        <v>116</v>
      </c>
      <c r="AZ119" s="1205" t="s">
        <v>1156</v>
      </c>
      <c r="BA119" s="1207">
        <v>0.5</v>
      </c>
      <c r="BB119" s="1207">
        <v>0.5</v>
      </c>
      <c r="BC119" s="1207">
        <v>0.5</v>
      </c>
      <c r="BD119" s="1207">
        <v>0.5</v>
      </c>
      <c r="BE119" s="1207">
        <v>0.5</v>
      </c>
      <c r="BF119" s="1207">
        <v>0.5</v>
      </c>
      <c r="BG119" s="1207">
        <v>0.5</v>
      </c>
      <c r="BH119" s="1207">
        <v>0.5</v>
      </c>
      <c r="BI119" s="1207">
        <v>0.5</v>
      </c>
      <c r="BJ119" s="1207">
        <v>0.5</v>
      </c>
      <c r="BK119" s="1208"/>
      <c r="BL119" s="1207"/>
      <c r="BM119" s="1207"/>
      <c r="BO119" s="1157" t="s">
        <v>1155</v>
      </c>
      <c r="BP119" s="1161" t="s">
        <v>116</v>
      </c>
      <c r="BQ119" s="1205" t="s">
        <v>1156</v>
      </c>
      <c r="BR119" s="1207">
        <v>0.5</v>
      </c>
      <c r="BS119" s="1207">
        <v>0.5</v>
      </c>
      <c r="BT119" s="1207">
        <v>0.5</v>
      </c>
      <c r="BU119" s="1207">
        <v>0.5</v>
      </c>
      <c r="BV119" s="1207">
        <v>0.5</v>
      </c>
      <c r="BW119" s="1207">
        <v>0.5</v>
      </c>
      <c r="BX119" s="1207">
        <v>0.5</v>
      </c>
      <c r="BY119" s="1207">
        <v>0.5</v>
      </c>
      <c r="BZ119" s="1207">
        <v>0.5</v>
      </c>
      <c r="CA119" s="1207">
        <v>0.5</v>
      </c>
      <c r="CB119" s="1208"/>
      <c r="CC119" s="1207"/>
      <c r="CD119" s="1207"/>
      <c r="CE119" s="1385"/>
      <c r="CG119" s="1157" t="s">
        <v>1155</v>
      </c>
      <c r="CH119" s="1161" t="s">
        <v>116</v>
      </c>
      <c r="CI119" s="1205" t="s">
        <v>1156</v>
      </c>
      <c r="CJ119" s="1546">
        <f t="shared" si="88"/>
        <v>0.5</v>
      </c>
      <c r="CK119" s="1546">
        <f t="shared" si="76"/>
        <v>0.5</v>
      </c>
      <c r="CL119" s="1546">
        <f t="shared" si="77"/>
        <v>0.5</v>
      </c>
      <c r="CM119" s="1546">
        <f t="shared" si="78"/>
        <v>0.5</v>
      </c>
      <c r="CN119" s="1546">
        <f t="shared" si="79"/>
        <v>0.5</v>
      </c>
      <c r="CO119" s="1546">
        <f t="shared" si="80"/>
        <v>0.5</v>
      </c>
      <c r="CP119" s="1546">
        <f t="shared" si="81"/>
        <v>0.5</v>
      </c>
      <c r="CQ119" s="1546">
        <f t="shared" si="82"/>
        <v>0.5</v>
      </c>
      <c r="CR119" s="1546">
        <f t="shared" si="83"/>
        <v>0.5</v>
      </c>
      <c r="CS119" s="1546">
        <f t="shared" si="84"/>
        <v>0.5</v>
      </c>
      <c r="CT119" s="1547">
        <f t="shared" si="85"/>
        <v>0</v>
      </c>
      <c r="CU119" s="1546">
        <f t="shared" si="86"/>
        <v>0</v>
      </c>
      <c r="CV119" s="1546">
        <f t="shared" si="87"/>
        <v>0</v>
      </c>
      <c r="CX119" s="1157" t="s">
        <v>1155</v>
      </c>
      <c r="CY119" s="1161" t="s">
        <v>116</v>
      </c>
      <c r="CZ119" s="1205" t="s">
        <v>1156</v>
      </c>
      <c r="DA119" s="1652">
        <v>0</v>
      </c>
      <c r="DB119" s="1523"/>
      <c r="DC119" s="1523"/>
      <c r="DD119" s="1523"/>
      <c r="DE119" s="1523"/>
      <c r="DF119" s="1523"/>
      <c r="DG119" s="1523"/>
      <c r="DH119" s="1523"/>
      <c r="DI119" s="1523"/>
      <c r="DJ119" s="1523"/>
      <c r="DK119" s="1633"/>
      <c r="DL119" s="1523"/>
      <c r="DM119" s="1523"/>
    </row>
    <row r="120" spans="2:117" hidden="1">
      <c r="B120" s="1136">
        <f t="shared" si="99"/>
        <v>0</v>
      </c>
      <c r="C120" s="1148">
        <f t="shared" si="67"/>
        <v>0</v>
      </c>
      <c r="D120" s="1144"/>
      <c r="E120" s="1145"/>
      <c r="G120" s="1145">
        <f t="shared" si="96"/>
        <v>0</v>
      </c>
      <c r="H120" s="1145">
        <f t="shared" si="97"/>
        <v>0</v>
      </c>
      <c r="I120" s="1145"/>
      <c r="J120" s="1145"/>
      <c r="K120" s="1145"/>
      <c r="L120" s="1145"/>
      <c r="M120" s="1145">
        <f t="shared" si="98"/>
        <v>0</v>
      </c>
      <c r="N120" s="1145"/>
      <c r="P120" s="1147">
        <f t="shared" si="68"/>
        <v>0</v>
      </c>
      <c r="Q120" s="1147" t="str">
        <f t="shared" si="69"/>
        <v xml:space="preserve"> Q</v>
      </c>
      <c r="R120" s="1148">
        <f t="shared" si="70"/>
        <v>0</v>
      </c>
      <c r="S120" s="1582">
        <f t="shared" si="52"/>
        <v>0</v>
      </c>
      <c r="T120" s="1582">
        <f t="shared" si="53"/>
        <v>0</v>
      </c>
      <c r="U120" s="1582">
        <f t="shared" si="54"/>
        <v>0</v>
      </c>
      <c r="V120" s="1582">
        <f t="shared" si="55"/>
        <v>0</v>
      </c>
      <c r="W120" s="1582">
        <f t="shared" si="56"/>
        <v>0</v>
      </c>
      <c r="X120" s="1582">
        <f t="shared" si="57"/>
        <v>0</v>
      </c>
      <c r="Y120" s="1582">
        <f t="shared" si="58"/>
        <v>0</v>
      </c>
      <c r="Z120" s="1596">
        <f t="shared" si="59"/>
        <v>0</v>
      </c>
      <c r="AA120" s="1582">
        <f t="shared" si="60"/>
        <v>0</v>
      </c>
      <c r="AB120" s="1582">
        <f t="shared" si="61"/>
        <v>0</v>
      </c>
      <c r="AC120" s="1584">
        <f t="shared" si="62"/>
        <v>0</v>
      </c>
      <c r="AD120" s="1582">
        <f t="shared" si="63"/>
        <v>0</v>
      </c>
      <c r="AE120" s="1582">
        <f t="shared" si="64"/>
        <v>0</v>
      </c>
      <c r="AG120" s="1147"/>
      <c r="AH120" s="1151" t="s">
        <v>780</v>
      </c>
      <c r="AI120" s="1148"/>
      <c r="AJ120" s="1152">
        <v>0</v>
      </c>
      <c r="AK120" s="1152">
        <v>0</v>
      </c>
      <c r="AL120" s="1152">
        <v>0</v>
      </c>
      <c r="AM120" s="1152">
        <v>0</v>
      </c>
      <c r="AN120" s="1152">
        <v>0</v>
      </c>
      <c r="AO120" s="1152">
        <v>0</v>
      </c>
      <c r="AP120" s="1152">
        <v>0</v>
      </c>
      <c r="AQ120" s="1202">
        <v>0</v>
      </c>
      <c r="AR120" s="1152">
        <v>0</v>
      </c>
      <c r="AS120" s="1152">
        <v>0</v>
      </c>
      <c r="AT120" s="1153">
        <v>0</v>
      </c>
      <c r="AU120" s="1152">
        <v>0</v>
      </c>
      <c r="AV120" s="1152">
        <v>0</v>
      </c>
      <c r="AX120" s="1147"/>
      <c r="AY120" s="1151" t="s">
        <v>780</v>
      </c>
      <c r="AZ120" s="1148"/>
      <c r="BA120" s="1152"/>
      <c r="BB120" s="1152"/>
      <c r="BC120" s="1152"/>
      <c r="BD120" s="1152"/>
      <c r="BE120" s="1152"/>
      <c r="BF120" s="1152"/>
      <c r="BG120" s="1152"/>
      <c r="BH120" s="1202"/>
      <c r="BI120" s="1152"/>
      <c r="BJ120" s="1152"/>
      <c r="BK120" s="1153"/>
      <c r="BL120" s="1152"/>
      <c r="BM120" s="1152"/>
      <c r="BO120" s="1147"/>
      <c r="BP120" s="1151" t="s">
        <v>780</v>
      </c>
      <c r="BQ120" s="1148"/>
      <c r="BR120" s="1152"/>
      <c r="BS120" s="1152"/>
      <c r="BT120" s="1152"/>
      <c r="BU120" s="1152"/>
      <c r="BV120" s="1152"/>
      <c r="BW120" s="1152"/>
      <c r="BX120" s="1152"/>
      <c r="BY120" s="1202"/>
      <c r="BZ120" s="1152"/>
      <c r="CA120" s="1152"/>
      <c r="CB120" s="1153"/>
      <c r="CC120" s="1152"/>
      <c r="CD120" s="1152"/>
      <c r="CE120" s="1381"/>
      <c r="CG120" s="1147"/>
      <c r="CH120" s="1151" t="s">
        <v>780</v>
      </c>
      <c r="CI120" s="1148"/>
      <c r="CJ120" s="1528">
        <f t="shared" si="88"/>
        <v>0</v>
      </c>
      <c r="CK120" s="1528">
        <f t="shared" si="76"/>
        <v>0</v>
      </c>
      <c r="CL120" s="1528">
        <f t="shared" si="77"/>
        <v>0</v>
      </c>
      <c r="CM120" s="1528">
        <f t="shared" si="78"/>
        <v>0</v>
      </c>
      <c r="CN120" s="1528">
        <f t="shared" si="79"/>
        <v>0</v>
      </c>
      <c r="CO120" s="1528">
        <f t="shared" si="80"/>
        <v>0</v>
      </c>
      <c r="CP120" s="1528">
        <f t="shared" si="81"/>
        <v>0</v>
      </c>
      <c r="CQ120" s="1545">
        <f t="shared" si="82"/>
        <v>0</v>
      </c>
      <c r="CR120" s="1528">
        <f t="shared" si="83"/>
        <v>0</v>
      </c>
      <c r="CS120" s="1528">
        <f t="shared" si="84"/>
        <v>0</v>
      </c>
      <c r="CT120" s="1530">
        <f t="shared" si="85"/>
        <v>0</v>
      </c>
      <c r="CU120" s="1528">
        <f t="shared" si="86"/>
        <v>0</v>
      </c>
      <c r="CV120" s="1528">
        <f t="shared" si="87"/>
        <v>0</v>
      </c>
      <c r="CX120" s="1147"/>
      <c r="CY120" s="1151" t="s">
        <v>780</v>
      </c>
      <c r="CZ120" s="1148"/>
      <c r="DA120" s="1518">
        <f t="shared" si="89"/>
        <v>0</v>
      </c>
      <c r="DB120" s="1518"/>
      <c r="DC120" s="1518"/>
      <c r="DD120" s="1518"/>
      <c r="DE120" s="1518"/>
      <c r="DF120" s="1518"/>
      <c r="DG120" s="1518"/>
      <c r="DH120" s="1632"/>
      <c r="DI120" s="1518"/>
      <c r="DJ120" s="1518"/>
      <c r="DK120" s="1519"/>
      <c r="DL120" s="1518"/>
      <c r="DM120" s="1518"/>
    </row>
    <row r="121" spans="2:117" ht="14.25">
      <c r="B121" s="1209" t="str">
        <f t="shared" si="99"/>
        <v>LR</v>
      </c>
      <c r="C121" s="1128" t="str">
        <f t="shared" si="67"/>
        <v>建築物の環境負荷低減性</v>
      </c>
      <c r="D121" s="1129"/>
      <c r="E121" s="1130"/>
      <c r="G121" s="1130">
        <f t="shared" si="96"/>
        <v>0</v>
      </c>
      <c r="H121" s="1130">
        <f t="shared" si="97"/>
        <v>0</v>
      </c>
      <c r="I121" s="1130">
        <f>G122+G145+G172</f>
        <v>1</v>
      </c>
      <c r="J121" s="1130">
        <f>H122+H145+H172</f>
        <v>0</v>
      </c>
      <c r="K121" s="1130">
        <f>IF(スコア!U121=0,0,1)</f>
        <v>1</v>
      </c>
      <c r="L121" s="1130">
        <f>IF(スコア!S121=0,0,1)</f>
        <v>0</v>
      </c>
      <c r="M121" s="1130">
        <f t="shared" si="98"/>
        <v>0</v>
      </c>
      <c r="N121" s="1130">
        <f t="shared" ref="N121:N156" si="101">(AC$7*AC121)+(AD$7*AD121)+(AE$7*AE121)</f>
        <v>0</v>
      </c>
      <c r="P121" s="1127" t="str">
        <f t="shared" si="68"/>
        <v>LR</v>
      </c>
      <c r="Q121" s="1127" t="str">
        <f t="shared" si="69"/>
        <v xml:space="preserve"> </v>
      </c>
      <c r="R121" s="1210" t="str">
        <f t="shared" si="70"/>
        <v>建築物の環境負荷低減性</v>
      </c>
      <c r="S121" s="1132">
        <f t="shared" si="52"/>
        <v>0</v>
      </c>
      <c r="T121" s="1132">
        <f t="shared" si="53"/>
        <v>0</v>
      </c>
      <c r="U121" s="1132">
        <f t="shared" si="54"/>
        <v>0</v>
      </c>
      <c r="V121" s="1132">
        <f t="shared" si="55"/>
        <v>0</v>
      </c>
      <c r="W121" s="1132">
        <f t="shared" si="56"/>
        <v>0</v>
      </c>
      <c r="X121" s="1132">
        <f t="shared" si="57"/>
        <v>0</v>
      </c>
      <c r="Y121" s="1132">
        <f t="shared" si="58"/>
        <v>0</v>
      </c>
      <c r="Z121" s="1133">
        <f t="shared" si="59"/>
        <v>0</v>
      </c>
      <c r="AA121" s="1132">
        <f t="shared" si="60"/>
        <v>0</v>
      </c>
      <c r="AB121" s="1132">
        <f t="shared" si="61"/>
        <v>0</v>
      </c>
      <c r="AC121" s="1599">
        <f t="shared" si="62"/>
        <v>0</v>
      </c>
      <c r="AD121" s="1600">
        <f t="shared" si="63"/>
        <v>0</v>
      </c>
      <c r="AE121" s="1600">
        <f t="shared" si="64"/>
        <v>0</v>
      </c>
      <c r="AG121" s="1127" t="s">
        <v>1157</v>
      </c>
      <c r="AH121" s="1127" t="s">
        <v>117</v>
      </c>
      <c r="AI121" s="1128" t="s">
        <v>118</v>
      </c>
      <c r="AJ121" s="1132">
        <v>0</v>
      </c>
      <c r="AK121" s="1132">
        <v>0</v>
      </c>
      <c r="AL121" s="1132">
        <v>0</v>
      </c>
      <c r="AM121" s="1132">
        <v>0</v>
      </c>
      <c r="AN121" s="1132">
        <v>0</v>
      </c>
      <c r="AO121" s="1132">
        <v>0</v>
      </c>
      <c r="AP121" s="1132">
        <v>0</v>
      </c>
      <c r="AQ121" s="1133">
        <v>0</v>
      </c>
      <c r="AR121" s="1132">
        <v>0</v>
      </c>
      <c r="AS121" s="1132">
        <v>0</v>
      </c>
      <c r="AT121" s="1134">
        <v>0</v>
      </c>
      <c r="AU121" s="1135">
        <v>0</v>
      </c>
      <c r="AV121" s="1135">
        <v>0</v>
      </c>
      <c r="AX121" s="1127" t="s">
        <v>1158</v>
      </c>
      <c r="AY121" s="1127" t="s">
        <v>117</v>
      </c>
      <c r="AZ121" s="1128" t="s">
        <v>118</v>
      </c>
      <c r="BA121" s="1132"/>
      <c r="BB121" s="1132"/>
      <c r="BC121" s="1132"/>
      <c r="BD121" s="1132"/>
      <c r="BE121" s="1132"/>
      <c r="BF121" s="1132"/>
      <c r="BG121" s="1132"/>
      <c r="BH121" s="1133"/>
      <c r="BI121" s="1132"/>
      <c r="BJ121" s="1132"/>
      <c r="BK121" s="1134"/>
      <c r="BL121" s="1135"/>
      <c r="BM121" s="1135"/>
      <c r="BO121" s="1127" t="s">
        <v>1158</v>
      </c>
      <c r="BP121" s="1127" t="s">
        <v>117</v>
      </c>
      <c r="BQ121" s="1128" t="s">
        <v>118</v>
      </c>
      <c r="BR121" s="1132"/>
      <c r="BS121" s="1132"/>
      <c r="BT121" s="1132"/>
      <c r="BU121" s="1132"/>
      <c r="BV121" s="1132"/>
      <c r="BW121" s="1132"/>
      <c r="BX121" s="1132"/>
      <c r="BY121" s="1133"/>
      <c r="BZ121" s="1132"/>
      <c r="CA121" s="1132"/>
      <c r="CB121" s="1134"/>
      <c r="CC121" s="1135"/>
      <c r="CD121" s="1135"/>
      <c r="CE121" s="1379"/>
      <c r="CG121" s="1127" t="s">
        <v>1157</v>
      </c>
      <c r="CH121" s="1127" t="s">
        <v>117</v>
      </c>
      <c r="CI121" s="1128" t="s">
        <v>118</v>
      </c>
      <c r="CJ121" s="1548">
        <f t="shared" si="88"/>
        <v>0</v>
      </c>
      <c r="CK121" s="1548">
        <f t="shared" si="76"/>
        <v>0</v>
      </c>
      <c r="CL121" s="1548">
        <f t="shared" si="77"/>
        <v>0</v>
      </c>
      <c r="CM121" s="1548">
        <f t="shared" si="78"/>
        <v>0</v>
      </c>
      <c r="CN121" s="1548">
        <f t="shared" si="79"/>
        <v>0</v>
      </c>
      <c r="CO121" s="1548">
        <f t="shared" si="80"/>
        <v>0</v>
      </c>
      <c r="CP121" s="1548">
        <f t="shared" si="81"/>
        <v>0</v>
      </c>
      <c r="CQ121" s="1549">
        <f t="shared" si="82"/>
        <v>0</v>
      </c>
      <c r="CR121" s="1548">
        <f t="shared" si="83"/>
        <v>0</v>
      </c>
      <c r="CS121" s="1548">
        <f t="shared" si="84"/>
        <v>0</v>
      </c>
      <c r="CT121" s="1550">
        <f t="shared" si="85"/>
        <v>0</v>
      </c>
      <c r="CU121" s="1551">
        <f t="shared" si="86"/>
        <v>0</v>
      </c>
      <c r="CV121" s="1551">
        <f t="shared" si="87"/>
        <v>0</v>
      </c>
      <c r="CX121" s="1127" t="s">
        <v>1157</v>
      </c>
      <c r="CY121" s="1127" t="s">
        <v>117</v>
      </c>
      <c r="CZ121" s="1128" t="s">
        <v>118</v>
      </c>
      <c r="DA121" s="1634">
        <f t="shared" si="89"/>
        <v>0</v>
      </c>
      <c r="DB121" s="1634"/>
      <c r="DC121" s="1634"/>
      <c r="DD121" s="1634"/>
      <c r="DE121" s="1634"/>
      <c r="DF121" s="1634"/>
      <c r="DG121" s="1634"/>
      <c r="DH121" s="1635"/>
      <c r="DI121" s="1634"/>
      <c r="DJ121" s="1634"/>
      <c r="DK121" s="1636"/>
      <c r="DL121" s="1637"/>
      <c r="DM121" s="1637"/>
    </row>
    <row r="122" spans="2:117">
      <c r="B122" s="1136" t="str">
        <f t="shared" si="99"/>
        <v>LR1</v>
      </c>
      <c r="C122" s="1139" t="str">
        <f t="shared" si="67"/>
        <v>エネルギー</v>
      </c>
      <c r="D122" s="1211">
        <f>IF(I$121=0,0,G122/I$121)</f>
        <v>0.4</v>
      </c>
      <c r="E122" s="1138">
        <f>IF(J$121=0,0,H122/J$121)</f>
        <v>0</v>
      </c>
      <c r="G122" s="1138">
        <f t="shared" si="96"/>
        <v>0.4</v>
      </c>
      <c r="H122" s="1138">
        <f t="shared" si="97"/>
        <v>0</v>
      </c>
      <c r="I122" s="1138">
        <f>G123+G124+G129+G138</f>
        <v>1</v>
      </c>
      <c r="J122" s="1138">
        <f>H123+H124+H129+H138</f>
        <v>0</v>
      </c>
      <c r="K122" s="1138">
        <f>IF(スコア!U122=0,0,1)</f>
        <v>1</v>
      </c>
      <c r="L122" s="1138">
        <f>IF(スコア!S122=0,0,1)</f>
        <v>0</v>
      </c>
      <c r="M122" s="1138">
        <f t="shared" si="98"/>
        <v>0.4</v>
      </c>
      <c r="N122" s="1138">
        <f t="shared" si="101"/>
        <v>0</v>
      </c>
      <c r="P122" s="1136" t="str">
        <f t="shared" si="68"/>
        <v>LR1</v>
      </c>
      <c r="Q122" s="1136" t="str">
        <f t="shared" si="69"/>
        <v>LR</v>
      </c>
      <c r="R122" s="1139" t="str">
        <f t="shared" si="70"/>
        <v>エネルギー</v>
      </c>
      <c r="S122" s="1579">
        <f t="shared" si="52"/>
        <v>0.4</v>
      </c>
      <c r="T122" s="1579">
        <f t="shared" si="53"/>
        <v>0.4</v>
      </c>
      <c r="U122" s="1579">
        <f t="shared" si="54"/>
        <v>0.4</v>
      </c>
      <c r="V122" s="1579">
        <f t="shared" si="55"/>
        <v>0.4</v>
      </c>
      <c r="W122" s="1579">
        <f t="shared" si="56"/>
        <v>0.4</v>
      </c>
      <c r="X122" s="1579">
        <f t="shared" si="57"/>
        <v>0.4</v>
      </c>
      <c r="Y122" s="1579">
        <f t="shared" si="58"/>
        <v>0.4</v>
      </c>
      <c r="Z122" s="1579">
        <f t="shared" si="59"/>
        <v>0.4</v>
      </c>
      <c r="AA122" s="1579">
        <f t="shared" si="60"/>
        <v>0.4</v>
      </c>
      <c r="AB122" s="1579">
        <f t="shared" si="61"/>
        <v>0.4</v>
      </c>
      <c r="AC122" s="1581">
        <f t="shared" si="62"/>
        <v>0</v>
      </c>
      <c r="AD122" s="1579">
        <f t="shared" si="63"/>
        <v>0</v>
      </c>
      <c r="AE122" s="1579">
        <f t="shared" si="64"/>
        <v>0</v>
      </c>
      <c r="AG122" s="1136" t="s">
        <v>1159</v>
      </c>
      <c r="AH122" s="1141" t="s">
        <v>1160</v>
      </c>
      <c r="AI122" s="1139" t="s">
        <v>1161</v>
      </c>
      <c r="AJ122" s="1142">
        <v>0.4</v>
      </c>
      <c r="AK122" s="1142">
        <v>0.4</v>
      </c>
      <c r="AL122" s="1142">
        <v>0.4</v>
      </c>
      <c r="AM122" s="1142">
        <v>0.4</v>
      </c>
      <c r="AN122" s="1142">
        <v>0.4</v>
      </c>
      <c r="AO122" s="1142">
        <v>0.4</v>
      </c>
      <c r="AP122" s="1142">
        <v>0.4</v>
      </c>
      <c r="AQ122" s="1142">
        <v>0.4</v>
      </c>
      <c r="AR122" s="1142">
        <v>0.4</v>
      </c>
      <c r="AS122" s="1142">
        <v>0.4</v>
      </c>
      <c r="AT122" s="1143"/>
      <c r="AU122" s="1142"/>
      <c r="AV122" s="1142"/>
      <c r="AX122" s="1136" t="s">
        <v>1159</v>
      </c>
      <c r="AY122" s="1141" t="s">
        <v>1160</v>
      </c>
      <c r="AZ122" s="1139" t="s">
        <v>1161</v>
      </c>
      <c r="BA122" s="1142">
        <v>0.4</v>
      </c>
      <c r="BB122" s="1142">
        <v>0.4</v>
      </c>
      <c r="BC122" s="1142">
        <v>0.4</v>
      </c>
      <c r="BD122" s="1142">
        <v>0.4</v>
      </c>
      <c r="BE122" s="1142">
        <v>0.4</v>
      </c>
      <c r="BF122" s="1142">
        <v>0.4</v>
      </c>
      <c r="BG122" s="1142">
        <v>0.4</v>
      </c>
      <c r="BH122" s="1142">
        <v>0.4</v>
      </c>
      <c r="BI122" s="1142">
        <v>0.4</v>
      </c>
      <c r="BJ122" s="1142">
        <v>0.4</v>
      </c>
      <c r="BK122" s="1143"/>
      <c r="BL122" s="1142"/>
      <c r="BM122" s="1142"/>
      <c r="BO122" s="1136" t="s">
        <v>1159</v>
      </c>
      <c r="BP122" s="1141" t="s">
        <v>1160</v>
      </c>
      <c r="BQ122" s="1139" t="s">
        <v>1161</v>
      </c>
      <c r="BR122" s="1142">
        <v>0.4</v>
      </c>
      <c r="BS122" s="1142">
        <v>0.4</v>
      </c>
      <c r="BT122" s="1142">
        <v>0.4</v>
      </c>
      <c r="BU122" s="1142">
        <v>0.4</v>
      </c>
      <c r="BV122" s="1142">
        <v>0.4</v>
      </c>
      <c r="BW122" s="1142">
        <v>0.4</v>
      </c>
      <c r="BX122" s="1142">
        <v>0.4</v>
      </c>
      <c r="BY122" s="1142">
        <v>0.4</v>
      </c>
      <c r="BZ122" s="1694">
        <v>0.4</v>
      </c>
      <c r="CA122" s="1142">
        <v>0.4</v>
      </c>
      <c r="CB122" s="1143"/>
      <c r="CC122" s="1142"/>
      <c r="CD122" s="1142"/>
      <c r="CE122" s="1380"/>
      <c r="CG122" s="1136" t="s">
        <v>1036</v>
      </c>
      <c r="CH122" s="1141" t="s">
        <v>1160</v>
      </c>
      <c r="CI122" s="1139" t="s">
        <v>1037</v>
      </c>
      <c r="CJ122" s="1516">
        <v>0.2</v>
      </c>
      <c r="CK122" s="1516">
        <v>0.2</v>
      </c>
      <c r="CL122" s="1516">
        <v>0.2</v>
      </c>
      <c r="CM122" s="1516">
        <v>0.2</v>
      </c>
      <c r="CN122" s="1516">
        <v>0.2</v>
      </c>
      <c r="CO122" s="1516">
        <v>0.2</v>
      </c>
      <c r="CP122" s="1516">
        <v>0.2</v>
      </c>
      <c r="CQ122" s="1516">
        <v>0.2</v>
      </c>
      <c r="CR122" s="1516">
        <v>0.2</v>
      </c>
      <c r="CS122" s="1516">
        <v>0.2</v>
      </c>
      <c r="CT122" s="1517">
        <f t="shared" si="85"/>
        <v>0</v>
      </c>
      <c r="CU122" s="1516">
        <f t="shared" si="86"/>
        <v>0</v>
      </c>
      <c r="CV122" s="1516">
        <f t="shared" si="87"/>
        <v>0</v>
      </c>
      <c r="CX122" s="1136" t="s">
        <v>1036</v>
      </c>
      <c r="CY122" s="1141" t="s">
        <v>1160</v>
      </c>
      <c r="CZ122" s="1139" t="s">
        <v>1037</v>
      </c>
      <c r="DA122" s="1641">
        <v>0.55000000000000004</v>
      </c>
      <c r="DB122" s="1516"/>
      <c r="DC122" s="1516"/>
      <c r="DD122" s="1516"/>
      <c r="DE122" s="1516"/>
      <c r="DF122" s="1516"/>
      <c r="DG122" s="1516"/>
      <c r="DH122" s="1516"/>
      <c r="DI122" s="1516"/>
      <c r="DJ122" s="1516"/>
      <c r="DK122" s="1517"/>
      <c r="DL122" s="1516"/>
      <c r="DM122" s="1516"/>
    </row>
    <row r="123" spans="2:117">
      <c r="B123" s="1136">
        <f t="shared" si="99"/>
        <v>1</v>
      </c>
      <c r="C123" s="1148" t="str">
        <f t="shared" si="67"/>
        <v>建物外皮の熱負荷抑制</v>
      </c>
      <c r="D123" s="1144">
        <f>IF(I$122=0,0,G123/I$122)</f>
        <v>0.2</v>
      </c>
      <c r="E123" s="1145">
        <f>IF(J$122=0,0,H123/J$122)</f>
        <v>0</v>
      </c>
      <c r="G123" s="1145">
        <f t="shared" si="96"/>
        <v>0.2</v>
      </c>
      <c r="H123" s="1145">
        <f t="shared" si="97"/>
        <v>0</v>
      </c>
      <c r="I123" s="1145"/>
      <c r="J123" s="1145"/>
      <c r="K123" s="1145">
        <f>IF(スコア!Q123=0,0,1)</f>
        <v>1</v>
      </c>
      <c r="L123" s="1145">
        <f>IF(スコア!S123=0,0,1)</f>
        <v>0</v>
      </c>
      <c r="M123" s="1145">
        <f t="shared" si="98"/>
        <v>0.2</v>
      </c>
      <c r="N123" s="1145">
        <f t="shared" si="101"/>
        <v>0</v>
      </c>
      <c r="P123" s="1212">
        <f t="shared" si="68"/>
        <v>1</v>
      </c>
      <c r="Q123" s="1147" t="str">
        <f t="shared" si="69"/>
        <v>LR1</v>
      </c>
      <c r="R123" s="1148" t="str">
        <f t="shared" si="70"/>
        <v>建物外皮の熱負荷抑制</v>
      </c>
      <c r="S123" s="1594">
        <f t="shared" si="52"/>
        <v>0.2</v>
      </c>
      <c r="T123" s="1594">
        <f t="shared" si="53"/>
        <v>0.2</v>
      </c>
      <c r="U123" s="1594">
        <f t="shared" si="54"/>
        <v>0.2</v>
      </c>
      <c r="V123" s="1594">
        <f t="shared" si="55"/>
        <v>0.2</v>
      </c>
      <c r="W123" s="1594">
        <f t="shared" si="56"/>
        <v>0.2</v>
      </c>
      <c r="X123" s="1594">
        <f t="shared" si="57"/>
        <v>0.2</v>
      </c>
      <c r="Y123" s="1594">
        <f t="shared" si="58"/>
        <v>0.2</v>
      </c>
      <c r="Z123" s="1583">
        <f t="shared" si="59"/>
        <v>0.2</v>
      </c>
      <c r="AA123" s="1594">
        <f t="shared" si="60"/>
        <v>0.2</v>
      </c>
      <c r="AB123" s="1594">
        <f t="shared" si="61"/>
        <v>0.2</v>
      </c>
      <c r="AC123" s="1584">
        <f t="shared" si="62"/>
        <v>0</v>
      </c>
      <c r="AD123" s="1582">
        <f t="shared" si="63"/>
        <v>0</v>
      </c>
      <c r="AE123" s="1582">
        <f t="shared" si="64"/>
        <v>0</v>
      </c>
      <c r="AG123" s="1212">
        <v>1</v>
      </c>
      <c r="AH123" s="1151" t="s">
        <v>1452</v>
      </c>
      <c r="AI123" s="1148" t="s">
        <v>1798</v>
      </c>
      <c r="AJ123" s="1197">
        <v>0.2</v>
      </c>
      <c r="AK123" s="1197">
        <v>0.2</v>
      </c>
      <c r="AL123" s="1197">
        <v>0.2</v>
      </c>
      <c r="AM123" s="1197">
        <v>0.2</v>
      </c>
      <c r="AN123" s="1197">
        <v>0.2</v>
      </c>
      <c r="AO123" s="1197">
        <v>0.2</v>
      </c>
      <c r="AP123" s="1197">
        <v>0.2</v>
      </c>
      <c r="AQ123" s="1197">
        <v>0.2</v>
      </c>
      <c r="AR123" s="1197"/>
      <c r="AS123" s="1197">
        <v>0.2</v>
      </c>
      <c r="AT123" s="1153"/>
      <c r="AU123" s="1152"/>
      <c r="AV123" s="1152"/>
      <c r="AX123" s="1212">
        <v>1</v>
      </c>
      <c r="AY123" s="1151" t="s">
        <v>1452</v>
      </c>
      <c r="AZ123" s="1148" t="s">
        <v>1798</v>
      </c>
      <c r="BA123" s="1197">
        <v>0.2</v>
      </c>
      <c r="BB123" s="1197">
        <v>0.2</v>
      </c>
      <c r="BC123" s="1197">
        <v>0.2</v>
      </c>
      <c r="BD123" s="1197">
        <v>0.2</v>
      </c>
      <c r="BE123" s="1197">
        <v>0.2</v>
      </c>
      <c r="BF123" s="1197">
        <v>0.2</v>
      </c>
      <c r="BG123" s="1197">
        <v>0.2</v>
      </c>
      <c r="BH123" s="1197">
        <v>0.2</v>
      </c>
      <c r="BI123" s="1197">
        <v>0.2</v>
      </c>
      <c r="BJ123" s="1197">
        <v>0.2</v>
      </c>
      <c r="BK123" s="1153"/>
      <c r="BL123" s="1152"/>
      <c r="BM123" s="1152"/>
      <c r="BO123" s="1212">
        <v>1</v>
      </c>
      <c r="BP123" s="1151" t="s">
        <v>1452</v>
      </c>
      <c r="BQ123" s="1148" t="s">
        <v>1798</v>
      </c>
      <c r="BR123" s="1197">
        <v>0.2</v>
      </c>
      <c r="BS123" s="1197">
        <v>0.2</v>
      </c>
      <c r="BT123" s="1197">
        <v>0.2</v>
      </c>
      <c r="BU123" s="1197">
        <v>0.2</v>
      </c>
      <c r="BV123" s="1197">
        <v>0.2</v>
      </c>
      <c r="BW123" s="1197">
        <v>0.2</v>
      </c>
      <c r="BX123" s="1197">
        <v>0.2</v>
      </c>
      <c r="BY123" s="1197">
        <v>0.2</v>
      </c>
      <c r="BZ123" s="1694">
        <v>0.2</v>
      </c>
      <c r="CA123" s="1197">
        <v>0.2</v>
      </c>
      <c r="CB123" s="1153"/>
      <c r="CC123" s="1152"/>
      <c r="CD123" s="1152"/>
      <c r="CE123" s="1381"/>
      <c r="CG123" s="1212">
        <v>1</v>
      </c>
      <c r="CH123" s="1151" t="s">
        <v>1452</v>
      </c>
      <c r="CI123" s="1148" t="s">
        <v>1798</v>
      </c>
      <c r="CJ123" s="1541">
        <f t="shared" si="88"/>
        <v>0.2</v>
      </c>
      <c r="CK123" s="1541">
        <f t="shared" si="76"/>
        <v>0.2</v>
      </c>
      <c r="CL123" s="1541">
        <f t="shared" si="77"/>
        <v>0.2</v>
      </c>
      <c r="CM123" s="1541">
        <f t="shared" si="78"/>
        <v>0.2</v>
      </c>
      <c r="CN123" s="1541">
        <f t="shared" si="79"/>
        <v>0.2</v>
      </c>
      <c r="CO123" s="1541">
        <f t="shared" si="80"/>
        <v>0.2</v>
      </c>
      <c r="CP123" s="1541">
        <f t="shared" si="81"/>
        <v>0.2</v>
      </c>
      <c r="CQ123" s="1541">
        <f t="shared" si="82"/>
        <v>0.2</v>
      </c>
      <c r="CR123" s="1541">
        <f t="shared" si="83"/>
        <v>0.2</v>
      </c>
      <c r="CS123" s="1541">
        <f t="shared" si="84"/>
        <v>0.2</v>
      </c>
      <c r="CT123" s="1530">
        <f t="shared" si="85"/>
        <v>0</v>
      </c>
      <c r="CU123" s="1528">
        <f t="shared" si="86"/>
        <v>0</v>
      </c>
      <c r="CV123" s="1528">
        <f t="shared" si="87"/>
        <v>0</v>
      </c>
      <c r="CX123" s="1212">
        <v>1</v>
      </c>
      <c r="CY123" s="1151" t="s">
        <v>1452</v>
      </c>
      <c r="CZ123" s="1148" t="s">
        <v>1798</v>
      </c>
      <c r="DA123" s="1521">
        <f t="shared" si="89"/>
        <v>0.2</v>
      </c>
      <c r="DB123" s="1521"/>
      <c r="DC123" s="1521"/>
      <c r="DD123" s="1521"/>
      <c r="DE123" s="1521"/>
      <c r="DF123" s="1521"/>
      <c r="DG123" s="1521"/>
      <c r="DH123" s="1521"/>
      <c r="DI123" s="1521"/>
      <c r="DJ123" s="1521"/>
      <c r="DK123" s="1519"/>
      <c r="DL123" s="1518"/>
      <c r="DM123" s="1518"/>
    </row>
    <row r="124" spans="2:117">
      <c r="B124" s="1136">
        <f t="shared" si="99"/>
        <v>2</v>
      </c>
      <c r="C124" s="1148" t="str">
        <f t="shared" si="67"/>
        <v>自然エネルギー利用</v>
      </c>
      <c r="D124" s="1144">
        <f>IF(I$122=0,0,G124/I$122)</f>
        <v>0.1</v>
      </c>
      <c r="E124" s="1145">
        <f>IF(J$122=0,0,H124/J$122)</f>
        <v>0</v>
      </c>
      <c r="G124" s="1145">
        <f>K124*M124</f>
        <v>0.1</v>
      </c>
      <c r="H124" s="1145">
        <f t="shared" si="97"/>
        <v>0</v>
      </c>
      <c r="I124" s="1213">
        <f>SUM(G125:G126)</f>
        <v>0</v>
      </c>
      <c r="J124" s="1213">
        <f>SUM(H125:H126)</f>
        <v>0</v>
      </c>
      <c r="K124" s="1145">
        <f>IF(スコア!Q124=0,0,1)</f>
        <v>1</v>
      </c>
      <c r="L124" s="1145">
        <f>IF(スコア!S124=0,0,1)</f>
        <v>0</v>
      </c>
      <c r="M124" s="1145">
        <f t="shared" si="98"/>
        <v>0.1</v>
      </c>
      <c r="N124" s="1145">
        <f t="shared" si="101"/>
        <v>0</v>
      </c>
      <c r="P124" s="1147">
        <f t="shared" si="68"/>
        <v>2</v>
      </c>
      <c r="Q124" s="1147" t="str">
        <f t="shared" si="69"/>
        <v>LR1</v>
      </c>
      <c r="R124" s="1148" t="str">
        <f t="shared" si="70"/>
        <v>自然エネルギー利用</v>
      </c>
      <c r="S124" s="1594">
        <f t="shared" si="52"/>
        <v>0.1</v>
      </c>
      <c r="T124" s="1594">
        <f t="shared" si="53"/>
        <v>0.1</v>
      </c>
      <c r="U124" s="1594">
        <f t="shared" si="54"/>
        <v>0.1</v>
      </c>
      <c r="V124" s="1594">
        <f t="shared" si="55"/>
        <v>0.1</v>
      </c>
      <c r="W124" s="1594">
        <f t="shared" si="56"/>
        <v>0.1</v>
      </c>
      <c r="X124" s="1594">
        <f t="shared" si="57"/>
        <v>0.1</v>
      </c>
      <c r="Y124" s="1594">
        <f t="shared" si="58"/>
        <v>0.1</v>
      </c>
      <c r="Z124" s="1583">
        <f t="shared" si="59"/>
        <v>0.1</v>
      </c>
      <c r="AA124" s="1594">
        <f t="shared" si="60"/>
        <v>0.1</v>
      </c>
      <c r="AB124" s="1594">
        <f t="shared" si="61"/>
        <v>0.1</v>
      </c>
      <c r="AC124" s="1584">
        <f t="shared" si="62"/>
        <v>0</v>
      </c>
      <c r="AD124" s="1582">
        <f t="shared" si="63"/>
        <v>0</v>
      </c>
      <c r="AE124" s="1582">
        <f t="shared" si="64"/>
        <v>0</v>
      </c>
      <c r="AG124" s="1147">
        <v>2</v>
      </c>
      <c r="AH124" s="1151" t="s">
        <v>1452</v>
      </c>
      <c r="AI124" s="1148" t="s">
        <v>1038</v>
      </c>
      <c r="AJ124" s="1197">
        <v>0.1</v>
      </c>
      <c r="AK124" s="1197">
        <v>0.1</v>
      </c>
      <c r="AL124" s="1197">
        <v>0.1</v>
      </c>
      <c r="AM124" s="1197">
        <v>0.1</v>
      </c>
      <c r="AN124" s="1197">
        <v>0.1</v>
      </c>
      <c r="AO124" s="1197">
        <v>0.1</v>
      </c>
      <c r="AP124" s="1197">
        <v>0.1</v>
      </c>
      <c r="AQ124" s="1197">
        <v>0.1</v>
      </c>
      <c r="AR124" s="1276">
        <v>0.125</v>
      </c>
      <c r="AS124" s="1197">
        <v>0.1</v>
      </c>
      <c r="AT124" s="1153"/>
      <c r="AU124" s="1152"/>
      <c r="AV124" s="1152"/>
      <c r="AX124" s="1147">
        <v>2</v>
      </c>
      <c r="AY124" s="1151" t="s">
        <v>1452</v>
      </c>
      <c r="AZ124" s="1148" t="s">
        <v>1038</v>
      </c>
      <c r="BA124" s="1197">
        <v>0.1</v>
      </c>
      <c r="BB124" s="1197">
        <v>0.1</v>
      </c>
      <c r="BC124" s="1197">
        <v>0.1</v>
      </c>
      <c r="BD124" s="1197">
        <v>0.1</v>
      </c>
      <c r="BE124" s="1197">
        <v>0.1</v>
      </c>
      <c r="BF124" s="1197">
        <v>0.1</v>
      </c>
      <c r="BG124" s="1197">
        <v>0.1</v>
      </c>
      <c r="BH124" s="1197">
        <v>0.1</v>
      </c>
      <c r="BI124" s="1197">
        <v>0.1</v>
      </c>
      <c r="BJ124" s="1197">
        <v>0.1</v>
      </c>
      <c r="BK124" s="1153"/>
      <c r="BL124" s="1152"/>
      <c r="BM124" s="1152"/>
      <c r="BO124" s="1147">
        <v>2</v>
      </c>
      <c r="BP124" s="1151" t="s">
        <v>1452</v>
      </c>
      <c r="BQ124" s="1148" t="s">
        <v>1038</v>
      </c>
      <c r="BR124" s="1197">
        <v>0.1</v>
      </c>
      <c r="BS124" s="1197">
        <v>0.1</v>
      </c>
      <c r="BT124" s="1197">
        <v>0.1</v>
      </c>
      <c r="BU124" s="1197">
        <v>0.1</v>
      </c>
      <c r="BV124" s="1197">
        <v>0.1</v>
      </c>
      <c r="BW124" s="1197">
        <v>0.1</v>
      </c>
      <c r="BX124" s="1197">
        <v>0.1</v>
      </c>
      <c r="BY124" s="1197">
        <v>0.1</v>
      </c>
      <c r="BZ124" s="1694">
        <v>0.1</v>
      </c>
      <c r="CA124" s="1197">
        <v>0.1</v>
      </c>
      <c r="CB124" s="1153"/>
      <c r="CC124" s="1152"/>
      <c r="CD124" s="1152"/>
      <c r="CE124" s="1381"/>
      <c r="CG124" s="1147">
        <v>2</v>
      </c>
      <c r="CH124" s="1151" t="s">
        <v>1452</v>
      </c>
      <c r="CI124" s="1148" t="s">
        <v>1038</v>
      </c>
      <c r="CJ124" s="1541">
        <f t="shared" si="88"/>
        <v>0.1</v>
      </c>
      <c r="CK124" s="1541">
        <f t="shared" si="76"/>
        <v>0.1</v>
      </c>
      <c r="CL124" s="1541">
        <f t="shared" si="77"/>
        <v>0.1</v>
      </c>
      <c r="CM124" s="1541">
        <f t="shared" si="78"/>
        <v>0.1</v>
      </c>
      <c r="CN124" s="1541">
        <f t="shared" si="79"/>
        <v>0.1</v>
      </c>
      <c r="CO124" s="1541">
        <f t="shared" si="80"/>
        <v>0.1</v>
      </c>
      <c r="CP124" s="1541">
        <f t="shared" si="81"/>
        <v>0.1</v>
      </c>
      <c r="CQ124" s="1541">
        <f t="shared" si="82"/>
        <v>0.1</v>
      </c>
      <c r="CR124" s="1541">
        <f t="shared" si="83"/>
        <v>0.1</v>
      </c>
      <c r="CS124" s="1541">
        <f t="shared" si="84"/>
        <v>0.1</v>
      </c>
      <c r="CT124" s="1530">
        <f t="shared" si="85"/>
        <v>0</v>
      </c>
      <c r="CU124" s="1528">
        <f t="shared" si="86"/>
        <v>0</v>
      </c>
      <c r="CV124" s="1528">
        <f t="shared" si="87"/>
        <v>0</v>
      </c>
      <c r="CX124" s="1147">
        <v>2</v>
      </c>
      <c r="CY124" s="1151" t="s">
        <v>1452</v>
      </c>
      <c r="CZ124" s="1148" t="s">
        <v>1038</v>
      </c>
      <c r="DA124" s="1521">
        <f t="shared" si="89"/>
        <v>0.1</v>
      </c>
      <c r="DB124" s="1521"/>
      <c r="DC124" s="1521"/>
      <c r="DD124" s="1521"/>
      <c r="DE124" s="1521"/>
      <c r="DF124" s="1521"/>
      <c r="DG124" s="1521"/>
      <c r="DH124" s="1521"/>
      <c r="DI124" s="1521"/>
      <c r="DJ124" s="1521"/>
      <c r="DK124" s="1519"/>
      <c r="DL124" s="1518"/>
      <c r="DM124" s="1518"/>
    </row>
    <row r="125" spans="2:117" hidden="1">
      <c r="B125" s="1136">
        <f t="shared" si="99"/>
        <v>0</v>
      </c>
      <c r="C125" s="1148">
        <f t="shared" si="67"/>
        <v>0</v>
      </c>
      <c r="D125" s="1155">
        <f>IF(I$124=0,0,G125/I$124)</f>
        <v>0</v>
      </c>
      <c r="E125" s="1155">
        <f>IF(J$124=0,0,H125/J$124)</f>
        <v>0</v>
      </c>
      <c r="G125" s="1145">
        <f t="shared" si="96"/>
        <v>0</v>
      </c>
      <c r="H125" s="1145">
        <f t="shared" si="97"/>
        <v>0</v>
      </c>
      <c r="I125" s="1145"/>
      <c r="J125" s="1145"/>
      <c r="K125" s="1156">
        <f>IF(スコア!Q125=0,0,1)</f>
        <v>0</v>
      </c>
      <c r="L125" s="1156">
        <f>IF(スコア!S125=0,0,1)</f>
        <v>0</v>
      </c>
      <c r="M125" s="1156">
        <f t="shared" si="98"/>
        <v>0</v>
      </c>
      <c r="N125" s="1156">
        <f t="shared" si="101"/>
        <v>0</v>
      </c>
      <c r="P125" s="1147">
        <f t="shared" si="68"/>
        <v>0</v>
      </c>
      <c r="Q125" s="1147" t="str">
        <f t="shared" si="69"/>
        <v>LR</v>
      </c>
      <c r="R125" s="1148">
        <f t="shared" si="70"/>
        <v>0</v>
      </c>
      <c r="S125" s="1585">
        <f t="shared" si="52"/>
        <v>0</v>
      </c>
      <c r="T125" s="1585">
        <f t="shared" si="53"/>
        <v>0</v>
      </c>
      <c r="U125" s="1585">
        <f t="shared" si="54"/>
        <v>0</v>
      </c>
      <c r="V125" s="1585">
        <f t="shared" si="55"/>
        <v>0</v>
      </c>
      <c r="W125" s="1585">
        <f t="shared" si="56"/>
        <v>0</v>
      </c>
      <c r="X125" s="1585">
        <f t="shared" si="57"/>
        <v>0</v>
      </c>
      <c r="Y125" s="1585">
        <f t="shared" si="58"/>
        <v>0</v>
      </c>
      <c r="Z125" s="1587">
        <f t="shared" si="59"/>
        <v>0</v>
      </c>
      <c r="AA125" s="1585">
        <f t="shared" si="60"/>
        <v>0</v>
      </c>
      <c r="AB125" s="1585">
        <f t="shared" si="61"/>
        <v>0</v>
      </c>
      <c r="AC125" s="1584">
        <f t="shared" si="62"/>
        <v>0</v>
      </c>
      <c r="AD125" s="1582">
        <f t="shared" si="63"/>
        <v>0</v>
      </c>
      <c r="AE125" s="1582">
        <f t="shared" si="64"/>
        <v>0</v>
      </c>
      <c r="AG125" s="1147"/>
      <c r="AH125" s="1151" t="s">
        <v>119</v>
      </c>
      <c r="AI125" s="1148" t="s">
        <v>1039</v>
      </c>
      <c r="AJ125" s="1197"/>
      <c r="AK125" s="1197"/>
      <c r="AL125" s="1197"/>
      <c r="AM125" s="1197"/>
      <c r="AN125" s="1197"/>
      <c r="AO125" s="1197"/>
      <c r="AP125" s="1197"/>
      <c r="AQ125" s="1197"/>
      <c r="AR125" s="1197"/>
      <c r="AS125" s="1197"/>
      <c r="AT125" s="1153"/>
      <c r="AU125" s="1152"/>
      <c r="AV125" s="1152"/>
      <c r="AX125" s="1147"/>
      <c r="AY125" s="1151" t="s">
        <v>119</v>
      </c>
      <c r="AZ125" s="1148" t="s">
        <v>841</v>
      </c>
      <c r="BA125" s="1197"/>
      <c r="BB125" s="1197"/>
      <c r="BC125" s="1197"/>
      <c r="BD125" s="1197"/>
      <c r="BE125" s="1197"/>
      <c r="BF125" s="1197"/>
      <c r="BG125" s="1197"/>
      <c r="BH125" s="1197"/>
      <c r="BI125" s="1197"/>
      <c r="BJ125" s="1197"/>
      <c r="BK125" s="1153"/>
      <c r="BL125" s="1152"/>
      <c r="BM125" s="1152"/>
      <c r="BO125" s="1147"/>
      <c r="BP125" s="1151" t="s">
        <v>119</v>
      </c>
      <c r="BQ125" s="1148"/>
      <c r="BR125" s="1197"/>
      <c r="BS125" s="1197"/>
      <c r="BT125" s="1197"/>
      <c r="BU125" s="1197"/>
      <c r="BV125" s="1197"/>
      <c r="BW125" s="1197"/>
      <c r="BX125" s="1197"/>
      <c r="BY125" s="1197"/>
      <c r="BZ125" s="1694"/>
      <c r="CA125" s="1197"/>
      <c r="CB125" s="1153"/>
      <c r="CC125" s="1152"/>
      <c r="CD125" s="1152"/>
      <c r="CE125" s="1381"/>
      <c r="CG125" s="1147"/>
      <c r="CH125" s="1151" t="s">
        <v>119</v>
      </c>
      <c r="CI125" s="1148"/>
      <c r="CJ125" s="1541">
        <f t="shared" si="88"/>
        <v>0</v>
      </c>
      <c r="CK125" s="1541">
        <f t="shared" si="76"/>
        <v>0</v>
      </c>
      <c r="CL125" s="1541">
        <f t="shared" si="77"/>
        <v>0</v>
      </c>
      <c r="CM125" s="1541">
        <f t="shared" si="78"/>
        <v>0</v>
      </c>
      <c r="CN125" s="1541">
        <f t="shared" si="79"/>
        <v>0</v>
      </c>
      <c r="CO125" s="1541">
        <f t="shared" si="80"/>
        <v>0</v>
      </c>
      <c r="CP125" s="1541">
        <f t="shared" si="81"/>
        <v>0</v>
      </c>
      <c r="CQ125" s="1541">
        <f t="shared" si="82"/>
        <v>0</v>
      </c>
      <c r="CR125" s="1541">
        <f t="shared" si="83"/>
        <v>0</v>
      </c>
      <c r="CS125" s="1541">
        <f t="shared" si="84"/>
        <v>0</v>
      </c>
      <c r="CT125" s="1530">
        <f t="shared" si="85"/>
        <v>0</v>
      </c>
      <c r="CU125" s="1528">
        <f t="shared" si="86"/>
        <v>0</v>
      </c>
      <c r="CV125" s="1528">
        <f t="shared" si="87"/>
        <v>0</v>
      </c>
      <c r="CX125" s="1147"/>
      <c r="CY125" s="1151" t="s">
        <v>119</v>
      </c>
      <c r="CZ125" s="1148"/>
      <c r="DA125" s="1521">
        <f t="shared" si="89"/>
        <v>0</v>
      </c>
      <c r="DB125" s="1521"/>
      <c r="DC125" s="1521"/>
      <c r="DD125" s="1521"/>
      <c r="DE125" s="1521"/>
      <c r="DF125" s="1521"/>
      <c r="DG125" s="1521"/>
      <c r="DH125" s="1521"/>
      <c r="DI125" s="1521"/>
      <c r="DJ125" s="1521"/>
      <c r="DK125" s="1519"/>
      <c r="DL125" s="1518"/>
      <c r="DM125" s="1518"/>
    </row>
    <row r="126" spans="2:117" hidden="1">
      <c r="B126" s="1136">
        <f t="shared" si="99"/>
        <v>0</v>
      </c>
      <c r="C126" s="1148">
        <f t="shared" si="67"/>
        <v>0</v>
      </c>
      <c r="D126" s="1155">
        <f>IF(I$124=0,0,G126/I$124)</f>
        <v>0</v>
      </c>
      <c r="E126" s="1155">
        <f>IF(J$124=0,0,H126/J$124)</f>
        <v>0</v>
      </c>
      <c r="G126" s="1145">
        <f t="shared" si="96"/>
        <v>0</v>
      </c>
      <c r="H126" s="1145">
        <f t="shared" si="97"/>
        <v>0</v>
      </c>
      <c r="I126" s="1213">
        <f>SUM(G127:G128)</f>
        <v>0</v>
      </c>
      <c r="J126" s="1213">
        <f>SUM(H127:H128)</f>
        <v>0</v>
      </c>
      <c r="K126" s="1156">
        <f>IF(スコア!Q126=0,0,1)</f>
        <v>0</v>
      </c>
      <c r="L126" s="1156">
        <f>IF(スコア!S126=0,0,1)</f>
        <v>0</v>
      </c>
      <c r="M126" s="1156">
        <f t="shared" si="98"/>
        <v>0</v>
      </c>
      <c r="N126" s="1156">
        <f t="shared" si="101"/>
        <v>0</v>
      </c>
      <c r="P126" s="1147">
        <f t="shared" si="68"/>
        <v>0</v>
      </c>
      <c r="Q126" s="1147" t="str">
        <f t="shared" si="69"/>
        <v>LR</v>
      </c>
      <c r="R126" s="1148">
        <f t="shared" si="70"/>
        <v>0</v>
      </c>
      <c r="S126" s="1585">
        <f t="shared" si="52"/>
        <v>0</v>
      </c>
      <c r="T126" s="1585">
        <f t="shared" si="53"/>
        <v>0</v>
      </c>
      <c r="U126" s="1585">
        <f t="shared" si="54"/>
        <v>0</v>
      </c>
      <c r="V126" s="1585">
        <f t="shared" si="55"/>
        <v>0</v>
      </c>
      <c r="W126" s="1585">
        <f t="shared" si="56"/>
        <v>0</v>
      </c>
      <c r="X126" s="1585">
        <f t="shared" si="57"/>
        <v>0</v>
      </c>
      <c r="Y126" s="1585">
        <f t="shared" si="58"/>
        <v>0</v>
      </c>
      <c r="Z126" s="1587">
        <f t="shared" si="59"/>
        <v>0</v>
      </c>
      <c r="AA126" s="1585">
        <f t="shared" si="60"/>
        <v>0</v>
      </c>
      <c r="AB126" s="1585">
        <f t="shared" si="61"/>
        <v>0</v>
      </c>
      <c r="AC126" s="1584">
        <f t="shared" si="62"/>
        <v>0</v>
      </c>
      <c r="AD126" s="1582">
        <f t="shared" si="63"/>
        <v>0</v>
      </c>
      <c r="AE126" s="1582">
        <f t="shared" si="64"/>
        <v>0</v>
      </c>
      <c r="AG126" s="1147"/>
      <c r="AH126" s="1151" t="s">
        <v>119</v>
      </c>
      <c r="AI126" s="1148" t="s">
        <v>1040</v>
      </c>
      <c r="AJ126" s="1197"/>
      <c r="AK126" s="1197"/>
      <c r="AL126" s="1197"/>
      <c r="AM126" s="1197"/>
      <c r="AN126" s="1197"/>
      <c r="AO126" s="1197"/>
      <c r="AP126" s="1197"/>
      <c r="AQ126" s="1197"/>
      <c r="AR126" s="1197"/>
      <c r="AS126" s="1197"/>
      <c r="AT126" s="1153"/>
      <c r="AU126" s="1152"/>
      <c r="AV126" s="1152"/>
      <c r="AX126" s="1147"/>
      <c r="AY126" s="1151" t="s">
        <v>119</v>
      </c>
      <c r="AZ126" s="1148" t="s">
        <v>840</v>
      </c>
      <c r="BA126" s="1197">
        <v>1</v>
      </c>
      <c r="BB126" s="1197">
        <v>1</v>
      </c>
      <c r="BC126" s="1197">
        <v>1</v>
      </c>
      <c r="BD126" s="1197">
        <v>1</v>
      </c>
      <c r="BE126" s="1197">
        <v>1</v>
      </c>
      <c r="BF126" s="1197">
        <v>1</v>
      </c>
      <c r="BG126" s="1197">
        <v>1</v>
      </c>
      <c r="BH126" s="1197">
        <v>1</v>
      </c>
      <c r="BI126" s="1197">
        <v>1</v>
      </c>
      <c r="BJ126" s="1197">
        <v>1</v>
      </c>
      <c r="BK126" s="1153"/>
      <c r="BL126" s="1152"/>
      <c r="BM126" s="1152"/>
      <c r="BO126" s="1147"/>
      <c r="BP126" s="1151" t="s">
        <v>119</v>
      </c>
      <c r="BQ126" s="1148"/>
      <c r="BR126" s="1197"/>
      <c r="BS126" s="1197"/>
      <c r="BT126" s="1197"/>
      <c r="BU126" s="1197"/>
      <c r="BV126" s="1197"/>
      <c r="BW126" s="1197"/>
      <c r="BX126" s="1197"/>
      <c r="BY126" s="1197"/>
      <c r="BZ126" s="1694"/>
      <c r="CA126" s="1197"/>
      <c r="CB126" s="1153"/>
      <c r="CC126" s="1152"/>
      <c r="CD126" s="1152"/>
      <c r="CE126" s="1381"/>
      <c r="CG126" s="1147"/>
      <c r="CH126" s="1151" t="s">
        <v>119</v>
      </c>
      <c r="CI126" s="1148"/>
      <c r="CJ126" s="1541">
        <f t="shared" si="88"/>
        <v>0</v>
      </c>
      <c r="CK126" s="1541">
        <f t="shared" si="76"/>
        <v>0</v>
      </c>
      <c r="CL126" s="1541">
        <f t="shared" si="77"/>
        <v>0</v>
      </c>
      <c r="CM126" s="1541">
        <f t="shared" si="78"/>
        <v>0</v>
      </c>
      <c r="CN126" s="1541">
        <f t="shared" si="79"/>
        <v>0</v>
      </c>
      <c r="CO126" s="1541">
        <f t="shared" si="80"/>
        <v>0</v>
      </c>
      <c r="CP126" s="1541">
        <f t="shared" si="81"/>
        <v>0</v>
      </c>
      <c r="CQ126" s="1541">
        <f t="shared" si="82"/>
        <v>0</v>
      </c>
      <c r="CR126" s="1541">
        <f t="shared" si="83"/>
        <v>0</v>
      </c>
      <c r="CS126" s="1541">
        <f t="shared" si="84"/>
        <v>0</v>
      </c>
      <c r="CT126" s="1530">
        <f t="shared" si="85"/>
        <v>0</v>
      </c>
      <c r="CU126" s="1528">
        <f t="shared" si="86"/>
        <v>0</v>
      </c>
      <c r="CV126" s="1528">
        <f t="shared" si="87"/>
        <v>0</v>
      </c>
      <c r="CX126" s="1147"/>
      <c r="CY126" s="1151" t="s">
        <v>119</v>
      </c>
      <c r="CZ126" s="1148"/>
      <c r="DA126" s="1521">
        <f t="shared" si="89"/>
        <v>0</v>
      </c>
      <c r="DB126" s="1521"/>
      <c r="DC126" s="1521"/>
      <c r="DD126" s="1521"/>
      <c r="DE126" s="1521"/>
      <c r="DF126" s="1521"/>
      <c r="DG126" s="1521"/>
      <c r="DH126" s="1521"/>
      <c r="DI126" s="1521"/>
      <c r="DJ126" s="1521"/>
      <c r="DK126" s="1519"/>
      <c r="DL126" s="1518"/>
      <c r="DM126" s="1518"/>
    </row>
    <row r="127" spans="2:117" hidden="1">
      <c r="B127" s="1136" t="str">
        <f t="shared" si="99"/>
        <v>2.1</v>
      </c>
      <c r="C127" s="1158">
        <f t="shared" si="67"/>
        <v>0</v>
      </c>
      <c r="D127" s="1155">
        <f>IF(I$126=0,0,G127/I$126)</f>
        <v>0</v>
      </c>
      <c r="E127" s="1155">
        <f>IF(J$126=0,0,H127/J$126)</f>
        <v>0</v>
      </c>
      <c r="G127" s="1156">
        <f t="shared" si="96"/>
        <v>0</v>
      </c>
      <c r="H127" s="1156">
        <f t="shared" si="97"/>
        <v>0</v>
      </c>
      <c r="I127" s="1156"/>
      <c r="J127" s="1156"/>
      <c r="K127" s="1156">
        <f>IF(スコア!Q127=0,0,1)</f>
        <v>0</v>
      </c>
      <c r="L127" s="1156">
        <f>IF(スコア!S127=0,0,1)</f>
        <v>0</v>
      </c>
      <c r="M127" s="1156">
        <f t="shared" si="98"/>
        <v>0</v>
      </c>
      <c r="N127" s="1156">
        <f t="shared" si="101"/>
        <v>0</v>
      </c>
      <c r="P127" s="1157" t="str">
        <f t="shared" si="68"/>
        <v>2.1</v>
      </c>
      <c r="Q127" s="1157" t="str">
        <f t="shared" si="69"/>
        <v>LR1 2</v>
      </c>
      <c r="R127" s="1158">
        <f t="shared" si="70"/>
        <v>0</v>
      </c>
      <c r="S127" s="1585">
        <f t="shared" si="52"/>
        <v>0</v>
      </c>
      <c r="T127" s="1585">
        <f t="shared" si="53"/>
        <v>0</v>
      </c>
      <c r="U127" s="1585">
        <f t="shared" si="54"/>
        <v>0</v>
      </c>
      <c r="V127" s="1585">
        <f t="shared" si="55"/>
        <v>0</v>
      </c>
      <c r="W127" s="1585">
        <f t="shared" si="56"/>
        <v>0</v>
      </c>
      <c r="X127" s="1585">
        <f t="shared" si="57"/>
        <v>0</v>
      </c>
      <c r="Y127" s="1585">
        <f t="shared" si="58"/>
        <v>0</v>
      </c>
      <c r="Z127" s="1587">
        <f t="shared" si="59"/>
        <v>0</v>
      </c>
      <c r="AA127" s="1585">
        <f t="shared" si="60"/>
        <v>0</v>
      </c>
      <c r="AB127" s="1585">
        <f t="shared" si="61"/>
        <v>0</v>
      </c>
      <c r="AC127" s="1598">
        <f t="shared" si="62"/>
        <v>0</v>
      </c>
      <c r="AD127" s="1597">
        <f t="shared" si="63"/>
        <v>0</v>
      </c>
      <c r="AE127" s="1597">
        <f t="shared" si="64"/>
        <v>0</v>
      </c>
      <c r="AG127" s="1157" t="s">
        <v>1162</v>
      </c>
      <c r="AH127" s="1161" t="s">
        <v>120</v>
      </c>
      <c r="AI127" s="1158" t="s">
        <v>1041</v>
      </c>
      <c r="AJ127" s="1163"/>
      <c r="AK127" s="1163"/>
      <c r="AL127" s="1163"/>
      <c r="AM127" s="1163"/>
      <c r="AN127" s="1163"/>
      <c r="AO127" s="1163"/>
      <c r="AP127" s="1163"/>
      <c r="AQ127" s="1163"/>
      <c r="AR127" s="1163"/>
      <c r="AS127" s="1163"/>
      <c r="AT127" s="1208"/>
      <c r="AU127" s="1207"/>
      <c r="AV127" s="1207"/>
      <c r="AX127" s="1157" t="s">
        <v>1162</v>
      </c>
      <c r="AY127" s="1161" t="s">
        <v>120</v>
      </c>
      <c r="AZ127" s="1158" t="s">
        <v>1041</v>
      </c>
      <c r="BA127" s="1163"/>
      <c r="BB127" s="1163"/>
      <c r="BC127" s="1163"/>
      <c r="BD127" s="1163"/>
      <c r="BE127" s="1163"/>
      <c r="BF127" s="1163"/>
      <c r="BG127" s="1163"/>
      <c r="BH127" s="1163"/>
      <c r="BI127" s="1163"/>
      <c r="BJ127" s="1163"/>
      <c r="BK127" s="1208"/>
      <c r="BL127" s="1207"/>
      <c r="BM127" s="1207"/>
      <c r="BO127" s="1157" t="s">
        <v>1162</v>
      </c>
      <c r="BP127" s="1161" t="s">
        <v>120</v>
      </c>
      <c r="BQ127" s="1158"/>
      <c r="BR127" s="1163"/>
      <c r="BS127" s="1163"/>
      <c r="BT127" s="1163"/>
      <c r="BU127" s="1163"/>
      <c r="BV127" s="1163"/>
      <c r="BW127" s="1163"/>
      <c r="BX127" s="1163"/>
      <c r="BY127" s="1163"/>
      <c r="BZ127" s="1695"/>
      <c r="CA127" s="1163"/>
      <c r="CB127" s="1208"/>
      <c r="CC127" s="1207"/>
      <c r="CD127" s="1207"/>
      <c r="CE127" s="1385"/>
      <c r="CG127" s="1157" t="s">
        <v>1162</v>
      </c>
      <c r="CH127" s="1161" t="s">
        <v>120</v>
      </c>
      <c r="CI127" s="1158"/>
      <c r="CJ127" s="1531">
        <f t="shared" si="88"/>
        <v>0</v>
      </c>
      <c r="CK127" s="1531">
        <f t="shared" si="76"/>
        <v>0</v>
      </c>
      <c r="CL127" s="1531">
        <f t="shared" si="77"/>
        <v>0</v>
      </c>
      <c r="CM127" s="1531">
        <f t="shared" si="78"/>
        <v>0</v>
      </c>
      <c r="CN127" s="1531">
        <f t="shared" si="79"/>
        <v>0</v>
      </c>
      <c r="CO127" s="1531">
        <f t="shared" si="80"/>
        <v>0</v>
      </c>
      <c r="CP127" s="1531">
        <f t="shared" si="81"/>
        <v>0</v>
      </c>
      <c r="CQ127" s="1531">
        <f t="shared" si="82"/>
        <v>0</v>
      </c>
      <c r="CR127" s="1531">
        <f t="shared" si="83"/>
        <v>0</v>
      </c>
      <c r="CS127" s="1531">
        <f t="shared" si="84"/>
        <v>0</v>
      </c>
      <c r="CT127" s="1547">
        <f t="shared" si="85"/>
        <v>0</v>
      </c>
      <c r="CU127" s="1546">
        <f t="shared" si="86"/>
        <v>0</v>
      </c>
      <c r="CV127" s="1546">
        <f t="shared" si="87"/>
        <v>0</v>
      </c>
      <c r="CX127" s="1157" t="s">
        <v>1162</v>
      </c>
      <c r="CY127" s="1161" t="s">
        <v>120</v>
      </c>
      <c r="CZ127" s="1158"/>
      <c r="DA127" s="1520">
        <f t="shared" si="89"/>
        <v>0</v>
      </c>
      <c r="DB127" s="1520"/>
      <c r="DC127" s="1520"/>
      <c r="DD127" s="1520"/>
      <c r="DE127" s="1520"/>
      <c r="DF127" s="1520"/>
      <c r="DG127" s="1520"/>
      <c r="DH127" s="1520"/>
      <c r="DI127" s="1520"/>
      <c r="DJ127" s="1520"/>
      <c r="DK127" s="1633"/>
      <c r="DL127" s="1523"/>
      <c r="DM127" s="1523"/>
    </row>
    <row r="128" spans="2:117" hidden="1">
      <c r="B128" s="1136" t="str">
        <f t="shared" si="99"/>
        <v>2.2</v>
      </c>
      <c r="C128" s="1158">
        <f t="shared" si="67"/>
        <v>0</v>
      </c>
      <c r="D128" s="1155">
        <f>IF(I$126=0,0,G128/I$126)</f>
        <v>0</v>
      </c>
      <c r="E128" s="1155">
        <f>IF(J$126=0,0,H128/J$126)</f>
        <v>0</v>
      </c>
      <c r="G128" s="1156">
        <f t="shared" si="96"/>
        <v>0</v>
      </c>
      <c r="H128" s="1156">
        <f t="shared" si="97"/>
        <v>0</v>
      </c>
      <c r="I128" s="1156"/>
      <c r="J128" s="1156"/>
      <c r="K128" s="1156">
        <f>IF(スコア!Q128=0,0,1)</f>
        <v>0</v>
      </c>
      <c r="L128" s="1156">
        <f>IF(スコア!S128=0,0,1)</f>
        <v>0</v>
      </c>
      <c r="M128" s="1156">
        <f t="shared" si="98"/>
        <v>0</v>
      </c>
      <c r="N128" s="1156">
        <f t="shared" si="101"/>
        <v>0</v>
      </c>
      <c r="P128" s="1157" t="str">
        <f t="shared" si="68"/>
        <v>2.2</v>
      </c>
      <c r="Q128" s="1157" t="str">
        <f t="shared" si="69"/>
        <v>LR1 2</v>
      </c>
      <c r="R128" s="1158">
        <f t="shared" si="70"/>
        <v>0</v>
      </c>
      <c r="S128" s="1585">
        <f t="shared" ref="S128:S191" si="102">IF($P$3=1,BA128,IF($P$3=2,BR128,IF($P$3=3,CJ128,IF($P$3=4,DA128,AJ128))))</f>
        <v>0</v>
      </c>
      <c r="T128" s="1585">
        <f t="shared" ref="T128:T191" si="103">IF($P$3=1,BB128,IF($P$3=2,BS128,IF($P$3=3,CK128,IF($P$3=4,DB128,AK128))))</f>
        <v>0</v>
      </c>
      <c r="U128" s="1585">
        <f t="shared" ref="U128:U191" si="104">IF($P$3=1,BC128,IF($P$3=2,BT128,IF($P$3=3,CL128,IF($P$3=4,DC128,AL128))))</f>
        <v>0</v>
      </c>
      <c r="V128" s="1585">
        <f t="shared" ref="V128:V191" si="105">IF($P$3=1,BD128,IF($P$3=2,BU128,IF($P$3=3,CM128,IF($P$3=4,DD128,AM128))))</f>
        <v>0</v>
      </c>
      <c r="W128" s="1585">
        <f t="shared" ref="W128:W191" si="106">IF($P$3=1,BE128,IF($P$3=2,BV128,IF($P$3=3,CN128,IF($P$3=4,DE128,AN128))))</f>
        <v>0</v>
      </c>
      <c r="X128" s="1585">
        <f t="shared" ref="X128:X191" si="107">IF($P$3=1,BF128,IF($P$3=2,BW128,IF($P$3=3,CO128,IF($P$3=4,DF128,AO128))))</f>
        <v>0</v>
      </c>
      <c r="Y128" s="1585">
        <f t="shared" ref="Y128:Y191" si="108">IF($P$3=1,BG128,IF($P$3=2,BX128,IF($P$3=3,CP128,IF($P$3=4,DG128,AP128))))</f>
        <v>0</v>
      </c>
      <c r="Z128" s="1587">
        <f t="shared" ref="Z128:Z191" si="109">IF($P$3=1,BH128,IF($P$3=2,BY128,IF($P$3=3,CQ128,IF($P$3=4,DH128,AQ128))))</f>
        <v>0</v>
      </c>
      <c r="AA128" s="1585">
        <f t="shared" ref="AA128:AA191" si="110">IF($P$3=1,BI128,IF($P$3=2,BZ128,IF($P$3=3,CR128,IF($P$3=4,DI128,AR128))))</f>
        <v>0</v>
      </c>
      <c r="AB128" s="1585">
        <f t="shared" ref="AB128:AB191" si="111">IF($P$3=1,BJ128,IF($P$3=2,CA128,IF($P$3=3,CS128,IF($P$3=4,DJ128,AS128))))</f>
        <v>0</v>
      </c>
      <c r="AC128" s="1598">
        <f t="shared" ref="AC128:AC191" si="112">IF($P$3=1,BK128,IF($P$3=2,CB128,IF($P$3=3,CT128,IF($P$3=4,DK128,AT128))))</f>
        <v>0</v>
      </c>
      <c r="AD128" s="1597">
        <f t="shared" ref="AD128:AD191" si="113">IF($P$3=1,BL128,IF($P$3=2,CC128,IF($P$3=3,CU128,IF($P$3=4,DL128,AU128))))</f>
        <v>0</v>
      </c>
      <c r="AE128" s="1597">
        <f t="shared" ref="AE128:AE191" si="114">IF($P$3=1,BM128,IF($P$3=2,CD128,IF($P$3=3,CV128,IF($P$3=4,DM128,AV128))))</f>
        <v>0</v>
      </c>
      <c r="AG128" s="1157" t="s">
        <v>1163</v>
      </c>
      <c r="AH128" s="1161" t="s">
        <v>120</v>
      </c>
      <c r="AI128" s="1158" t="s">
        <v>1042</v>
      </c>
      <c r="AJ128" s="1163"/>
      <c r="AK128" s="1163"/>
      <c r="AL128" s="1163"/>
      <c r="AM128" s="1163"/>
      <c r="AN128" s="1163"/>
      <c r="AO128" s="1163"/>
      <c r="AP128" s="1163"/>
      <c r="AQ128" s="1163"/>
      <c r="AR128" s="1163"/>
      <c r="AS128" s="1163"/>
      <c r="AT128" s="1208"/>
      <c r="AU128" s="1207"/>
      <c r="AV128" s="1207"/>
      <c r="AX128" s="1157" t="s">
        <v>1163</v>
      </c>
      <c r="AY128" s="1161" t="s">
        <v>120</v>
      </c>
      <c r="AZ128" s="1158" t="s">
        <v>1042</v>
      </c>
      <c r="BA128" s="1163"/>
      <c r="BB128" s="1163"/>
      <c r="BC128" s="1163"/>
      <c r="BD128" s="1163"/>
      <c r="BE128" s="1163"/>
      <c r="BF128" s="1163"/>
      <c r="BG128" s="1163"/>
      <c r="BH128" s="1163"/>
      <c r="BI128" s="1163"/>
      <c r="BJ128" s="1163"/>
      <c r="BK128" s="1208"/>
      <c r="BL128" s="1207"/>
      <c r="BM128" s="1207"/>
      <c r="BO128" s="1157" t="s">
        <v>1163</v>
      </c>
      <c r="BP128" s="1161" t="s">
        <v>120</v>
      </c>
      <c r="BQ128" s="1158"/>
      <c r="BR128" s="1163"/>
      <c r="BS128" s="1163"/>
      <c r="BT128" s="1163"/>
      <c r="BU128" s="1163"/>
      <c r="BV128" s="1163"/>
      <c r="BW128" s="1163"/>
      <c r="BX128" s="1163"/>
      <c r="BY128" s="1163"/>
      <c r="BZ128" s="1695"/>
      <c r="CA128" s="1163"/>
      <c r="CB128" s="1208"/>
      <c r="CC128" s="1207"/>
      <c r="CD128" s="1207"/>
      <c r="CE128" s="1385"/>
      <c r="CG128" s="1157" t="s">
        <v>1163</v>
      </c>
      <c r="CH128" s="1161" t="s">
        <v>120</v>
      </c>
      <c r="CI128" s="1158"/>
      <c r="CJ128" s="1531">
        <f t="shared" si="88"/>
        <v>0</v>
      </c>
      <c r="CK128" s="1531">
        <f t="shared" si="76"/>
        <v>0</v>
      </c>
      <c r="CL128" s="1531">
        <f t="shared" si="77"/>
        <v>0</v>
      </c>
      <c r="CM128" s="1531">
        <f t="shared" si="78"/>
        <v>0</v>
      </c>
      <c r="CN128" s="1531">
        <f t="shared" si="79"/>
        <v>0</v>
      </c>
      <c r="CO128" s="1531">
        <f t="shared" si="80"/>
        <v>0</v>
      </c>
      <c r="CP128" s="1531">
        <f t="shared" si="81"/>
        <v>0</v>
      </c>
      <c r="CQ128" s="1531">
        <f t="shared" si="82"/>
        <v>0</v>
      </c>
      <c r="CR128" s="1531">
        <f t="shared" si="83"/>
        <v>0</v>
      </c>
      <c r="CS128" s="1531">
        <f t="shared" si="84"/>
        <v>0</v>
      </c>
      <c r="CT128" s="1547">
        <f t="shared" si="85"/>
        <v>0</v>
      </c>
      <c r="CU128" s="1546">
        <f t="shared" si="86"/>
        <v>0</v>
      </c>
      <c r="CV128" s="1546">
        <f t="shared" si="87"/>
        <v>0</v>
      </c>
      <c r="CX128" s="1157" t="s">
        <v>1163</v>
      </c>
      <c r="CY128" s="1161" t="s">
        <v>120</v>
      </c>
      <c r="CZ128" s="1158"/>
      <c r="DA128" s="1520">
        <f t="shared" si="89"/>
        <v>0</v>
      </c>
      <c r="DB128" s="1520"/>
      <c r="DC128" s="1520"/>
      <c r="DD128" s="1520"/>
      <c r="DE128" s="1520"/>
      <c r="DF128" s="1520"/>
      <c r="DG128" s="1520"/>
      <c r="DH128" s="1520"/>
      <c r="DI128" s="1520"/>
      <c r="DJ128" s="1520"/>
      <c r="DK128" s="1633"/>
      <c r="DL128" s="1523"/>
      <c r="DM128" s="1523"/>
    </row>
    <row r="129" spans="2:117">
      <c r="B129" s="1136">
        <f t="shared" si="99"/>
        <v>3</v>
      </c>
      <c r="C129" s="1148" t="str">
        <f t="shared" si="67"/>
        <v>設備システムの高効率化</v>
      </c>
      <c r="D129" s="1144">
        <f>IF(I$122=0,0,G129/I$122)</f>
        <v>0.5</v>
      </c>
      <c r="E129" s="1145">
        <f>IF(J$122=0,0,H129/J$122)</f>
        <v>0</v>
      </c>
      <c r="G129" s="1145">
        <f t="shared" si="96"/>
        <v>0.5</v>
      </c>
      <c r="H129" s="1145">
        <f t="shared" si="97"/>
        <v>0</v>
      </c>
      <c r="I129" s="1213">
        <f>SUM(G130:G131)</f>
        <v>1</v>
      </c>
      <c r="J129" s="1213">
        <f>SUM(H130:H131)</f>
        <v>0</v>
      </c>
      <c r="K129" s="1145">
        <f>IF(スコア!Q129=0,0,1)</f>
        <v>1</v>
      </c>
      <c r="L129" s="1145">
        <f>IF(スコア!S129=0,0,1)</f>
        <v>0</v>
      </c>
      <c r="M129" s="1145">
        <f t="shared" si="98"/>
        <v>0.5</v>
      </c>
      <c r="N129" s="1145">
        <f t="shared" si="101"/>
        <v>0</v>
      </c>
      <c r="P129" s="1147">
        <f t="shared" si="68"/>
        <v>3</v>
      </c>
      <c r="Q129" s="1147" t="str">
        <f t="shared" si="69"/>
        <v>LR1</v>
      </c>
      <c r="R129" s="1148" t="str">
        <f t="shared" si="70"/>
        <v>設備システムの高効率化</v>
      </c>
      <c r="S129" s="1594">
        <f t="shared" si="102"/>
        <v>0.5</v>
      </c>
      <c r="T129" s="1594">
        <f t="shared" si="103"/>
        <v>0.5</v>
      </c>
      <c r="U129" s="1594">
        <f t="shared" si="104"/>
        <v>0.5</v>
      </c>
      <c r="V129" s="1594">
        <f t="shared" si="105"/>
        <v>0.5</v>
      </c>
      <c r="W129" s="1594">
        <f t="shared" si="106"/>
        <v>0.5</v>
      </c>
      <c r="X129" s="1594">
        <f t="shared" si="107"/>
        <v>0.5</v>
      </c>
      <c r="Y129" s="1594">
        <f t="shared" si="108"/>
        <v>0.5</v>
      </c>
      <c r="Z129" s="1583">
        <f t="shared" si="109"/>
        <v>0.5</v>
      </c>
      <c r="AA129" s="1594">
        <f t="shared" si="110"/>
        <v>0.5</v>
      </c>
      <c r="AB129" s="1594">
        <f t="shared" si="111"/>
        <v>0.5</v>
      </c>
      <c r="AC129" s="1584">
        <f t="shared" si="112"/>
        <v>0</v>
      </c>
      <c r="AD129" s="1582">
        <f t="shared" si="113"/>
        <v>0</v>
      </c>
      <c r="AE129" s="1582">
        <f t="shared" si="114"/>
        <v>0</v>
      </c>
      <c r="AG129" s="1147">
        <v>3</v>
      </c>
      <c r="AH129" s="1151" t="s">
        <v>1452</v>
      </c>
      <c r="AI129" s="1148" t="s">
        <v>1043</v>
      </c>
      <c r="AJ129" s="1197">
        <v>0.5</v>
      </c>
      <c r="AK129" s="1197">
        <v>0.5</v>
      </c>
      <c r="AL129" s="1197">
        <v>0.5</v>
      </c>
      <c r="AM129" s="1197">
        <v>0.5</v>
      </c>
      <c r="AN129" s="1197">
        <v>0.5</v>
      </c>
      <c r="AO129" s="1197">
        <v>0.5</v>
      </c>
      <c r="AP129" s="1197">
        <v>0.5</v>
      </c>
      <c r="AQ129" s="1197">
        <v>0.5</v>
      </c>
      <c r="AR129" s="1276">
        <v>0.625</v>
      </c>
      <c r="AS129" s="1197">
        <v>0.5</v>
      </c>
      <c r="AT129" s="1153"/>
      <c r="AU129" s="1152"/>
      <c r="AV129" s="1152"/>
      <c r="AX129" s="1147">
        <v>3</v>
      </c>
      <c r="AY129" s="1151" t="s">
        <v>1452</v>
      </c>
      <c r="AZ129" s="1148" t="s">
        <v>1043</v>
      </c>
      <c r="BA129" s="1197">
        <v>0.5</v>
      </c>
      <c r="BB129" s="1197">
        <v>0.5</v>
      </c>
      <c r="BC129" s="1197">
        <v>0.5</v>
      </c>
      <c r="BD129" s="1197">
        <v>0.5</v>
      </c>
      <c r="BE129" s="1197">
        <v>0.5</v>
      </c>
      <c r="BF129" s="1197">
        <v>0.5</v>
      </c>
      <c r="BG129" s="1197">
        <v>0.5</v>
      </c>
      <c r="BH129" s="1197">
        <v>0.5</v>
      </c>
      <c r="BI129" s="1197">
        <v>0.5</v>
      </c>
      <c r="BJ129" s="1197">
        <v>0.5</v>
      </c>
      <c r="BK129" s="1153"/>
      <c r="BL129" s="1152"/>
      <c r="BM129" s="1152"/>
      <c r="BO129" s="1147">
        <v>3</v>
      </c>
      <c r="BP129" s="1151" t="s">
        <v>1452</v>
      </c>
      <c r="BQ129" s="1148" t="s">
        <v>1043</v>
      </c>
      <c r="BR129" s="1197">
        <v>0.5</v>
      </c>
      <c r="BS129" s="1197">
        <v>0.5</v>
      </c>
      <c r="BT129" s="1197">
        <v>0.5</v>
      </c>
      <c r="BU129" s="1197">
        <v>0.5</v>
      </c>
      <c r="BV129" s="1197">
        <v>0.5</v>
      </c>
      <c r="BW129" s="1197">
        <v>0.5</v>
      </c>
      <c r="BX129" s="1197">
        <v>0.5</v>
      </c>
      <c r="BY129" s="1197">
        <v>0.5</v>
      </c>
      <c r="BZ129" s="1694">
        <v>0.5</v>
      </c>
      <c r="CA129" s="1197">
        <v>0.5</v>
      </c>
      <c r="CB129" s="1153"/>
      <c r="CC129" s="1152"/>
      <c r="CD129" s="1152"/>
      <c r="CE129" s="1381"/>
      <c r="CG129" s="1147">
        <v>3</v>
      </c>
      <c r="CH129" s="1151" t="s">
        <v>1452</v>
      </c>
      <c r="CI129" s="1148" t="s">
        <v>1043</v>
      </c>
      <c r="CJ129" s="1541">
        <f t="shared" si="88"/>
        <v>0.5</v>
      </c>
      <c r="CK129" s="1541">
        <f t="shared" si="76"/>
        <v>0.5</v>
      </c>
      <c r="CL129" s="1541">
        <f t="shared" si="77"/>
        <v>0.5</v>
      </c>
      <c r="CM129" s="1541">
        <f t="shared" si="78"/>
        <v>0.5</v>
      </c>
      <c r="CN129" s="1541">
        <f t="shared" si="79"/>
        <v>0.5</v>
      </c>
      <c r="CO129" s="1541">
        <f t="shared" si="80"/>
        <v>0.5</v>
      </c>
      <c r="CP129" s="1541">
        <f t="shared" si="81"/>
        <v>0.5</v>
      </c>
      <c r="CQ129" s="1541">
        <f t="shared" si="82"/>
        <v>0.5</v>
      </c>
      <c r="CR129" s="1541">
        <f t="shared" si="83"/>
        <v>0.5</v>
      </c>
      <c r="CS129" s="1541">
        <f t="shared" si="84"/>
        <v>0.5</v>
      </c>
      <c r="CT129" s="1530">
        <f t="shared" si="85"/>
        <v>0</v>
      </c>
      <c r="CU129" s="1528">
        <f t="shared" si="86"/>
        <v>0</v>
      </c>
      <c r="CV129" s="1528">
        <f t="shared" si="87"/>
        <v>0</v>
      </c>
      <c r="CX129" s="1147">
        <v>3</v>
      </c>
      <c r="CY129" s="1151" t="s">
        <v>1452</v>
      </c>
      <c r="CZ129" s="1148" t="s">
        <v>1043</v>
      </c>
      <c r="DA129" s="1521">
        <f t="shared" si="89"/>
        <v>0.5</v>
      </c>
      <c r="DB129" s="1521"/>
      <c r="DC129" s="1521"/>
      <c r="DD129" s="1521"/>
      <c r="DE129" s="1521"/>
      <c r="DF129" s="1521"/>
      <c r="DG129" s="1521"/>
      <c r="DH129" s="1521"/>
      <c r="DI129" s="1521"/>
      <c r="DJ129" s="1521"/>
      <c r="DK129" s="1519"/>
      <c r="DL129" s="1518"/>
      <c r="DM129" s="1518"/>
    </row>
    <row r="130" spans="2:117" hidden="1">
      <c r="B130" s="1136" t="str">
        <f t="shared" si="99"/>
        <v>3a.3b</v>
      </c>
      <c r="C130" s="1148" t="str">
        <f t="shared" si="67"/>
        <v>非住宅部分</v>
      </c>
      <c r="D130" s="1144">
        <f>IF(I$129=0,0,G130/I$129)</f>
        <v>0.33333333333333331</v>
      </c>
      <c r="E130" s="1145">
        <f>IF(J$129=0,0,H130/J$129)</f>
        <v>0</v>
      </c>
      <c r="G130" s="1145">
        <f t="shared" si="96"/>
        <v>0.33333333333333331</v>
      </c>
      <c r="H130" s="1145">
        <f t="shared" si="97"/>
        <v>0</v>
      </c>
      <c r="I130" s="1145"/>
      <c r="J130" s="1145"/>
      <c r="K130" s="1145">
        <f>IF(スコア!Q130=0,0,1)</f>
        <v>1</v>
      </c>
      <c r="L130" s="1145">
        <f>IF(スコア!S130=0,0,1)</f>
        <v>0</v>
      </c>
      <c r="M130" s="1145">
        <f>SUMPRODUCT($S$7:$AB$7,S130:AB130)</f>
        <v>0.33333333333333331</v>
      </c>
      <c r="N130" s="1145">
        <f t="shared" si="101"/>
        <v>0</v>
      </c>
      <c r="P130" s="1147" t="str">
        <f t="shared" si="68"/>
        <v>3a.3b</v>
      </c>
      <c r="Q130" s="1147" t="str">
        <f t="shared" si="69"/>
        <v>LR1 3</v>
      </c>
      <c r="R130" s="1148" t="str">
        <f t="shared" si="70"/>
        <v>非住宅部分</v>
      </c>
      <c r="S130" s="1585">
        <f t="shared" si="102"/>
        <v>1</v>
      </c>
      <c r="T130" s="1585">
        <f t="shared" si="103"/>
        <v>1</v>
      </c>
      <c r="U130" s="1585">
        <f t="shared" si="104"/>
        <v>1</v>
      </c>
      <c r="V130" s="1585">
        <f t="shared" si="105"/>
        <v>1</v>
      </c>
      <c r="W130" s="1585">
        <f t="shared" si="106"/>
        <v>1</v>
      </c>
      <c r="X130" s="1585">
        <f t="shared" si="107"/>
        <v>1</v>
      </c>
      <c r="Y130" s="1585">
        <f t="shared" si="108"/>
        <v>0</v>
      </c>
      <c r="Z130" s="1587">
        <f t="shared" si="109"/>
        <v>1</v>
      </c>
      <c r="AA130" s="1585">
        <f t="shared" si="110"/>
        <v>1</v>
      </c>
      <c r="AB130" s="1585">
        <f t="shared" si="111"/>
        <v>1</v>
      </c>
      <c r="AC130" s="1584">
        <f t="shared" si="112"/>
        <v>0</v>
      </c>
      <c r="AD130" s="1582">
        <f t="shared" si="113"/>
        <v>0</v>
      </c>
      <c r="AE130" s="1582">
        <f t="shared" si="114"/>
        <v>0</v>
      </c>
      <c r="AG130" s="1147" t="s">
        <v>1164</v>
      </c>
      <c r="AH130" s="1151" t="s">
        <v>1165</v>
      </c>
      <c r="AI130" s="1148" t="s">
        <v>121</v>
      </c>
      <c r="AJ130" s="1249"/>
      <c r="AK130" s="1249"/>
      <c r="AL130" s="1249"/>
      <c r="AM130" s="1249"/>
      <c r="AN130" s="1249"/>
      <c r="AO130" s="1249"/>
      <c r="AP130" s="1250"/>
      <c r="AQ130" s="1249"/>
      <c r="AR130" s="1249"/>
      <c r="AS130" s="1250"/>
      <c r="AT130" s="1153"/>
      <c r="AU130" s="1152"/>
      <c r="AV130" s="1152"/>
      <c r="AX130" s="1147" t="s">
        <v>1164</v>
      </c>
      <c r="AY130" s="1151" t="s">
        <v>1165</v>
      </c>
      <c r="AZ130" s="1148" t="s">
        <v>846</v>
      </c>
      <c r="BA130" s="1250">
        <v>1</v>
      </c>
      <c r="BB130" s="1250">
        <v>1</v>
      </c>
      <c r="BC130" s="1250">
        <v>1</v>
      </c>
      <c r="BD130" s="1250">
        <v>1</v>
      </c>
      <c r="BE130" s="1250">
        <v>1</v>
      </c>
      <c r="BF130" s="1250">
        <v>1</v>
      </c>
      <c r="BG130" s="1250"/>
      <c r="BH130" s="1250">
        <v>1</v>
      </c>
      <c r="BI130" s="1250">
        <v>1</v>
      </c>
      <c r="BJ130" s="1250">
        <v>1</v>
      </c>
      <c r="BK130" s="1153"/>
      <c r="BL130" s="1152"/>
      <c r="BM130" s="1152"/>
      <c r="BO130" s="1147" t="s">
        <v>2455</v>
      </c>
      <c r="BP130" s="1151" t="s">
        <v>1165</v>
      </c>
      <c r="BQ130" s="1148" t="s">
        <v>846</v>
      </c>
      <c r="BR130" s="1250">
        <v>1</v>
      </c>
      <c r="BS130" s="1250">
        <v>1</v>
      </c>
      <c r="BT130" s="1250">
        <v>1</v>
      </c>
      <c r="BU130" s="1250">
        <v>1</v>
      </c>
      <c r="BV130" s="1250">
        <v>1</v>
      </c>
      <c r="BW130" s="1250">
        <v>1</v>
      </c>
      <c r="BX130" s="1250"/>
      <c r="BY130" s="1250">
        <v>1</v>
      </c>
      <c r="BZ130" s="1696">
        <v>1</v>
      </c>
      <c r="CA130" s="1250">
        <v>1</v>
      </c>
      <c r="CB130" s="1153"/>
      <c r="CC130" s="1152"/>
      <c r="CD130" s="1152"/>
      <c r="CE130" s="1381"/>
      <c r="CG130" s="1147" t="s">
        <v>2455</v>
      </c>
      <c r="CH130" s="1151" t="s">
        <v>1165</v>
      </c>
      <c r="CI130" s="1148" t="s">
        <v>846</v>
      </c>
      <c r="CJ130" s="1542">
        <f t="shared" si="88"/>
        <v>1</v>
      </c>
      <c r="CK130" s="1542">
        <f t="shared" si="76"/>
        <v>1</v>
      </c>
      <c r="CL130" s="1542">
        <f t="shared" si="77"/>
        <v>1</v>
      </c>
      <c r="CM130" s="1542">
        <f t="shared" si="78"/>
        <v>1</v>
      </c>
      <c r="CN130" s="1542">
        <f t="shared" si="79"/>
        <v>1</v>
      </c>
      <c r="CO130" s="1542">
        <f t="shared" si="80"/>
        <v>1</v>
      </c>
      <c r="CP130" s="1542">
        <f t="shared" si="81"/>
        <v>0</v>
      </c>
      <c r="CQ130" s="1542">
        <f t="shared" si="82"/>
        <v>1</v>
      </c>
      <c r="CR130" s="1542">
        <f t="shared" si="83"/>
        <v>1</v>
      </c>
      <c r="CS130" s="1542">
        <f t="shared" si="84"/>
        <v>1</v>
      </c>
      <c r="CT130" s="1530">
        <f t="shared" si="85"/>
        <v>0</v>
      </c>
      <c r="CU130" s="1528">
        <f t="shared" si="86"/>
        <v>0</v>
      </c>
      <c r="CV130" s="1528">
        <f t="shared" si="87"/>
        <v>0</v>
      </c>
      <c r="CX130" s="1147" t="s">
        <v>2455</v>
      </c>
      <c r="CY130" s="1151" t="s">
        <v>1165</v>
      </c>
      <c r="CZ130" s="1148" t="s">
        <v>846</v>
      </c>
      <c r="DA130" s="1522">
        <f t="shared" si="89"/>
        <v>1</v>
      </c>
      <c r="DB130" s="1522"/>
      <c r="DC130" s="1522"/>
      <c r="DD130" s="1522"/>
      <c r="DE130" s="1522"/>
      <c r="DF130" s="1522"/>
      <c r="DG130" s="1522"/>
      <c r="DH130" s="1522"/>
      <c r="DI130" s="1522"/>
      <c r="DJ130" s="1522"/>
      <c r="DK130" s="1519"/>
      <c r="DL130" s="1518"/>
      <c r="DM130" s="1518"/>
    </row>
    <row r="131" spans="2:117" hidden="1">
      <c r="B131" s="1136" t="str">
        <f t="shared" si="99"/>
        <v>3b.c</v>
      </c>
      <c r="C131" s="1148" t="str">
        <f t="shared" si="67"/>
        <v>集合住宅の評価</v>
      </c>
      <c r="D131" s="1144">
        <f>IF(I$129=0,0,G131/I$129)</f>
        <v>0.66666666666666663</v>
      </c>
      <c r="E131" s="1145">
        <f>IF(J$129=0,0,H131/J$129)</f>
        <v>0</v>
      </c>
      <c r="G131" s="1145">
        <f t="shared" si="96"/>
        <v>0.66666666666666663</v>
      </c>
      <c r="H131" s="1145">
        <f t="shared" si="97"/>
        <v>0</v>
      </c>
      <c r="I131" s="1145">
        <f>G132+G133+G134+G135+G136</f>
        <v>0</v>
      </c>
      <c r="J131" s="1145">
        <f>H132+H133+H134+H135+H136</f>
        <v>0</v>
      </c>
      <c r="K131" s="1145">
        <f>IF(スコア!Q131=0,0,1)</f>
        <v>1</v>
      </c>
      <c r="L131" s="1145">
        <f>IF(スコア!S131=0,0,1)</f>
        <v>0</v>
      </c>
      <c r="M131" s="1145">
        <f>SUMPRODUCT($S$7:$AB$7,S131:AB131)</f>
        <v>0.66666666666666663</v>
      </c>
      <c r="N131" s="1145">
        <f t="shared" si="101"/>
        <v>0</v>
      </c>
      <c r="P131" s="1147" t="str">
        <f t="shared" si="68"/>
        <v>3b.c</v>
      </c>
      <c r="Q131" s="1147" t="str">
        <f t="shared" si="69"/>
        <v>LR1 3</v>
      </c>
      <c r="R131" s="1148" t="str">
        <f t="shared" si="70"/>
        <v>集合住宅の評価</v>
      </c>
      <c r="S131" s="1585">
        <f t="shared" si="102"/>
        <v>0</v>
      </c>
      <c r="T131" s="1585">
        <f t="shared" si="103"/>
        <v>0</v>
      </c>
      <c r="U131" s="1585">
        <f t="shared" si="104"/>
        <v>0</v>
      </c>
      <c r="V131" s="1585">
        <f t="shared" si="105"/>
        <v>0</v>
      </c>
      <c r="W131" s="1585">
        <f t="shared" si="106"/>
        <v>0</v>
      </c>
      <c r="X131" s="1585">
        <f t="shared" si="107"/>
        <v>0</v>
      </c>
      <c r="Y131" s="1585">
        <f t="shared" si="108"/>
        <v>1</v>
      </c>
      <c r="Z131" s="1587">
        <f t="shared" si="109"/>
        <v>0</v>
      </c>
      <c r="AA131" s="1585">
        <f t="shared" si="110"/>
        <v>0</v>
      </c>
      <c r="AB131" s="1585">
        <f t="shared" si="111"/>
        <v>0</v>
      </c>
      <c r="AC131" s="1584">
        <f t="shared" si="112"/>
        <v>0</v>
      </c>
      <c r="AD131" s="1582">
        <f t="shared" si="113"/>
        <v>0</v>
      </c>
      <c r="AE131" s="1582">
        <f t="shared" si="114"/>
        <v>0</v>
      </c>
      <c r="AG131" s="1147" t="s">
        <v>1584</v>
      </c>
      <c r="AH131" s="1151" t="s">
        <v>1165</v>
      </c>
      <c r="AI131" s="1148" t="s">
        <v>122</v>
      </c>
      <c r="AJ131" s="1251"/>
      <c r="AK131" s="1251"/>
      <c r="AL131" s="1251"/>
      <c r="AM131" s="1251"/>
      <c r="AN131" s="1251"/>
      <c r="AO131" s="1251"/>
      <c r="AP131" s="1250"/>
      <c r="AQ131" s="1251"/>
      <c r="AR131" s="1251"/>
      <c r="AS131" s="1250"/>
      <c r="AT131" s="1153"/>
      <c r="AU131" s="1152"/>
      <c r="AV131" s="1152"/>
      <c r="AX131" s="1147" t="s">
        <v>1584</v>
      </c>
      <c r="AY131" s="1151" t="s">
        <v>1165</v>
      </c>
      <c r="AZ131" s="1148" t="s">
        <v>1301</v>
      </c>
      <c r="BA131" s="1251"/>
      <c r="BB131" s="1251"/>
      <c r="BC131" s="1251"/>
      <c r="BD131" s="1251"/>
      <c r="BE131" s="1251"/>
      <c r="BF131" s="1251"/>
      <c r="BG131" s="1250">
        <v>1</v>
      </c>
      <c r="BH131" s="1251"/>
      <c r="BI131" s="1251"/>
      <c r="BJ131" s="1250"/>
      <c r="BK131" s="1153"/>
      <c r="BL131" s="1152"/>
      <c r="BM131" s="1152"/>
      <c r="BO131" s="1147" t="s">
        <v>2456</v>
      </c>
      <c r="BP131" s="1151" t="s">
        <v>1165</v>
      </c>
      <c r="BQ131" s="1148" t="s">
        <v>1301</v>
      </c>
      <c r="BR131" s="1251"/>
      <c r="BS131" s="1251"/>
      <c r="BT131" s="1251"/>
      <c r="BU131" s="1251"/>
      <c r="BV131" s="1251"/>
      <c r="BW131" s="1251"/>
      <c r="BX131" s="1250">
        <v>1</v>
      </c>
      <c r="BY131" s="1251"/>
      <c r="BZ131" s="1697"/>
      <c r="CA131" s="1250"/>
      <c r="CB131" s="1153"/>
      <c r="CC131" s="1152"/>
      <c r="CD131" s="1152"/>
      <c r="CE131" s="1381"/>
      <c r="CG131" s="1147" t="s">
        <v>2456</v>
      </c>
      <c r="CH131" s="1151" t="s">
        <v>1165</v>
      </c>
      <c r="CI131" s="1148" t="s">
        <v>1301</v>
      </c>
      <c r="CJ131" s="1541">
        <f t="shared" si="88"/>
        <v>0</v>
      </c>
      <c r="CK131" s="1541">
        <f t="shared" si="76"/>
        <v>0</v>
      </c>
      <c r="CL131" s="1541">
        <f t="shared" si="77"/>
        <v>0</v>
      </c>
      <c r="CM131" s="1541">
        <f t="shared" si="78"/>
        <v>0</v>
      </c>
      <c r="CN131" s="1541">
        <f t="shared" si="79"/>
        <v>0</v>
      </c>
      <c r="CO131" s="1541">
        <f t="shared" si="80"/>
        <v>0</v>
      </c>
      <c r="CP131" s="1542">
        <f t="shared" si="81"/>
        <v>1</v>
      </c>
      <c r="CQ131" s="1541">
        <f t="shared" si="82"/>
        <v>0</v>
      </c>
      <c r="CR131" s="1541">
        <f t="shared" si="83"/>
        <v>0</v>
      </c>
      <c r="CS131" s="1542">
        <f t="shared" si="84"/>
        <v>0</v>
      </c>
      <c r="CT131" s="1530">
        <f t="shared" si="85"/>
        <v>0</v>
      </c>
      <c r="CU131" s="1528">
        <f t="shared" si="86"/>
        <v>0</v>
      </c>
      <c r="CV131" s="1528">
        <f t="shared" si="87"/>
        <v>0</v>
      </c>
      <c r="CX131" s="1147" t="s">
        <v>2456</v>
      </c>
      <c r="CY131" s="1151" t="s">
        <v>1165</v>
      </c>
      <c r="CZ131" s="1148" t="s">
        <v>1301</v>
      </c>
      <c r="DA131" s="1521">
        <f t="shared" si="89"/>
        <v>0</v>
      </c>
      <c r="DB131" s="1521"/>
      <c r="DC131" s="1521"/>
      <c r="DD131" s="1521"/>
      <c r="DE131" s="1521"/>
      <c r="DF131" s="1521"/>
      <c r="DG131" s="1522"/>
      <c r="DH131" s="1521"/>
      <c r="DI131" s="1521"/>
      <c r="DJ131" s="1522"/>
      <c r="DK131" s="1519"/>
      <c r="DL131" s="1518"/>
      <c r="DM131" s="1518"/>
    </row>
    <row r="132" spans="2:117" hidden="1">
      <c r="B132" s="1136">
        <f t="shared" si="99"/>
        <v>3.1</v>
      </c>
      <c r="C132" s="1158" t="str">
        <f t="shared" si="67"/>
        <v>空調設備</v>
      </c>
      <c r="D132" s="1155">
        <f t="shared" ref="D132:E136" si="115">IF(I$131=0,0,G132/I$131)</f>
        <v>0</v>
      </c>
      <c r="E132" s="1156">
        <f t="shared" si="115"/>
        <v>0</v>
      </c>
      <c r="G132" s="1156">
        <f t="shared" si="96"/>
        <v>0</v>
      </c>
      <c r="H132" s="1156">
        <f t="shared" si="97"/>
        <v>0</v>
      </c>
      <c r="I132" s="1156"/>
      <c r="J132" s="1156"/>
      <c r="K132" s="1156">
        <f>IF(スコア!Q132=0,0,1)</f>
        <v>0</v>
      </c>
      <c r="L132" s="1156">
        <f>IF(スコア!S132=0,0,1)</f>
        <v>0</v>
      </c>
      <c r="M132" s="1156">
        <f t="shared" si="98"/>
        <v>0</v>
      </c>
      <c r="N132" s="1156">
        <f t="shared" si="101"/>
        <v>0</v>
      </c>
      <c r="P132" s="1157">
        <f t="shared" si="68"/>
        <v>3.1</v>
      </c>
      <c r="Q132" s="1157" t="str">
        <f t="shared" si="69"/>
        <v>LR1 3b</v>
      </c>
      <c r="R132" s="1158" t="str">
        <f t="shared" si="70"/>
        <v>空調設備</v>
      </c>
      <c r="S132" s="1585">
        <f t="shared" si="102"/>
        <v>0</v>
      </c>
      <c r="T132" s="1585">
        <f t="shared" si="103"/>
        <v>0</v>
      </c>
      <c r="U132" s="1585">
        <f t="shared" si="104"/>
        <v>0</v>
      </c>
      <c r="V132" s="1585">
        <f t="shared" si="105"/>
        <v>0</v>
      </c>
      <c r="W132" s="1585">
        <f t="shared" si="106"/>
        <v>0</v>
      </c>
      <c r="X132" s="1585">
        <f t="shared" si="107"/>
        <v>0</v>
      </c>
      <c r="Y132" s="1585">
        <f t="shared" si="108"/>
        <v>0</v>
      </c>
      <c r="Z132" s="1587">
        <f t="shared" si="109"/>
        <v>0</v>
      </c>
      <c r="AA132" s="1585">
        <f t="shared" si="110"/>
        <v>0</v>
      </c>
      <c r="AB132" s="1585">
        <f t="shared" si="111"/>
        <v>0</v>
      </c>
      <c r="AC132" s="1586">
        <f t="shared" si="112"/>
        <v>0</v>
      </c>
      <c r="AD132" s="1585">
        <f t="shared" si="113"/>
        <v>0</v>
      </c>
      <c r="AE132" s="1585">
        <f t="shared" si="114"/>
        <v>0</v>
      </c>
      <c r="AG132" s="1157">
        <v>3.1</v>
      </c>
      <c r="AH132" s="1161" t="s">
        <v>1166</v>
      </c>
      <c r="AI132" s="1158" t="s">
        <v>1044</v>
      </c>
      <c r="AJ132" s="1163"/>
      <c r="AK132" s="1163"/>
      <c r="AL132" s="1163"/>
      <c r="AM132" s="1163"/>
      <c r="AN132" s="1163"/>
      <c r="AO132" s="1163"/>
      <c r="AP132" s="1163"/>
      <c r="AQ132" s="1170"/>
      <c r="AR132" s="1163"/>
      <c r="AS132" s="1277">
        <v>0.65</v>
      </c>
      <c r="AT132" s="1164"/>
      <c r="AU132" s="1163"/>
      <c r="AV132" s="1163"/>
      <c r="AX132" s="1157">
        <v>3.1</v>
      </c>
      <c r="AY132" s="1161" t="s">
        <v>1166</v>
      </c>
      <c r="AZ132" s="1158" t="s">
        <v>1044</v>
      </c>
      <c r="BA132" s="1163"/>
      <c r="BB132" s="1163"/>
      <c r="BC132" s="1163"/>
      <c r="BD132" s="1163"/>
      <c r="BE132" s="1163"/>
      <c r="BF132" s="1163"/>
      <c r="BG132" s="1163"/>
      <c r="BH132" s="1170"/>
      <c r="BI132" s="1163"/>
      <c r="BJ132" s="1277">
        <v>0.65</v>
      </c>
      <c r="BK132" s="1164"/>
      <c r="BL132" s="1163"/>
      <c r="BM132" s="1163"/>
      <c r="BO132" s="1157">
        <v>3.1</v>
      </c>
      <c r="BP132" s="1161" t="s">
        <v>1166</v>
      </c>
      <c r="BQ132" s="1158" t="s">
        <v>1044</v>
      </c>
      <c r="BR132" s="1163"/>
      <c r="BS132" s="1163"/>
      <c r="BT132" s="1163"/>
      <c r="BU132" s="1163"/>
      <c r="BV132" s="1163"/>
      <c r="BW132" s="1163"/>
      <c r="BX132" s="1163"/>
      <c r="BY132" s="1170"/>
      <c r="BZ132" s="1695"/>
      <c r="CA132" s="1163"/>
      <c r="CB132" s="1164"/>
      <c r="CC132" s="1163"/>
      <c r="CD132" s="1163"/>
      <c r="CE132" s="1382"/>
      <c r="CF132">
        <f>ROWS($CF$5:CF131)</f>
        <v>127</v>
      </c>
      <c r="CG132" s="1157">
        <v>3.1</v>
      </c>
      <c r="CH132" s="1161" t="s">
        <v>1166</v>
      </c>
      <c r="CI132" s="1158"/>
      <c r="CJ132" s="1531">
        <f t="shared" si="88"/>
        <v>0</v>
      </c>
      <c r="CK132" s="1531">
        <f t="shared" si="76"/>
        <v>0</v>
      </c>
      <c r="CL132" s="1531">
        <f t="shared" si="77"/>
        <v>0</v>
      </c>
      <c r="CM132" s="1531">
        <f t="shared" si="78"/>
        <v>0</v>
      </c>
      <c r="CN132" s="1531">
        <f t="shared" si="79"/>
        <v>0</v>
      </c>
      <c r="CO132" s="1531">
        <f t="shared" si="80"/>
        <v>0</v>
      </c>
      <c r="CP132" s="1531">
        <f t="shared" si="81"/>
        <v>0</v>
      </c>
      <c r="CQ132" s="1543">
        <f t="shared" si="82"/>
        <v>0</v>
      </c>
      <c r="CR132" s="1531">
        <f t="shared" si="83"/>
        <v>0</v>
      </c>
      <c r="CS132" s="1531">
        <f t="shared" si="84"/>
        <v>0</v>
      </c>
      <c r="CT132" s="1533">
        <f t="shared" si="85"/>
        <v>0</v>
      </c>
      <c r="CU132" s="1531">
        <f t="shared" si="86"/>
        <v>0</v>
      </c>
      <c r="CV132" s="1531">
        <f t="shared" si="87"/>
        <v>0</v>
      </c>
      <c r="CX132" s="1157">
        <v>3.1</v>
      </c>
      <c r="CY132" s="1161" t="s">
        <v>1166</v>
      </c>
      <c r="CZ132" s="1158"/>
      <c r="DA132" s="1520">
        <f t="shared" si="89"/>
        <v>0</v>
      </c>
      <c r="DB132" s="1520"/>
      <c r="DC132" s="1520"/>
      <c r="DD132" s="1520"/>
      <c r="DE132" s="1520"/>
      <c r="DF132" s="1520"/>
      <c r="DG132" s="1520"/>
      <c r="DH132" s="1576"/>
      <c r="DI132" s="1520"/>
      <c r="DJ132" s="1520"/>
      <c r="DK132" s="1623"/>
      <c r="DL132" s="1520"/>
      <c r="DM132" s="1520"/>
    </row>
    <row r="133" spans="2:117" hidden="1">
      <c r="B133" s="1136">
        <f t="shared" si="99"/>
        <v>3.2</v>
      </c>
      <c r="C133" s="1158" t="str">
        <f t="shared" si="67"/>
        <v>換気設備</v>
      </c>
      <c r="D133" s="1155">
        <f t="shared" si="115"/>
        <v>0</v>
      </c>
      <c r="E133" s="1156">
        <f t="shared" si="115"/>
        <v>0</v>
      </c>
      <c r="G133" s="1156">
        <f t="shared" si="96"/>
        <v>0</v>
      </c>
      <c r="H133" s="1156">
        <f t="shared" si="97"/>
        <v>0</v>
      </c>
      <c r="I133" s="1156"/>
      <c r="J133" s="1156"/>
      <c r="K133" s="1156">
        <f>IF(スコア!Q133=0,0,1)</f>
        <v>0</v>
      </c>
      <c r="L133" s="1156">
        <f>IF(スコア!S133=0,0,1)</f>
        <v>0</v>
      </c>
      <c r="M133" s="1156">
        <f t="shared" si="98"/>
        <v>0</v>
      </c>
      <c r="N133" s="1156">
        <f t="shared" si="101"/>
        <v>0</v>
      </c>
      <c r="P133" s="1157">
        <f t="shared" si="68"/>
        <v>3.2</v>
      </c>
      <c r="Q133" s="1157" t="str">
        <f t="shared" si="69"/>
        <v>LR1 3b</v>
      </c>
      <c r="R133" s="1158" t="str">
        <f t="shared" si="70"/>
        <v>換気設備</v>
      </c>
      <c r="S133" s="1585">
        <f t="shared" si="102"/>
        <v>0</v>
      </c>
      <c r="T133" s="1585">
        <f t="shared" si="103"/>
        <v>0</v>
      </c>
      <c r="U133" s="1585">
        <f t="shared" si="104"/>
        <v>0</v>
      </c>
      <c r="V133" s="1585">
        <f t="shared" si="105"/>
        <v>0</v>
      </c>
      <c r="W133" s="1585">
        <f t="shared" si="106"/>
        <v>0</v>
      </c>
      <c r="X133" s="1585">
        <f t="shared" si="107"/>
        <v>0</v>
      </c>
      <c r="Y133" s="1585">
        <f t="shared" si="108"/>
        <v>0</v>
      </c>
      <c r="Z133" s="1587">
        <f t="shared" si="109"/>
        <v>0</v>
      </c>
      <c r="AA133" s="1585">
        <f t="shared" si="110"/>
        <v>0</v>
      </c>
      <c r="AB133" s="1585">
        <f t="shared" si="111"/>
        <v>0</v>
      </c>
      <c r="AC133" s="1586">
        <f t="shared" si="112"/>
        <v>0</v>
      </c>
      <c r="AD133" s="1585">
        <f t="shared" si="113"/>
        <v>0</v>
      </c>
      <c r="AE133" s="1585">
        <f t="shared" si="114"/>
        <v>0</v>
      </c>
      <c r="AG133" s="1157">
        <v>3.2</v>
      </c>
      <c r="AH133" s="1161" t="s">
        <v>1166</v>
      </c>
      <c r="AI133" s="1158" t="s">
        <v>1045</v>
      </c>
      <c r="AJ133" s="1163"/>
      <c r="AK133" s="1163"/>
      <c r="AL133" s="1163"/>
      <c r="AM133" s="1163"/>
      <c r="AN133" s="1163"/>
      <c r="AO133" s="1163"/>
      <c r="AP133" s="1163"/>
      <c r="AQ133" s="1170"/>
      <c r="AR133" s="1163"/>
      <c r="AS133" s="1277">
        <v>0.1</v>
      </c>
      <c r="AT133" s="1164"/>
      <c r="AU133" s="1163"/>
      <c r="AV133" s="1163"/>
      <c r="AX133" s="1157">
        <v>3.2</v>
      </c>
      <c r="AY133" s="1161" t="s">
        <v>1166</v>
      </c>
      <c r="AZ133" s="1158" t="s">
        <v>1045</v>
      </c>
      <c r="BA133" s="1163"/>
      <c r="BB133" s="1163"/>
      <c r="BC133" s="1163"/>
      <c r="BD133" s="1163"/>
      <c r="BE133" s="1163"/>
      <c r="BF133" s="1163"/>
      <c r="BG133" s="1163"/>
      <c r="BH133" s="1170"/>
      <c r="BI133" s="1163"/>
      <c r="BJ133" s="1277">
        <v>0.1</v>
      </c>
      <c r="BK133" s="1164"/>
      <c r="BL133" s="1163"/>
      <c r="BM133" s="1163"/>
      <c r="BO133" s="1157">
        <v>3.2</v>
      </c>
      <c r="BP133" s="1161" t="s">
        <v>1166</v>
      </c>
      <c r="BQ133" s="1158" t="s">
        <v>1045</v>
      </c>
      <c r="BR133" s="1163"/>
      <c r="BS133" s="1163"/>
      <c r="BT133" s="1163"/>
      <c r="BU133" s="1163"/>
      <c r="BV133" s="1163"/>
      <c r="BW133" s="1163"/>
      <c r="BX133" s="1163"/>
      <c r="BY133" s="1170"/>
      <c r="BZ133" s="1695"/>
      <c r="CA133" s="1163"/>
      <c r="CB133" s="1164"/>
      <c r="CC133" s="1163"/>
      <c r="CD133" s="1163"/>
      <c r="CE133" s="1382"/>
      <c r="CF133">
        <f>ROWS($CF$5:CF132)</f>
        <v>128</v>
      </c>
      <c r="CG133" s="1157">
        <v>3.2</v>
      </c>
      <c r="CH133" s="1161" t="s">
        <v>1166</v>
      </c>
      <c r="CI133" s="1158"/>
      <c r="CJ133" s="1531">
        <f t="shared" si="88"/>
        <v>0</v>
      </c>
      <c r="CK133" s="1531">
        <f t="shared" si="76"/>
        <v>0</v>
      </c>
      <c r="CL133" s="1531">
        <f t="shared" si="77"/>
        <v>0</v>
      </c>
      <c r="CM133" s="1531">
        <f t="shared" si="78"/>
        <v>0</v>
      </c>
      <c r="CN133" s="1531">
        <f t="shared" si="79"/>
        <v>0</v>
      </c>
      <c r="CO133" s="1531">
        <f t="shared" si="80"/>
        <v>0</v>
      </c>
      <c r="CP133" s="1531">
        <f t="shared" si="81"/>
        <v>0</v>
      </c>
      <c r="CQ133" s="1543">
        <f t="shared" si="82"/>
        <v>0</v>
      </c>
      <c r="CR133" s="1531">
        <f t="shared" si="83"/>
        <v>0</v>
      </c>
      <c r="CS133" s="1531">
        <f t="shared" si="84"/>
        <v>0</v>
      </c>
      <c r="CT133" s="1533">
        <f t="shared" si="85"/>
        <v>0</v>
      </c>
      <c r="CU133" s="1531">
        <f t="shared" si="86"/>
        <v>0</v>
      </c>
      <c r="CV133" s="1531">
        <f t="shared" si="87"/>
        <v>0</v>
      </c>
      <c r="CX133" s="1157">
        <v>3.2</v>
      </c>
      <c r="CY133" s="1161" t="s">
        <v>1166</v>
      </c>
      <c r="CZ133" s="1158"/>
      <c r="DA133" s="1520">
        <f t="shared" si="89"/>
        <v>0</v>
      </c>
      <c r="DB133" s="1520"/>
      <c r="DC133" s="1520"/>
      <c r="DD133" s="1520"/>
      <c r="DE133" s="1520"/>
      <c r="DF133" s="1520"/>
      <c r="DG133" s="1520"/>
      <c r="DH133" s="1576"/>
      <c r="DI133" s="1520"/>
      <c r="DJ133" s="1520"/>
      <c r="DK133" s="1623"/>
      <c r="DL133" s="1520"/>
      <c r="DM133" s="1520"/>
    </row>
    <row r="134" spans="2:117" hidden="1">
      <c r="B134" s="1136">
        <f t="shared" si="99"/>
        <v>3.3</v>
      </c>
      <c r="C134" s="1158" t="str">
        <f t="shared" si="67"/>
        <v>照明設備</v>
      </c>
      <c r="D134" s="1155">
        <f t="shared" si="115"/>
        <v>0</v>
      </c>
      <c r="E134" s="1156">
        <f t="shared" si="115"/>
        <v>0</v>
      </c>
      <c r="G134" s="1156">
        <f t="shared" si="96"/>
        <v>0</v>
      </c>
      <c r="H134" s="1156">
        <f t="shared" si="97"/>
        <v>0</v>
      </c>
      <c r="I134" s="1156"/>
      <c r="J134" s="1156"/>
      <c r="K134" s="1156">
        <f>IF(スコア!Q134=0,0,1)</f>
        <v>0</v>
      </c>
      <c r="L134" s="1156">
        <f>IF(スコア!S134=0,0,1)</f>
        <v>0</v>
      </c>
      <c r="M134" s="1156">
        <f t="shared" si="98"/>
        <v>0</v>
      </c>
      <c r="N134" s="1156">
        <f t="shared" si="101"/>
        <v>0</v>
      </c>
      <c r="P134" s="1157">
        <f t="shared" si="68"/>
        <v>3.3</v>
      </c>
      <c r="Q134" s="1157" t="str">
        <f t="shared" si="69"/>
        <v>LR1 3b</v>
      </c>
      <c r="R134" s="1158" t="str">
        <f t="shared" si="70"/>
        <v>照明設備</v>
      </c>
      <c r="S134" s="1585">
        <f t="shared" si="102"/>
        <v>0</v>
      </c>
      <c r="T134" s="1585">
        <f t="shared" si="103"/>
        <v>0</v>
      </c>
      <c r="U134" s="1585">
        <f t="shared" si="104"/>
        <v>0</v>
      </c>
      <c r="V134" s="1585">
        <f t="shared" si="105"/>
        <v>0</v>
      </c>
      <c r="W134" s="1585">
        <f t="shared" si="106"/>
        <v>0</v>
      </c>
      <c r="X134" s="1585">
        <f t="shared" si="107"/>
        <v>0</v>
      </c>
      <c r="Y134" s="1585">
        <f t="shared" si="108"/>
        <v>0</v>
      </c>
      <c r="Z134" s="1587">
        <f t="shared" si="109"/>
        <v>0</v>
      </c>
      <c r="AA134" s="1585">
        <f t="shared" si="110"/>
        <v>0</v>
      </c>
      <c r="AB134" s="1585">
        <f t="shared" si="111"/>
        <v>0</v>
      </c>
      <c r="AC134" s="1586">
        <f t="shared" si="112"/>
        <v>0</v>
      </c>
      <c r="AD134" s="1585">
        <f t="shared" si="113"/>
        <v>0</v>
      </c>
      <c r="AE134" s="1585">
        <f t="shared" si="114"/>
        <v>0</v>
      </c>
      <c r="AG134" s="1157">
        <v>3.3</v>
      </c>
      <c r="AH134" s="1161" t="s">
        <v>1166</v>
      </c>
      <c r="AI134" s="1158" t="s">
        <v>1046</v>
      </c>
      <c r="AJ134" s="1163"/>
      <c r="AK134" s="1163"/>
      <c r="AL134" s="1163"/>
      <c r="AM134" s="1163"/>
      <c r="AN134" s="1163"/>
      <c r="AO134" s="1163"/>
      <c r="AP134" s="1163"/>
      <c r="AQ134" s="1170"/>
      <c r="AR134" s="1163"/>
      <c r="AS134" s="1277">
        <v>0.2</v>
      </c>
      <c r="AT134" s="1164"/>
      <c r="AU134" s="1163"/>
      <c r="AV134" s="1163"/>
      <c r="AX134" s="1157">
        <v>3.3</v>
      </c>
      <c r="AY134" s="1161" t="s">
        <v>1166</v>
      </c>
      <c r="AZ134" s="1158" t="s">
        <v>1046</v>
      </c>
      <c r="BA134" s="1163"/>
      <c r="BB134" s="1163"/>
      <c r="BC134" s="1163"/>
      <c r="BD134" s="1163"/>
      <c r="BE134" s="1163"/>
      <c r="BF134" s="1163"/>
      <c r="BG134" s="1163"/>
      <c r="BH134" s="1170"/>
      <c r="BI134" s="1163"/>
      <c r="BJ134" s="1277">
        <v>0.2</v>
      </c>
      <c r="BK134" s="1164"/>
      <c r="BL134" s="1163"/>
      <c r="BM134" s="1163"/>
      <c r="BO134" s="1157">
        <v>3.3</v>
      </c>
      <c r="BP134" s="1161" t="s">
        <v>1166</v>
      </c>
      <c r="BQ134" s="1158" t="s">
        <v>1046</v>
      </c>
      <c r="BR134" s="1163"/>
      <c r="BS134" s="1163"/>
      <c r="BT134" s="1163"/>
      <c r="BU134" s="1163"/>
      <c r="BV134" s="1163"/>
      <c r="BW134" s="1163"/>
      <c r="BX134" s="1163"/>
      <c r="BY134" s="1170"/>
      <c r="BZ134" s="1695"/>
      <c r="CA134" s="1163"/>
      <c r="CB134" s="1164"/>
      <c r="CC134" s="1163"/>
      <c r="CD134" s="1163"/>
      <c r="CE134" s="1382"/>
      <c r="CF134">
        <f>ROWS($CF$5:CF133)</f>
        <v>129</v>
      </c>
      <c r="CG134" s="1157">
        <v>3.3</v>
      </c>
      <c r="CH134" s="1161" t="s">
        <v>1166</v>
      </c>
      <c r="CI134" s="1158"/>
      <c r="CJ134" s="1531">
        <f t="shared" si="88"/>
        <v>0</v>
      </c>
      <c r="CK134" s="1531">
        <f t="shared" si="76"/>
        <v>0</v>
      </c>
      <c r="CL134" s="1531">
        <f t="shared" si="77"/>
        <v>0</v>
      </c>
      <c r="CM134" s="1531">
        <f t="shared" si="78"/>
        <v>0</v>
      </c>
      <c r="CN134" s="1531">
        <f t="shared" si="79"/>
        <v>0</v>
      </c>
      <c r="CO134" s="1531">
        <f t="shared" si="80"/>
        <v>0</v>
      </c>
      <c r="CP134" s="1531">
        <f t="shared" si="81"/>
        <v>0</v>
      </c>
      <c r="CQ134" s="1543">
        <f t="shared" si="82"/>
        <v>0</v>
      </c>
      <c r="CR134" s="1531">
        <f t="shared" si="83"/>
        <v>0</v>
      </c>
      <c r="CS134" s="1531">
        <f t="shared" si="84"/>
        <v>0</v>
      </c>
      <c r="CT134" s="1533">
        <f t="shared" si="85"/>
        <v>0</v>
      </c>
      <c r="CU134" s="1531">
        <f t="shared" si="86"/>
        <v>0</v>
      </c>
      <c r="CV134" s="1531">
        <f t="shared" si="87"/>
        <v>0</v>
      </c>
      <c r="CX134" s="1157">
        <v>3.3</v>
      </c>
      <c r="CY134" s="1161" t="s">
        <v>1166</v>
      </c>
      <c r="CZ134" s="1158"/>
      <c r="DA134" s="1520">
        <f t="shared" si="89"/>
        <v>0</v>
      </c>
      <c r="DB134" s="1520"/>
      <c r="DC134" s="1520"/>
      <c r="DD134" s="1520"/>
      <c r="DE134" s="1520"/>
      <c r="DF134" s="1520"/>
      <c r="DG134" s="1520"/>
      <c r="DH134" s="1576"/>
      <c r="DI134" s="1520"/>
      <c r="DJ134" s="1520"/>
      <c r="DK134" s="1623"/>
      <c r="DL134" s="1520"/>
      <c r="DM134" s="1520"/>
    </row>
    <row r="135" spans="2:117" hidden="1">
      <c r="B135" s="1136">
        <f t="shared" si="99"/>
        <v>3.4</v>
      </c>
      <c r="C135" s="1158" t="str">
        <f t="shared" si="67"/>
        <v>給湯設備</v>
      </c>
      <c r="D135" s="1155">
        <f t="shared" si="115"/>
        <v>0</v>
      </c>
      <c r="E135" s="1156">
        <f t="shared" si="115"/>
        <v>0</v>
      </c>
      <c r="G135" s="1156">
        <f t="shared" si="96"/>
        <v>0</v>
      </c>
      <c r="H135" s="1156">
        <f t="shared" si="97"/>
        <v>0</v>
      </c>
      <c r="I135" s="1156"/>
      <c r="J135" s="1156"/>
      <c r="K135" s="1156">
        <f>IF(スコア!Q135=0,0,1)</f>
        <v>0</v>
      </c>
      <c r="L135" s="1156">
        <f>IF(スコア!S135=0,0,1)</f>
        <v>0</v>
      </c>
      <c r="M135" s="1156">
        <f t="shared" si="98"/>
        <v>0</v>
      </c>
      <c r="N135" s="1156">
        <f t="shared" si="101"/>
        <v>0</v>
      </c>
      <c r="P135" s="1214">
        <f t="shared" si="68"/>
        <v>3.4</v>
      </c>
      <c r="Q135" s="1157" t="str">
        <f t="shared" si="69"/>
        <v>LR1 3b</v>
      </c>
      <c r="R135" s="1158" t="str">
        <f t="shared" si="70"/>
        <v>給湯設備</v>
      </c>
      <c r="S135" s="1585">
        <f t="shared" si="102"/>
        <v>0</v>
      </c>
      <c r="T135" s="1585">
        <f t="shared" si="103"/>
        <v>0</v>
      </c>
      <c r="U135" s="1585">
        <f t="shared" si="104"/>
        <v>0</v>
      </c>
      <c r="V135" s="1585">
        <f t="shared" si="105"/>
        <v>0</v>
      </c>
      <c r="W135" s="1585">
        <f t="shared" si="106"/>
        <v>0</v>
      </c>
      <c r="X135" s="1585">
        <f t="shared" si="107"/>
        <v>0</v>
      </c>
      <c r="Y135" s="1585">
        <f t="shared" si="108"/>
        <v>0</v>
      </c>
      <c r="Z135" s="1587">
        <f t="shared" si="109"/>
        <v>0</v>
      </c>
      <c r="AA135" s="1585">
        <f t="shared" si="110"/>
        <v>0</v>
      </c>
      <c r="AB135" s="1585">
        <f t="shared" si="111"/>
        <v>0</v>
      </c>
      <c r="AC135" s="1586">
        <f t="shared" si="112"/>
        <v>0</v>
      </c>
      <c r="AD135" s="1585">
        <f t="shared" si="113"/>
        <v>0</v>
      </c>
      <c r="AE135" s="1585">
        <f t="shared" si="114"/>
        <v>0</v>
      </c>
      <c r="AG135" s="1214">
        <v>3.4</v>
      </c>
      <c r="AH135" s="1161" t="s">
        <v>1166</v>
      </c>
      <c r="AI135" s="1158" t="s">
        <v>1047</v>
      </c>
      <c r="AJ135" s="1163"/>
      <c r="AK135" s="1163"/>
      <c r="AL135" s="1163"/>
      <c r="AM135" s="1163"/>
      <c r="AN135" s="1163"/>
      <c r="AO135" s="1163"/>
      <c r="AP135" s="1163"/>
      <c r="AQ135" s="1170"/>
      <c r="AR135" s="1163"/>
      <c r="AS135" s="1277">
        <v>0.05</v>
      </c>
      <c r="AT135" s="1164"/>
      <c r="AU135" s="1163"/>
      <c r="AV135" s="1163"/>
      <c r="AX135" s="1214">
        <v>3.4</v>
      </c>
      <c r="AY135" s="1161" t="s">
        <v>1166</v>
      </c>
      <c r="AZ135" s="1158" t="s">
        <v>1047</v>
      </c>
      <c r="BA135" s="1163"/>
      <c r="BB135" s="1163"/>
      <c r="BC135" s="1163"/>
      <c r="BD135" s="1163"/>
      <c r="BE135" s="1163"/>
      <c r="BF135" s="1163"/>
      <c r="BG135" s="1163"/>
      <c r="BH135" s="1170"/>
      <c r="BI135" s="1163"/>
      <c r="BJ135" s="1277">
        <v>0.05</v>
      </c>
      <c r="BK135" s="1164"/>
      <c r="BL135" s="1163"/>
      <c r="BM135" s="1163"/>
      <c r="BO135" s="1214">
        <v>3.4</v>
      </c>
      <c r="BP135" s="1161" t="s">
        <v>1166</v>
      </c>
      <c r="BQ135" s="1158" t="s">
        <v>1047</v>
      </c>
      <c r="BR135" s="1163"/>
      <c r="BS135" s="1163"/>
      <c r="BT135" s="1163"/>
      <c r="BU135" s="1163"/>
      <c r="BV135" s="1163"/>
      <c r="BW135" s="1163"/>
      <c r="BX135" s="1163"/>
      <c r="BY135" s="1170"/>
      <c r="BZ135" s="1695"/>
      <c r="CA135" s="1163"/>
      <c r="CB135" s="1164"/>
      <c r="CC135" s="1163"/>
      <c r="CD135" s="1163"/>
      <c r="CE135" s="1382"/>
      <c r="CF135">
        <f>ROWS($CF$5:CF134)</f>
        <v>130</v>
      </c>
      <c r="CG135" s="1214">
        <v>3.4</v>
      </c>
      <c r="CH135" s="1161" t="s">
        <v>1166</v>
      </c>
      <c r="CI135" s="1158"/>
      <c r="CJ135" s="1531">
        <f t="shared" si="88"/>
        <v>0</v>
      </c>
      <c r="CK135" s="1531">
        <f t="shared" si="76"/>
        <v>0</v>
      </c>
      <c r="CL135" s="1531">
        <f t="shared" si="77"/>
        <v>0</v>
      </c>
      <c r="CM135" s="1531">
        <f t="shared" si="78"/>
        <v>0</v>
      </c>
      <c r="CN135" s="1531">
        <f t="shared" si="79"/>
        <v>0</v>
      </c>
      <c r="CO135" s="1531">
        <f t="shared" si="80"/>
        <v>0</v>
      </c>
      <c r="CP135" s="1531">
        <f t="shared" si="81"/>
        <v>0</v>
      </c>
      <c r="CQ135" s="1543">
        <f t="shared" si="82"/>
        <v>0</v>
      </c>
      <c r="CR135" s="1531">
        <f t="shared" si="83"/>
        <v>0</v>
      </c>
      <c r="CS135" s="1531">
        <f t="shared" si="84"/>
        <v>0</v>
      </c>
      <c r="CT135" s="1533">
        <f t="shared" si="85"/>
        <v>0</v>
      </c>
      <c r="CU135" s="1531">
        <f t="shared" si="86"/>
        <v>0</v>
      </c>
      <c r="CV135" s="1531">
        <f t="shared" si="87"/>
        <v>0</v>
      </c>
      <c r="CX135" s="1214">
        <v>3.4</v>
      </c>
      <c r="CY135" s="1161" t="s">
        <v>1166</v>
      </c>
      <c r="CZ135" s="1158"/>
      <c r="DA135" s="1520">
        <f t="shared" si="89"/>
        <v>0</v>
      </c>
      <c r="DB135" s="1520"/>
      <c r="DC135" s="1520"/>
      <c r="DD135" s="1520"/>
      <c r="DE135" s="1520"/>
      <c r="DF135" s="1520"/>
      <c r="DG135" s="1520"/>
      <c r="DH135" s="1576"/>
      <c r="DI135" s="1520"/>
      <c r="DJ135" s="1520"/>
      <c r="DK135" s="1623"/>
      <c r="DL135" s="1520"/>
      <c r="DM135" s="1520"/>
    </row>
    <row r="136" spans="2:117" hidden="1">
      <c r="B136" s="1136">
        <f t="shared" si="99"/>
        <v>3.5</v>
      </c>
      <c r="C136" s="1158" t="str">
        <f t="shared" si="67"/>
        <v>昇降機設備</v>
      </c>
      <c r="D136" s="1155">
        <f t="shared" si="115"/>
        <v>0</v>
      </c>
      <c r="E136" s="1156">
        <f t="shared" si="115"/>
        <v>0</v>
      </c>
      <c r="G136" s="1156">
        <f t="shared" si="96"/>
        <v>0</v>
      </c>
      <c r="H136" s="1156">
        <f t="shared" si="97"/>
        <v>0</v>
      </c>
      <c r="I136" s="1156"/>
      <c r="J136" s="1156"/>
      <c r="K136" s="1156">
        <f>IF(スコア!Q136=0,0,1)</f>
        <v>0</v>
      </c>
      <c r="L136" s="1156">
        <f>IF(スコア!S136=0,0,1)</f>
        <v>0</v>
      </c>
      <c r="M136" s="1156">
        <f t="shared" si="98"/>
        <v>0</v>
      </c>
      <c r="N136" s="1156">
        <f t="shared" si="101"/>
        <v>0</v>
      </c>
      <c r="P136" s="1214">
        <f t="shared" si="68"/>
        <v>3.5</v>
      </c>
      <c r="Q136" s="1157" t="str">
        <f t="shared" si="69"/>
        <v>LR1 3b</v>
      </c>
      <c r="R136" s="1158" t="str">
        <f t="shared" si="70"/>
        <v>昇降機設備</v>
      </c>
      <c r="S136" s="1585">
        <f t="shared" si="102"/>
        <v>0</v>
      </c>
      <c r="T136" s="1585">
        <f t="shared" si="103"/>
        <v>0</v>
      </c>
      <c r="U136" s="1585">
        <f t="shared" si="104"/>
        <v>0</v>
      </c>
      <c r="V136" s="1585">
        <f t="shared" si="105"/>
        <v>0</v>
      </c>
      <c r="W136" s="1585">
        <f t="shared" si="106"/>
        <v>0</v>
      </c>
      <c r="X136" s="1585">
        <f t="shared" si="107"/>
        <v>0</v>
      </c>
      <c r="Y136" s="1585">
        <f t="shared" si="108"/>
        <v>0</v>
      </c>
      <c r="Z136" s="1587">
        <f t="shared" si="109"/>
        <v>0</v>
      </c>
      <c r="AA136" s="1585">
        <f t="shared" si="110"/>
        <v>0</v>
      </c>
      <c r="AB136" s="1585">
        <f t="shared" si="111"/>
        <v>0</v>
      </c>
      <c r="AC136" s="1586">
        <f t="shared" si="112"/>
        <v>0</v>
      </c>
      <c r="AD136" s="1585">
        <f t="shared" si="113"/>
        <v>0</v>
      </c>
      <c r="AE136" s="1585">
        <f t="shared" si="114"/>
        <v>0</v>
      </c>
      <c r="AG136" s="1214">
        <v>3.5</v>
      </c>
      <c r="AH136" s="1161" t="s">
        <v>1166</v>
      </c>
      <c r="AI136" s="1158" t="s">
        <v>1048</v>
      </c>
      <c r="AJ136" s="1163"/>
      <c r="AK136" s="1163"/>
      <c r="AL136" s="1163"/>
      <c r="AM136" s="1163"/>
      <c r="AN136" s="1163"/>
      <c r="AO136" s="1163"/>
      <c r="AP136" s="1163"/>
      <c r="AQ136" s="1170"/>
      <c r="AR136" s="1163"/>
      <c r="AS136" s="1163"/>
      <c r="AT136" s="1164"/>
      <c r="AU136" s="1163"/>
      <c r="AV136" s="1163"/>
      <c r="AX136" s="1214">
        <v>3.5</v>
      </c>
      <c r="AY136" s="1161" t="s">
        <v>1166</v>
      </c>
      <c r="AZ136" s="1158" t="s">
        <v>1048</v>
      </c>
      <c r="BA136" s="1163"/>
      <c r="BB136" s="1163"/>
      <c r="BC136" s="1163"/>
      <c r="BD136" s="1163"/>
      <c r="BE136" s="1163"/>
      <c r="BF136" s="1163"/>
      <c r="BG136" s="1163"/>
      <c r="BH136" s="1170"/>
      <c r="BI136" s="1163"/>
      <c r="BJ136" s="1163"/>
      <c r="BK136" s="1164"/>
      <c r="BL136" s="1163"/>
      <c r="BM136" s="1163"/>
      <c r="BO136" s="1214">
        <v>3.5</v>
      </c>
      <c r="BP136" s="1161" t="s">
        <v>1166</v>
      </c>
      <c r="BQ136" s="1158" t="s">
        <v>1048</v>
      </c>
      <c r="BR136" s="1163"/>
      <c r="BS136" s="1163"/>
      <c r="BT136" s="1163"/>
      <c r="BU136" s="1163"/>
      <c r="BV136" s="1163"/>
      <c r="BW136" s="1163"/>
      <c r="BX136" s="1163"/>
      <c r="BY136" s="1170"/>
      <c r="BZ136" s="1695"/>
      <c r="CA136" s="1163"/>
      <c r="CB136" s="1164"/>
      <c r="CC136" s="1163"/>
      <c r="CD136" s="1163"/>
      <c r="CE136" s="1382"/>
      <c r="CF136">
        <f>ROWS($CF$5:CF135)</f>
        <v>131</v>
      </c>
      <c r="CG136" s="1214">
        <v>3.5</v>
      </c>
      <c r="CH136" s="1161" t="s">
        <v>1166</v>
      </c>
      <c r="CI136" s="1158"/>
      <c r="CJ136" s="1531">
        <f t="shared" si="88"/>
        <v>0</v>
      </c>
      <c r="CK136" s="1531">
        <f t="shared" si="76"/>
        <v>0</v>
      </c>
      <c r="CL136" s="1531">
        <f t="shared" si="77"/>
        <v>0</v>
      </c>
      <c r="CM136" s="1531">
        <f t="shared" si="78"/>
        <v>0</v>
      </c>
      <c r="CN136" s="1531">
        <f t="shared" si="79"/>
        <v>0</v>
      </c>
      <c r="CO136" s="1531">
        <f t="shared" si="80"/>
        <v>0</v>
      </c>
      <c r="CP136" s="1531">
        <f t="shared" si="81"/>
        <v>0</v>
      </c>
      <c r="CQ136" s="1543">
        <f t="shared" si="82"/>
        <v>0</v>
      </c>
      <c r="CR136" s="1531">
        <f t="shared" si="83"/>
        <v>0</v>
      </c>
      <c r="CS136" s="1531">
        <f t="shared" si="84"/>
        <v>0</v>
      </c>
      <c r="CT136" s="1533">
        <f t="shared" si="85"/>
        <v>0</v>
      </c>
      <c r="CU136" s="1531">
        <f t="shared" si="86"/>
        <v>0</v>
      </c>
      <c r="CV136" s="1531">
        <f t="shared" si="87"/>
        <v>0</v>
      </c>
      <c r="CX136" s="1214">
        <v>3.5</v>
      </c>
      <c r="CY136" s="1161" t="s">
        <v>1166</v>
      </c>
      <c r="CZ136" s="1158"/>
      <c r="DA136" s="1520">
        <f t="shared" si="89"/>
        <v>0</v>
      </c>
      <c r="DB136" s="1520"/>
      <c r="DC136" s="1520"/>
      <c r="DD136" s="1520"/>
      <c r="DE136" s="1520"/>
      <c r="DF136" s="1520"/>
      <c r="DG136" s="1520"/>
      <c r="DH136" s="1576"/>
      <c r="DI136" s="1520"/>
      <c r="DJ136" s="1520"/>
      <c r="DK136" s="1623"/>
      <c r="DL136" s="1520"/>
      <c r="DM136" s="1520"/>
    </row>
    <row r="137" spans="2:117" hidden="1">
      <c r="B137" s="1136">
        <f t="shared" si="99"/>
        <v>0</v>
      </c>
      <c r="C137" s="1158">
        <f t="shared" ref="C137:C194" si="116">R137</f>
        <v>0</v>
      </c>
      <c r="D137" s="1155"/>
      <c r="E137" s="1156"/>
      <c r="G137" s="1156">
        <f t="shared" si="96"/>
        <v>0</v>
      </c>
      <c r="H137" s="1156">
        <f t="shared" si="97"/>
        <v>0</v>
      </c>
      <c r="I137" s="1156"/>
      <c r="J137" s="1156"/>
      <c r="K137" s="1156">
        <f>IF(スコア!Q137=0,0,1)</f>
        <v>0</v>
      </c>
      <c r="L137" s="1156">
        <f>IF(スコア!S137=0,0,1)</f>
        <v>0</v>
      </c>
      <c r="M137" s="1156">
        <f t="shared" si="98"/>
        <v>0</v>
      </c>
      <c r="N137" s="1156">
        <f t="shared" si="101"/>
        <v>0</v>
      </c>
      <c r="P137" s="1214">
        <f t="shared" si="68"/>
        <v>0</v>
      </c>
      <c r="Q137" s="1214" t="str">
        <f t="shared" si="69"/>
        <v>LR</v>
      </c>
      <c r="R137" s="1158">
        <f t="shared" si="70"/>
        <v>0</v>
      </c>
      <c r="S137" s="1585">
        <f t="shared" si="102"/>
        <v>0</v>
      </c>
      <c r="T137" s="1585">
        <f t="shared" si="103"/>
        <v>0</v>
      </c>
      <c r="U137" s="1585">
        <f t="shared" si="104"/>
        <v>0</v>
      </c>
      <c r="V137" s="1585">
        <f t="shared" si="105"/>
        <v>0</v>
      </c>
      <c r="W137" s="1585">
        <f t="shared" si="106"/>
        <v>0</v>
      </c>
      <c r="X137" s="1585">
        <f t="shared" si="107"/>
        <v>0</v>
      </c>
      <c r="Y137" s="1585">
        <f t="shared" si="108"/>
        <v>0</v>
      </c>
      <c r="Z137" s="1587">
        <f t="shared" si="109"/>
        <v>0</v>
      </c>
      <c r="AA137" s="1585">
        <f t="shared" si="110"/>
        <v>0</v>
      </c>
      <c r="AB137" s="1585">
        <f t="shared" si="111"/>
        <v>0</v>
      </c>
      <c r="AC137" s="1586">
        <f t="shared" si="112"/>
        <v>0</v>
      </c>
      <c r="AD137" s="1585">
        <f t="shared" si="113"/>
        <v>0</v>
      </c>
      <c r="AE137" s="1585">
        <f t="shared" si="114"/>
        <v>0</v>
      </c>
      <c r="AG137" s="1214"/>
      <c r="AH137" s="1215" t="s">
        <v>119</v>
      </c>
      <c r="AI137" s="1158"/>
      <c r="AJ137" s="1163"/>
      <c r="AK137" s="1163"/>
      <c r="AL137" s="1163"/>
      <c r="AM137" s="1163"/>
      <c r="AN137" s="1163"/>
      <c r="AO137" s="1163"/>
      <c r="AP137" s="1163"/>
      <c r="AQ137" s="1170"/>
      <c r="AR137" s="1163"/>
      <c r="AS137" s="1163"/>
      <c r="AT137" s="1164"/>
      <c r="AU137" s="1163"/>
      <c r="AV137" s="1163"/>
      <c r="AX137" s="1214"/>
      <c r="AY137" s="1215" t="s">
        <v>119</v>
      </c>
      <c r="AZ137" s="1158"/>
      <c r="BA137" s="1163"/>
      <c r="BB137" s="1163"/>
      <c r="BC137" s="1163"/>
      <c r="BD137" s="1163"/>
      <c r="BE137" s="1163"/>
      <c r="BF137" s="1163"/>
      <c r="BG137" s="1163"/>
      <c r="BH137" s="1170"/>
      <c r="BI137" s="1163"/>
      <c r="BJ137" s="1163"/>
      <c r="BK137" s="1164"/>
      <c r="BL137" s="1163"/>
      <c r="BM137" s="1163"/>
      <c r="BO137" s="1214"/>
      <c r="BP137" s="1215" t="s">
        <v>119</v>
      </c>
      <c r="BQ137" s="1158"/>
      <c r="BR137" s="1163"/>
      <c r="BS137" s="1163"/>
      <c r="BT137" s="1163"/>
      <c r="BU137" s="1163"/>
      <c r="BV137" s="1163"/>
      <c r="BW137" s="1163"/>
      <c r="BX137" s="1163"/>
      <c r="BY137" s="1170"/>
      <c r="BZ137" s="1695"/>
      <c r="CA137" s="1163"/>
      <c r="CB137" s="1164"/>
      <c r="CC137" s="1163"/>
      <c r="CD137" s="1163"/>
      <c r="CE137" s="1382"/>
      <c r="CF137">
        <f>ROWS($CF$5:CF136)</f>
        <v>132</v>
      </c>
      <c r="CG137" s="1214"/>
      <c r="CH137" s="1215" t="s">
        <v>119</v>
      </c>
      <c r="CI137" s="1158"/>
      <c r="CJ137" s="1531">
        <f t="shared" si="88"/>
        <v>0</v>
      </c>
      <c r="CK137" s="1531">
        <f t="shared" si="76"/>
        <v>0</v>
      </c>
      <c r="CL137" s="1531">
        <f t="shared" si="77"/>
        <v>0</v>
      </c>
      <c r="CM137" s="1531">
        <f t="shared" si="78"/>
        <v>0</v>
      </c>
      <c r="CN137" s="1531">
        <f t="shared" si="79"/>
        <v>0</v>
      </c>
      <c r="CO137" s="1531">
        <f t="shared" si="80"/>
        <v>0</v>
      </c>
      <c r="CP137" s="1531">
        <f t="shared" si="81"/>
        <v>0</v>
      </c>
      <c r="CQ137" s="1543">
        <f t="shared" si="82"/>
        <v>0</v>
      </c>
      <c r="CR137" s="1531">
        <f t="shared" si="83"/>
        <v>0</v>
      </c>
      <c r="CS137" s="1531">
        <f t="shared" si="84"/>
        <v>0</v>
      </c>
      <c r="CT137" s="1533">
        <f t="shared" si="85"/>
        <v>0</v>
      </c>
      <c r="CU137" s="1531">
        <f t="shared" si="86"/>
        <v>0</v>
      </c>
      <c r="CV137" s="1531">
        <f t="shared" si="87"/>
        <v>0</v>
      </c>
      <c r="CX137" s="1214"/>
      <c r="CY137" s="1215" t="s">
        <v>119</v>
      </c>
      <c r="CZ137" s="1158"/>
      <c r="DA137" s="1520">
        <f t="shared" si="89"/>
        <v>0</v>
      </c>
      <c r="DB137" s="1520"/>
      <c r="DC137" s="1520"/>
      <c r="DD137" s="1520"/>
      <c r="DE137" s="1520"/>
      <c r="DF137" s="1520"/>
      <c r="DG137" s="1520"/>
      <c r="DH137" s="1576"/>
      <c r="DI137" s="1520"/>
      <c r="DJ137" s="1520"/>
      <c r="DK137" s="1623"/>
      <c r="DL137" s="1520"/>
      <c r="DM137" s="1520"/>
    </row>
    <row r="138" spans="2:117">
      <c r="B138" s="1136">
        <f t="shared" si="99"/>
        <v>4</v>
      </c>
      <c r="C138" s="1148" t="str">
        <f t="shared" si="116"/>
        <v>効率的運用</v>
      </c>
      <c r="D138" s="1144">
        <f>IF(I$122=0,0,G138/I$122)</f>
        <v>0.2</v>
      </c>
      <c r="E138" s="1145">
        <f>IF(J$122=0,0,H138/J$122)</f>
        <v>0</v>
      </c>
      <c r="G138" s="1145">
        <f t="shared" si="96"/>
        <v>0.2</v>
      </c>
      <c r="H138" s="1145">
        <f t="shared" si="97"/>
        <v>0</v>
      </c>
      <c r="I138" s="1145">
        <f>G139+G142</f>
        <v>0.66666666666666663</v>
      </c>
      <c r="J138" s="1145">
        <f>H139+H142</f>
        <v>0</v>
      </c>
      <c r="K138" s="1145">
        <f>IF(スコア!Q138=0,0,1)</f>
        <v>1</v>
      </c>
      <c r="L138" s="1145">
        <f>IF(スコア!S138=0,0,1)</f>
        <v>0</v>
      </c>
      <c r="M138" s="1145">
        <f t="shared" ref="M138:M144" si="117">SUMPRODUCT($S$7:$AB$7,S138:AB138)</f>
        <v>0.2</v>
      </c>
      <c r="N138" s="1145">
        <f t="shared" si="101"/>
        <v>0</v>
      </c>
      <c r="P138" s="1212">
        <f t="shared" ref="P138:P194" si="118">IF($P$3=1,AX138,IF($P$3=2,BO138,IF($P$3=3,CG138,IF($P$3=4,CX138,AG138))))</f>
        <v>4</v>
      </c>
      <c r="Q138" s="1147" t="str">
        <f t="shared" ref="Q138:Q194" si="119">IF($P$3=1,AY138,IF($P$3=2,BP138,IF($P$3=3,CH138,IF($P$3=4,CY138,AH138))))</f>
        <v>LR1</v>
      </c>
      <c r="R138" s="1148" t="str">
        <f t="shared" ref="R138:R194" si="120">IF($P$3=1,AZ138,IF($P$3=2,BQ138,IF($P$3=3,CI138,IF($P$3=4,CZ138,AI138))))</f>
        <v>効率的運用</v>
      </c>
      <c r="S138" s="1594">
        <f t="shared" si="102"/>
        <v>0.2</v>
      </c>
      <c r="T138" s="1594">
        <f t="shared" si="103"/>
        <v>0.2</v>
      </c>
      <c r="U138" s="1594">
        <f t="shared" si="104"/>
        <v>0.2</v>
      </c>
      <c r="V138" s="1594">
        <f t="shared" si="105"/>
        <v>0.2</v>
      </c>
      <c r="W138" s="1594">
        <f t="shared" si="106"/>
        <v>0.2</v>
      </c>
      <c r="X138" s="1594">
        <f t="shared" si="107"/>
        <v>0.2</v>
      </c>
      <c r="Y138" s="1594">
        <f t="shared" si="108"/>
        <v>0.2</v>
      </c>
      <c r="Z138" s="1583">
        <f t="shared" si="109"/>
        <v>0.2</v>
      </c>
      <c r="AA138" s="1594">
        <f t="shared" si="110"/>
        <v>0.2</v>
      </c>
      <c r="AB138" s="1594">
        <f t="shared" si="111"/>
        <v>0.2</v>
      </c>
      <c r="AC138" s="1584">
        <f t="shared" si="112"/>
        <v>0</v>
      </c>
      <c r="AD138" s="1582">
        <f t="shared" si="113"/>
        <v>0</v>
      </c>
      <c r="AE138" s="1582">
        <f t="shared" si="114"/>
        <v>0</v>
      </c>
      <c r="AG138" s="1212">
        <v>4</v>
      </c>
      <c r="AH138" s="1151" t="s">
        <v>1452</v>
      </c>
      <c r="AI138" s="1148" t="s">
        <v>1049</v>
      </c>
      <c r="AJ138" s="1197">
        <v>0.2</v>
      </c>
      <c r="AK138" s="1197">
        <v>0.2</v>
      </c>
      <c r="AL138" s="1197">
        <v>0.2</v>
      </c>
      <c r="AM138" s="1197">
        <v>0.2</v>
      </c>
      <c r="AN138" s="1197">
        <v>0.2</v>
      </c>
      <c r="AO138" s="1197">
        <v>0.2</v>
      </c>
      <c r="AP138" s="1197">
        <v>0.2</v>
      </c>
      <c r="AQ138" s="1197">
        <v>0.2</v>
      </c>
      <c r="AR138" s="1197">
        <v>0.25</v>
      </c>
      <c r="AS138" s="1197">
        <v>0.2</v>
      </c>
      <c r="AT138" s="1153"/>
      <c r="AU138" s="1152"/>
      <c r="AV138" s="1152"/>
      <c r="AX138" s="1212">
        <v>4</v>
      </c>
      <c r="AY138" s="1151" t="s">
        <v>1452</v>
      </c>
      <c r="AZ138" s="1148" t="s">
        <v>1049</v>
      </c>
      <c r="BA138" s="1197">
        <v>0.2</v>
      </c>
      <c r="BB138" s="1197">
        <v>0.2</v>
      </c>
      <c r="BC138" s="1197">
        <v>0.2</v>
      </c>
      <c r="BD138" s="1197">
        <v>0.2</v>
      </c>
      <c r="BE138" s="1197">
        <v>0.2</v>
      </c>
      <c r="BF138" s="1197">
        <v>0.2</v>
      </c>
      <c r="BG138" s="1197">
        <v>0.2</v>
      </c>
      <c r="BH138" s="1197">
        <v>0.2</v>
      </c>
      <c r="BI138" s="1197">
        <v>0.2</v>
      </c>
      <c r="BJ138" s="1197">
        <v>0.2</v>
      </c>
      <c r="BK138" s="1153"/>
      <c r="BL138" s="1152"/>
      <c r="BM138" s="1152"/>
      <c r="BO138" s="1212">
        <v>4</v>
      </c>
      <c r="BP138" s="1151" t="s">
        <v>1452</v>
      </c>
      <c r="BQ138" s="1148" t="s">
        <v>1049</v>
      </c>
      <c r="BR138" s="1197">
        <v>0.2</v>
      </c>
      <c r="BS138" s="1197">
        <v>0.2</v>
      </c>
      <c r="BT138" s="1197">
        <v>0.2</v>
      </c>
      <c r="BU138" s="1197">
        <v>0.2</v>
      </c>
      <c r="BV138" s="1197">
        <v>0.2</v>
      </c>
      <c r="BW138" s="1197">
        <v>0.2</v>
      </c>
      <c r="BX138" s="1197">
        <v>0.2</v>
      </c>
      <c r="BY138" s="1197">
        <v>0.2</v>
      </c>
      <c r="BZ138" s="1694">
        <v>0.2</v>
      </c>
      <c r="CA138" s="1197">
        <v>0.2</v>
      </c>
      <c r="CB138" s="1153"/>
      <c r="CC138" s="1152"/>
      <c r="CD138" s="1152"/>
      <c r="CE138" s="1381"/>
      <c r="CF138">
        <f>ROWS($CF$5:CF137)</f>
        <v>133</v>
      </c>
      <c r="CG138" s="1212">
        <v>4</v>
      </c>
      <c r="CH138" s="1151" t="s">
        <v>1452</v>
      </c>
      <c r="CI138" s="1148" t="s">
        <v>1049</v>
      </c>
      <c r="CJ138" s="1541">
        <f t="shared" si="88"/>
        <v>0.2</v>
      </c>
      <c r="CK138" s="1541">
        <f t="shared" si="76"/>
        <v>0.2</v>
      </c>
      <c r="CL138" s="1541">
        <f t="shared" si="77"/>
        <v>0.2</v>
      </c>
      <c r="CM138" s="1541">
        <f t="shared" si="78"/>
        <v>0.2</v>
      </c>
      <c r="CN138" s="1541">
        <f t="shared" si="79"/>
        <v>0.2</v>
      </c>
      <c r="CO138" s="1541">
        <f t="shared" si="80"/>
        <v>0.2</v>
      </c>
      <c r="CP138" s="1541">
        <f t="shared" si="81"/>
        <v>0.2</v>
      </c>
      <c r="CQ138" s="1541">
        <f t="shared" si="82"/>
        <v>0.2</v>
      </c>
      <c r="CR138" s="1541">
        <f t="shared" si="83"/>
        <v>0.2</v>
      </c>
      <c r="CS138" s="1541">
        <f t="shared" si="84"/>
        <v>0.2</v>
      </c>
      <c r="CT138" s="1530">
        <f t="shared" si="85"/>
        <v>0</v>
      </c>
      <c r="CU138" s="1528">
        <f t="shared" si="86"/>
        <v>0</v>
      </c>
      <c r="CV138" s="1528">
        <f t="shared" si="87"/>
        <v>0</v>
      </c>
      <c r="CX138" s="1212">
        <v>4</v>
      </c>
      <c r="CY138" s="1151" t="s">
        <v>1452</v>
      </c>
      <c r="CZ138" s="1148" t="s">
        <v>1049</v>
      </c>
      <c r="DA138" s="1521">
        <f t="shared" si="89"/>
        <v>0.2</v>
      </c>
      <c r="DB138" s="1521"/>
      <c r="DC138" s="1521"/>
      <c r="DD138" s="1521"/>
      <c r="DE138" s="1521"/>
      <c r="DF138" s="1521"/>
      <c r="DG138" s="1521"/>
      <c r="DH138" s="1521"/>
      <c r="DI138" s="1521"/>
      <c r="DJ138" s="1521"/>
      <c r="DK138" s="1519"/>
      <c r="DL138" s="1518"/>
      <c r="DM138" s="1518"/>
    </row>
    <row r="139" spans="2:117">
      <c r="B139" s="1136">
        <f t="shared" si="99"/>
        <v>4.0999999999999996</v>
      </c>
      <c r="C139" s="1158" t="str">
        <f t="shared" si="116"/>
        <v>住宅以外の評価</v>
      </c>
      <c r="D139" s="1155">
        <f>IF(I$138=0,0,G139/I$138)</f>
        <v>0</v>
      </c>
      <c r="E139" s="1155">
        <f>IF(J$138=0,0,H139/J$138)</f>
        <v>0</v>
      </c>
      <c r="G139" s="1156">
        <f t="shared" si="96"/>
        <v>0</v>
      </c>
      <c r="H139" s="1156">
        <f t="shared" si="97"/>
        <v>0</v>
      </c>
      <c r="I139" s="1156">
        <f>SUM(G140:G141)</f>
        <v>0</v>
      </c>
      <c r="J139" s="1156">
        <f>SUM(H140:H141)</f>
        <v>0</v>
      </c>
      <c r="K139" s="1156">
        <f>IF(スコア!Q139=0,0,1)</f>
        <v>0</v>
      </c>
      <c r="L139" s="1156">
        <f>IF(スコア!S139=0,0,1)</f>
        <v>0</v>
      </c>
      <c r="M139" s="1156">
        <f t="shared" si="117"/>
        <v>0.33333333333333331</v>
      </c>
      <c r="N139" s="1156">
        <f t="shared" ref="N139:N144" si="121">(AC$7*AC139)+(AD$7*AD139)+(AE$7*AE139)</f>
        <v>0</v>
      </c>
      <c r="P139" s="1157">
        <f t="shared" si="118"/>
        <v>4.0999999999999996</v>
      </c>
      <c r="Q139" s="1157" t="str">
        <f t="shared" si="119"/>
        <v>LR1 4</v>
      </c>
      <c r="R139" s="1158" t="str">
        <f t="shared" si="120"/>
        <v>住宅以外の評価</v>
      </c>
      <c r="S139" s="1585">
        <f t="shared" si="102"/>
        <v>1</v>
      </c>
      <c r="T139" s="1585">
        <f t="shared" si="103"/>
        <v>1</v>
      </c>
      <c r="U139" s="1585">
        <f t="shared" si="104"/>
        <v>1</v>
      </c>
      <c r="V139" s="1585">
        <f t="shared" si="105"/>
        <v>1</v>
      </c>
      <c r="W139" s="1585">
        <f t="shared" si="106"/>
        <v>1</v>
      </c>
      <c r="X139" s="1585">
        <f t="shared" si="107"/>
        <v>1</v>
      </c>
      <c r="Y139" s="1585">
        <f t="shared" si="108"/>
        <v>0</v>
      </c>
      <c r="Z139" s="1587">
        <f t="shared" si="109"/>
        <v>1</v>
      </c>
      <c r="AA139" s="1585">
        <f t="shared" si="110"/>
        <v>1</v>
      </c>
      <c r="AB139" s="1585">
        <f t="shared" si="111"/>
        <v>1</v>
      </c>
      <c r="AC139" s="1586">
        <f t="shared" si="112"/>
        <v>0</v>
      </c>
      <c r="AD139" s="1597">
        <f t="shared" si="113"/>
        <v>0</v>
      </c>
      <c r="AE139" s="1597">
        <f t="shared" si="114"/>
        <v>0</v>
      </c>
      <c r="AG139" s="1157">
        <v>4.0999999999999996</v>
      </c>
      <c r="AH139" s="1161" t="s">
        <v>123</v>
      </c>
      <c r="AI139" s="1158" t="s">
        <v>1323</v>
      </c>
      <c r="AJ139" s="1163">
        <v>1</v>
      </c>
      <c r="AK139" s="1163">
        <v>1</v>
      </c>
      <c r="AL139" s="1163">
        <v>1</v>
      </c>
      <c r="AM139" s="1163">
        <v>1</v>
      </c>
      <c r="AN139" s="1163">
        <v>1</v>
      </c>
      <c r="AO139" s="1163">
        <v>1</v>
      </c>
      <c r="AP139" s="1163"/>
      <c r="AQ139" s="1163">
        <v>1</v>
      </c>
      <c r="AR139" s="1163">
        <v>1</v>
      </c>
      <c r="AS139" s="1163">
        <v>1</v>
      </c>
      <c r="AT139" s="1164"/>
      <c r="AU139" s="1207"/>
      <c r="AV139" s="1207"/>
      <c r="AX139" s="1157">
        <v>4.0999999999999996</v>
      </c>
      <c r="AY139" s="1161" t="s">
        <v>123</v>
      </c>
      <c r="AZ139" s="1158" t="s">
        <v>1323</v>
      </c>
      <c r="BA139" s="1163">
        <v>1</v>
      </c>
      <c r="BB139" s="1163">
        <v>1</v>
      </c>
      <c r="BC139" s="1163">
        <v>1</v>
      </c>
      <c r="BD139" s="1163">
        <v>1</v>
      </c>
      <c r="BE139" s="1163">
        <v>1</v>
      </c>
      <c r="BF139" s="1163">
        <v>1</v>
      </c>
      <c r="BG139" s="1163"/>
      <c r="BH139" s="1163">
        <v>1</v>
      </c>
      <c r="BI139" s="1163">
        <v>1</v>
      </c>
      <c r="BJ139" s="1163">
        <v>1</v>
      </c>
      <c r="BK139" s="1164"/>
      <c r="BL139" s="1207"/>
      <c r="BM139" s="1207"/>
      <c r="BO139" s="1157">
        <v>4.0999999999999996</v>
      </c>
      <c r="BP139" s="1161" t="s">
        <v>123</v>
      </c>
      <c r="BQ139" s="1158" t="s">
        <v>1323</v>
      </c>
      <c r="BR139" s="1163">
        <v>1</v>
      </c>
      <c r="BS139" s="1163">
        <v>1</v>
      </c>
      <c r="BT139" s="1163">
        <v>1</v>
      </c>
      <c r="BU139" s="1163">
        <v>1</v>
      </c>
      <c r="BV139" s="1163">
        <v>1</v>
      </c>
      <c r="BW139" s="1163">
        <v>1</v>
      </c>
      <c r="BX139" s="1163"/>
      <c r="BY139" s="1163">
        <v>1</v>
      </c>
      <c r="BZ139" s="1163">
        <v>1</v>
      </c>
      <c r="CA139" s="1163">
        <v>1</v>
      </c>
      <c r="CB139" s="1164"/>
      <c r="CC139" s="1207"/>
      <c r="CD139" s="1207"/>
      <c r="CE139" s="1385"/>
      <c r="CF139">
        <f>ROWS($CF$5:CF138)</f>
        <v>134</v>
      </c>
      <c r="CG139" s="1157">
        <v>4.0999999999999996</v>
      </c>
      <c r="CH139" s="1161" t="s">
        <v>123</v>
      </c>
      <c r="CI139" s="1158" t="s">
        <v>1323</v>
      </c>
      <c r="CJ139" s="1531">
        <f t="shared" si="88"/>
        <v>1</v>
      </c>
      <c r="CK139" s="1531">
        <f t="shared" si="76"/>
        <v>1</v>
      </c>
      <c r="CL139" s="1531">
        <f t="shared" si="77"/>
        <v>1</v>
      </c>
      <c r="CM139" s="1531">
        <f t="shared" si="78"/>
        <v>1</v>
      </c>
      <c r="CN139" s="1531">
        <f t="shared" si="79"/>
        <v>1</v>
      </c>
      <c r="CO139" s="1531">
        <f t="shared" si="80"/>
        <v>1</v>
      </c>
      <c r="CP139" s="1531">
        <f t="shared" si="81"/>
        <v>0</v>
      </c>
      <c r="CQ139" s="1531">
        <f t="shared" si="82"/>
        <v>1</v>
      </c>
      <c r="CR139" s="1531">
        <f t="shared" si="83"/>
        <v>1</v>
      </c>
      <c r="CS139" s="1531">
        <f t="shared" si="84"/>
        <v>1</v>
      </c>
      <c r="CT139" s="1533">
        <f t="shared" si="85"/>
        <v>0</v>
      </c>
      <c r="CU139" s="1546">
        <f t="shared" si="86"/>
        <v>0</v>
      </c>
      <c r="CV139" s="1546">
        <f t="shared" si="87"/>
        <v>0</v>
      </c>
      <c r="CX139" s="1157">
        <v>4.0999999999999996</v>
      </c>
      <c r="CY139" s="1161" t="s">
        <v>123</v>
      </c>
      <c r="CZ139" s="1158" t="s">
        <v>1323</v>
      </c>
      <c r="DA139" s="1520">
        <f t="shared" si="89"/>
        <v>1</v>
      </c>
      <c r="DB139" s="1520"/>
      <c r="DC139" s="1520"/>
      <c r="DD139" s="1520"/>
      <c r="DE139" s="1520"/>
      <c r="DF139" s="1520"/>
      <c r="DG139" s="1520"/>
      <c r="DH139" s="1520"/>
      <c r="DI139" s="1520"/>
      <c r="DJ139" s="1520"/>
      <c r="DK139" s="1623"/>
      <c r="DL139" s="1523"/>
      <c r="DM139" s="1523"/>
    </row>
    <row r="140" spans="2:117">
      <c r="B140" s="1136" t="str">
        <f>P140</f>
        <v>4.1.1</v>
      </c>
      <c r="C140" s="1158" t="str">
        <f t="shared" si="116"/>
        <v>モニタリング</v>
      </c>
      <c r="D140" s="1155">
        <f>IF(I$139=0,0,G140/I$139)</f>
        <v>0</v>
      </c>
      <c r="E140" s="1155">
        <f>IF(J$139=0,0,H140/J$139)</f>
        <v>0</v>
      </c>
      <c r="G140" s="1156">
        <f t="shared" si="96"/>
        <v>0</v>
      </c>
      <c r="H140" s="1156">
        <f t="shared" si="97"/>
        <v>0</v>
      </c>
      <c r="I140" s="1156"/>
      <c r="J140" s="1156"/>
      <c r="K140" s="1156">
        <f>IF(スコア!Q140=0,0,1)</f>
        <v>0</v>
      </c>
      <c r="L140" s="1156">
        <f>IF(スコア!S140=0,0,1)</f>
        <v>0</v>
      </c>
      <c r="M140" s="1156">
        <f t="shared" si="117"/>
        <v>0.16666666666666666</v>
      </c>
      <c r="N140" s="1156">
        <f t="shared" si="121"/>
        <v>0</v>
      </c>
      <c r="P140" s="1157" t="str">
        <f t="shared" si="118"/>
        <v>4.1.1</v>
      </c>
      <c r="Q140" s="1157" t="str">
        <f t="shared" si="119"/>
        <v>LR1 4.1</v>
      </c>
      <c r="R140" s="1158" t="str">
        <f t="shared" si="120"/>
        <v>モニタリング</v>
      </c>
      <c r="S140" s="1585">
        <f t="shared" si="102"/>
        <v>0.5</v>
      </c>
      <c r="T140" s="1585">
        <f t="shared" si="103"/>
        <v>0.5</v>
      </c>
      <c r="U140" s="1585">
        <f t="shared" si="104"/>
        <v>0.5</v>
      </c>
      <c r="V140" s="1585">
        <f t="shared" si="105"/>
        <v>0.5</v>
      </c>
      <c r="W140" s="1585">
        <f t="shared" si="106"/>
        <v>0.5</v>
      </c>
      <c r="X140" s="1585">
        <f t="shared" si="107"/>
        <v>0.5</v>
      </c>
      <c r="Y140" s="1585">
        <f t="shared" si="108"/>
        <v>0</v>
      </c>
      <c r="Z140" s="1587">
        <f t="shared" si="109"/>
        <v>0.5</v>
      </c>
      <c r="AA140" s="1585">
        <f t="shared" si="110"/>
        <v>0.5</v>
      </c>
      <c r="AB140" s="1585">
        <f t="shared" si="111"/>
        <v>0.5</v>
      </c>
      <c r="AC140" s="1586">
        <f t="shared" si="112"/>
        <v>0</v>
      </c>
      <c r="AD140" s="1597">
        <f t="shared" si="113"/>
        <v>0</v>
      </c>
      <c r="AE140" s="1597">
        <f t="shared" si="114"/>
        <v>0</v>
      </c>
      <c r="AG140" s="1157" t="s">
        <v>1316</v>
      </c>
      <c r="AH140" s="1161" t="s">
        <v>1320</v>
      </c>
      <c r="AI140" s="1158" t="s">
        <v>1586</v>
      </c>
      <c r="AJ140" s="1163">
        <v>0.5</v>
      </c>
      <c r="AK140" s="1163">
        <v>0.5</v>
      </c>
      <c r="AL140" s="1163">
        <v>0.5</v>
      </c>
      <c r="AM140" s="1163">
        <v>0.5</v>
      </c>
      <c r="AN140" s="1163">
        <v>0.5</v>
      </c>
      <c r="AO140" s="1163">
        <v>0.5</v>
      </c>
      <c r="AP140" s="1163"/>
      <c r="AQ140" s="1163">
        <v>0.5</v>
      </c>
      <c r="AR140" s="1163">
        <v>0.5</v>
      </c>
      <c r="AS140" s="1163">
        <v>0.5</v>
      </c>
      <c r="AT140" s="1164"/>
      <c r="AU140" s="1207"/>
      <c r="AV140" s="1207"/>
      <c r="AX140" s="1157" t="s">
        <v>1316</v>
      </c>
      <c r="AY140" s="1161" t="s">
        <v>1320</v>
      </c>
      <c r="AZ140" s="1158" t="s">
        <v>1586</v>
      </c>
      <c r="BA140" s="1163">
        <v>0.5</v>
      </c>
      <c r="BB140" s="1163">
        <v>0.5</v>
      </c>
      <c r="BC140" s="1163">
        <v>0.5</v>
      </c>
      <c r="BD140" s="1163">
        <v>0.5</v>
      </c>
      <c r="BE140" s="1163">
        <v>0.5</v>
      </c>
      <c r="BF140" s="1163">
        <v>0.5</v>
      </c>
      <c r="BG140" s="1163"/>
      <c r="BH140" s="1163">
        <v>0.5</v>
      </c>
      <c r="BI140" s="1163">
        <v>0.5</v>
      </c>
      <c r="BJ140" s="1163">
        <v>0.5</v>
      </c>
      <c r="BK140" s="1164"/>
      <c r="BL140" s="1207"/>
      <c r="BM140" s="1207"/>
      <c r="BO140" s="1157" t="s">
        <v>1316</v>
      </c>
      <c r="BP140" s="1161" t="s">
        <v>1320</v>
      </c>
      <c r="BQ140" s="1158" t="s">
        <v>1586</v>
      </c>
      <c r="BR140" s="1163">
        <v>0.5</v>
      </c>
      <c r="BS140" s="1163">
        <v>0.5</v>
      </c>
      <c r="BT140" s="1163">
        <v>0.5</v>
      </c>
      <c r="BU140" s="1163">
        <v>0.5</v>
      </c>
      <c r="BV140" s="1163">
        <v>0.5</v>
      </c>
      <c r="BW140" s="1163">
        <v>0.5</v>
      </c>
      <c r="BX140" s="1163"/>
      <c r="BY140" s="1163">
        <v>0.5</v>
      </c>
      <c r="BZ140" s="1163">
        <v>0.5</v>
      </c>
      <c r="CA140" s="1163">
        <v>0.5</v>
      </c>
      <c r="CB140" s="1164"/>
      <c r="CC140" s="1207"/>
      <c r="CD140" s="1207"/>
      <c r="CE140" s="1385"/>
      <c r="CG140" s="1157" t="s">
        <v>1316</v>
      </c>
      <c r="CH140" s="1161" t="s">
        <v>1320</v>
      </c>
      <c r="CI140" s="1158" t="s">
        <v>1586</v>
      </c>
      <c r="CJ140" s="1531">
        <f t="shared" si="88"/>
        <v>0.5</v>
      </c>
      <c r="CK140" s="1531">
        <f t="shared" si="76"/>
        <v>0.5</v>
      </c>
      <c r="CL140" s="1531">
        <f t="shared" si="77"/>
        <v>0.5</v>
      </c>
      <c r="CM140" s="1531">
        <f t="shared" si="78"/>
        <v>0.5</v>
      </c>
      <c r="CN140" s="1531">
        <f t="shared" si="79"/>
        <v>0.5</v>
      </c>
      <c r="CO140" s="1531">
        <f t="shared" si="80"/>
        <v>0.5</v>
      </c>
      <c r="CP140" s="1531">
        <f t="shared" si="81"/>
        <v>0</v>
      </c>
      <c r="CQ140" s="1531">
        <f t="shared" si="82"/>
        <v>0.5</v>
      </c>
      <c r="CR140" s="1531">
        <f t="shared" si="83"/>
        <v>0.5</v>
      </c>
      <c r="CS140" s="1531">
        <f t="shared" si="84"/>
        <v>0.5</v>
      </c>
      <c r="CT140" s="1533">
        <f t="shared" si="85"/>
        <v>0</v>
      </c>
      <c r="CU140" s="1546">
        <f t="shared" si="86"/>
        <v>0</v>
      </c>
      <c r="CV140" s="1546">
        <f t="shared" si="87"/>
        <v>0</v>
      </c>
      <c r="CX140" s="1157" t="s">
        <v>1316</v>
      </c>
      <c r="CY140" s="1161" t="s">
        <v>1320</v>
      </c>
      <c r="CZ140" s="1158" t="s">
        <v>1586</v>
      </c>
      <c r="DA140" s="1520">
        <f>BR140</f>
        <v>0.5</v>
      </c>
      <c r="DB140" s="1520"/>
      <c r="DC140" s="1520"/>
      <c r="DD140" s="1520"/>
      <c r="DE140" s="1520"/>
      <c r="DF140" s="1520"/>
      <c r="DG140" s="1520"/>
      <c r="DH140" s="1520"/>
      <c r="DI140" s="1520"/>
      <c r="DJ140" s="1520"/>
      <c r="DK140" s="1623"/>
      <c r="DL140" s="1523"/>
      <c r="DM140" s="1523"/>
    </row>
    <row r="141" spans="2:117">
      <c r="B141" s="1136" t="str">
        <f>P141</f>
        <v>4.1.2</v>
      </c>
      <c r="C141" s="1158" t="str">
        <f t="shared" si="116"/>
        <v>運用管理体制</v>
      </c>
      <c r="D141" s="1146">
        <f>IF(I$139&gt;0,G141/I$139,0)</f>
        <v>0</v>
      </c>
      <c r="E141" s="1146">
        <f>IF(J$139&gt;0,H141/J$139,0)</f>
        <v>0</v>
      </c>
      <c r="G141" s="1156">
        <f t="shared" si="96"/>
        <v>0</v>
      </c>
      <c r="H141" s="1156">
        <f t="shared" si="97"/>
        <v>0</v>
      </c>
      <c r="I141" s="1156"/>
      <c r="J141" s="1156"/>
      <c r="K141" s="1156">
        <f>IF(スコア!Q141=0,0,1)</f>
        <v>0</v>
      </c>
      <c r="L141" s="1156">
        <f>IF(スコア!S141=0,0,1)</f>
        <v>0</v>
      </c>
      <c r="M141" s="1156">
        <f t="shared" si="117"/>
        <v>0.16666666666666666</v>
      </c>
      <c r="N141" s="1156">
        <f t="shared" si="121"/>
        <v>0</v>
      </c>
      <c r="P141" s="1157" t="str">
        <f t="shared" si="118"/>
        <v>4.1.2</v>
      </c>
      <c r="Q141" s="1157" t="str">
        <f t="shared" si="119"/>
        <v>LR1 4.1</v>
      </c>
      <c r="R141" s="1158" t="str">
        <f t="shared" si="120"/>
        <v>運用管理体制</v>
      </c>
      <c r="S141" s="1585">
        <f t="shared" si="102"/>
        <v>0.5</v>
      </c>
      <c r="T141" s="1585">
        <f t="shared" si="103"/>
        <v>0.5</v>
      </c>
      <c r="U141" s="1585">
        <f t="shared" si="104"/>
        <v>0.5</v>
      </c>
      <c r="V141" s="1585">
        <f t="shared" si="105"/>
        <v>0.5</v>
      </c>
      <c r="W141" s="1585">
        <f t="shared" si="106"/>
        <v>0.5</v>
      </c>
      <c r="X141" s="1585">
        <f t="shared" si="107"/>
        <v>0.5</v>
      </c>
      <c r="Y141" s="1585">
        <f t="shared" si="108"/>
        <v>0</v>
      </c>
      <c r="Z141" s="1587">
        <f t="shared" si="109"/>
        <v>0.5</v>
      </c>
      <c r="AA141" s="1585">
        <f t="shared" si="110"/>
        <v>0.5</v>
      </c>
      <c r="AB141" s="1585">
        <f t="shared" si="111"/>
        <v>0.5</v>
      </c>
      <c r="AC141" s="1586">
        <f t="shared" si="112"/>
        <v>0</v>
      </c>
      <c r="AD141" s="1597">
        <f t="shared" si="113"/>
        <v>0</v>
      </c>
      <c r="AE141" s="1597">
        <f t="shared" si="114"/>
        <v>0</v>
      </c>
      <c r="AG141" s="1157" t="s">
        <v>1317</v>
      </c>
      <c r="AH141" s="1161" t="s">
        <v>1321</v>
      </c>
      <c r="AI141" s="1158" t="s">
        <v>1050</v>
      </c>
      <c r="AJ141" s="1163">
        <v>0.5</v>
      </c>
      <c r="AK141" s="1163">
        <v>0.5</v>
      </c>
      <c r="AL141" s="1163">
        <v>0.5</v>
      </c>
      <c r="AM141" s="1163">
        <v>0.5</v>
      </c>
      <c r="AN141" s="1163">
        <v>0.5</v>
      </c>
      <c r="AO141" s="1163">
        <v>0.5</v>
      </c>
      <c r="AP141" s="1163"/>
      <c r="AQ141" s="1163">
        <v>0.5</v>
      </c>
      <c r="AR141" s="1163">
        <v>0.5</v>
      </c>
      <c r="AS141" s="1163">
        <v>0.5</v>
      </c>
      <c r="AT141" s="1164"/>
      <c r="AU141" s="1207"/>
      <c r="AV141" s="1207"/>
      <c r="AX141" s="1157" t="s">
        <v>1317</v>
      </c>
      <c r="AY141" s="1161" t="s">
        <v>1321</v>
      </c>
      <c r="AZ141" s="1158" t="s">
        <v>1050</v>
      </c>
      <c r="BA141" s="1163">
        <v>0.5</v>
      </c>
      <c r="BB141" s="1163">
        <v>0.5</v>
      </c>
      <c r="BC141" s="1163">
        <v>0.5</v>
      </c>
      <c r="BD141" s="1163">
        <v>0.5</v>
      </c>
      <c r="BE141" s="1163">
        <v>0.5</v>
      </c>
      <c r="BF141" s="1163">
        <v>0.5</v>
      </c>
      <c r="BG141" s="1163"/>
      <c r="BH141" s="1163">
        <v>0.5</v>
      </c>
      <c r="BI141" s="1163">
        <v>0.5</v>
      </c>
      <c r="BJ141" s="1163">
        <v>0.5</v>
      </c>
      <c r="BK141" s="1164"/>
      <c r="BL141" s="1207"/>
      <c r="BM141" s="1207"/>
      <c r="BO141" s="1157" t="s">
        <v>1317</v>
      </c>
      <c r="BP141" s="1161" t="s">
        <v>1321</v>
      </c>
      <c r="BQ141" s="1158" t="s">
        <v>1050</v>
      </c>
      <c r="BR141" s="1163">
        <v>0.5</v>
      </c>
      <c r="BS141" s="1163">
        <v>0.5</v>
      </c>
      <c r="BT141" s="1163">
        <v>0.5</v>
      </c>
      <c r="BU141" s="1163">
        <v>0.5</v>
      </c>
      <c r="BV141" s="1163">
        <v>0.5</v>
      </c>
      <c r="BW141" s="1163">
        <v>0.5</v>
      </c>
      <c r="BX141" s="1163"/>
      <c r="BY141" s="1163">
        <v>0.5</v>
      </c>
      <c r="BZ141" s="1163">
        <v>0.5</v>
      </c>
      <c r="CA141" s="1163">
        <v>0.5</v>
      </c>
      <c r="CB141" s="1164"/>
      <c r="CC141" s="1207"/>
      <c r="CD141" s="1207"/>
      <c r="CE141" s="1385"/>
      <c r="CG141" s="1157" t="s">
        <v>1317</v>
      </c>
      <c r="CH141" s="1161" t="s">
        <v>1320</v>
      </c>
      <c r="CI141" s="1158" t="s">
        <v>1050</v>
      </c>
      <c r="CJ141" s="1531">
        <f t="shared" si="88"/>
        <v>0.5</v>
      </c>
      <c r="CK141" s="1531">
        <f t="shared" si="76"/>
        <v>0.5</v>
      </c>
      <c r="CL141" s="1531">
        <f t="shared" si="77"/>
        <v>0.5</v>
      </c>
      <c r="CM141" s="1531">
        <f t="shared" si="78"/>
        <v>0.5</v>
      </c>
      <c r="CN141" s="1531">
        <f t="shared" si="79"/>
        <v>0.5</v>
      </c>
      <c r="CO141" s="1531">
        <f t="shared" si="80"/>
        <v>0.5</v>
      </c>
      <c r="CP141" s="1531">
        <f t="shared" si="81"/>
        <v>0</v>
      </c>
      <c r="CQ141" s="1531">
        <f t="shared" si="82"/>
        <v>0.5</v>
      </c>
      <c r="CR141" s="1531">
        <f t="shared" si="83"/>
        <v>0.5</v>
      </c>
      <c r="CS141" s="1531">
        <f t="shared" si="84"/>
        <v>0.5</v>
      </c>
      <c r="CT141" s="1533">
        <f t="shared" si="85"/>
        <v>0</v>
      </c>
      <c r="CU141" s="1546">
        <f t="shared" si="86"/>
        <v>0</v>
      </c>
      <c r="CV141" s="1546">
        <f t="shared" si="87"/>
        <v>0</v>
      </c>
      <c r="CX141" s="1157" t="s">
        <v>1317</v>
      </c>
      <c r="CY141" s="1161" t="s">
        <v>1320</v>
      </c>
      <c r="CZ141" s="1158" t="s">
        <v>1050</v>
      </c>
      <c r="DA141" s="1520">
        <f>BR141</f>
        <v>0.5</v>
      </c>
      <c r="DB141" s="1520"/>
      <c r="DC141" s="1520"/>
      <c r="DD141" s="1520"/>
      <c r="DE141" s="1520"/>
      <c r="DF141" s="1520"/>
      <c r="DG141" s="1520"/>
      <c r="DH141" s="1520"/>
      <c r="DI141" s="1520"/>
      <c r="DJ141" s="1520"/>
      <c r="DK141" s="1623"/>
      <c r="DL141" s="1523"/>
      <c r="DM141" s="1523"/>
    </row>
    <row r="142" spans="2:117">
      <c r="B142" s="1136">
        <f>P142</f>
        <v>4.2</v>
      </c>
      <c r="C142" s="1158" t="str">
        <f t="shared" si="116"/>
        <v>住宅の評価</v>
      </c>
      <c r="D142" s="1155">
        <f>IF(I$138=0,0,G142/I$138)</f>
        <v>1</v>
      </c>
      <c r="E142" s="1155">
        <f>IF(J$138=0,0,H142/J$138)</f>
        <v>0</v>
      </c>
      <c r="G142" s="1156">
        <f t="shared" ref="G142:H144" si="122">K142*M142</f>
        <v>0.66666666666666663</v>
      </c>
      <c r="H142" s="1156">
        <f t="shared" si="122"/>
        <v>0</v>
      </c>
      <c r="I142" s="1156">
        <f>SUM(G143:G144)</f>
        <v>0.66666666666666663</v>
      </c>
      <c r="J142" s="1156">
        <f>SUM(H143:H144)</f>
        <v>0</v>
      </c>
      <c r="K142" s="1156">
        <f>IF(スコア!Q142=0,0,1)</f>
        <v>1</v>
      </c>
      <c r="L142" s="1156">
        <f>IF(スコア!S142=0,0,1)</f>
        <v>0</v>
      </c>
      <c r="M142" s="1156">
        <f t="shared" si="117"/>
        <v>0.66666666666666663</v>
      </c>
      <c r="N142" s="1156">
        <f t="shared" si="121"/>
        <v>0</v>
      </c>
      <c r="P142" s="1157">
        <f t="shared" si="118"/>
        <v>4.2</v>
      </c>
      <c r="Q142" s="1157" t="str">
        <f t="shared" si="119"/>
        <v>LR1 4</v>
      </c>
      <c r="R142" s="1158" t="str">
        <f t="shared" si="120"/>
        <v>住宅の評価</v>
      </c>
      <c r="S142" s="1585">
        <f t="shared" si="102"/>
        <v>0</v>
      </c>
      <c r="T142" s="1585">
        <f t="shared" si="103"/>
        <v>0</v>
      </c>
      <c r="U142" s="1585">
        <f t="shared" si="104"/>
        <v>0</v>
      </c>
      <c r="V142" s="1585">
        <f t="shared" si="105"/>
        <v>0</v>
      </c>
      <c r="W142" s="1585">
        <f t="shared" si="106"/>
        <v>0</v>
      </c>
      <c r="X142" s="1585">
        <f t="shared" si="107"/>
        <v>0</v>
      </c>
      <c r="Y142" s="1585">
        <f t="shared" si="108"/>
        <v>1</v>
      </c>
      <c r="Z142" s="1587">
        <f t="shared" si="109"/>
        <v>0</v>
      </c>
      <c r="AA142" s="1585">
        <f t="shared" si="110"/>
        <v>0</v>
      </c>
      <c r="AB142" s="1585">
        <f t="shared" si="111"/>
        <v>0</v>
      </c>
      <c r="AC142" s="1586">
        <f t="shared" si="112"/>
        <v>0</v>
      </c>
      <c r="AD142" s="1597">
        <f t="shared" si="113"/>
        <v>0</v>
      </c>
      <c r="AE142" s="1597">
        <f t="shared" si="114"/>
        <v>0</v>
      </c>
      <c r="AG142" s="1157">
        <v>4.2</v>
      </c>
      <c r="AH142" s="1161" t="s">
        <v>123</v>
      </c>
      <c r="AI142" s="1158" t="s">
        <v>1324</v>
      </c>
      <c r="AJ142" s="1163"/>
      <c r="AK142" s="1163"/>
      <c r="AL142" s="1163"/>
      <c r="AM142" s="1163"/>
      <c r="AN142" s="1163"/>
      <c r="AO142" s="1163"/>
      <c r="AP142" s="1163">
        <v>1</v>
      </c>
      <c r="AQ142" s="1170"/>
      <c r="AR142" s="1163"/>
      <c r="AS142" s="1163"/>
      <c r="AT142" s="1164"/>
      <c r="AU142" s="1207"/>
      <c r="AV142" s="1207"/>
      <c r="AX142" s="1157">
        <v>4.2</v>
      </c>
      <c r="AY142" s="1161" t="s">
        <v>123</v>
      </c>
      <c r="AZ142" s="1158" t="s">
        <v>1324</v>
      </c>
      <c r="BA142" s="1163"/>
      <c r="BB142" s="1163"/>
      <c r="BC142" s="1163"/>
      <c r="BD142" s="1163"/>
      <c r="BE142" s="1163"/>
      <c r="BF142" s="1163"/>
      <c r="BG142" s="1163">
        <v>1</v>
      </c>
      <c r="BH142" s="1170"/>
      <c r="BI142" s="1163"/>
      <c r="BJ142" s="1163"/>
      <c r="BK142" s="1164"/>
      <c r="BL142" s="1207"/>
      <c r="BM142" s="1207"/>
      <c r="BO142" s="1157">
        <v>4.2</v>
      </c>
      <c r="BP142" s="1161" t="s">
        <v>123</v>
      </c>
      <c r="BQ142" s="1158" t="s">
        <v>1324</v>
      </c>
      <c r="BR142" s="1163"/>
      <c r="BS142" s="1163"/>
      <c r="BT142" s="1163"/>
      <c r="BU142" s="1163"/>
      <c r="BV142" s="1163"/>
      <c r="BW142" s="1163"/>
      <c r="BX142" s="1163">
        <v>1</v>
      </c>
      <c r="BY142" s="1170"/>
      <c r="BZ142" s="1163"/>
      <c r="CA142" s="1163"/>
      <c r="CB142" s="1164"/>
      <c r="CC142" s="1207"/>
      <c r="CD142" s="1207"/>
      <c r="CE142" s="1385"/>
      <c r="CG142" s="1157">
        <v>4.2</v>
      </c>
      <c r="CH142" s="1161" t="s">
        <v>123</v>
      </c>
      <c r="CI142" s="1158" t="s">
        <v>1324</v>
      </c>
      <c r="CJ142" s="1531">
        <f t="shared" si="88"/>
        <v>0</v>
      </c>
      <c r="CK142" s="1531">
        <f t="shared" ref="CK142:CK194" si="123">BS142</f>
        <v>0</v>
      </c>
      <c r="CL142" s="1531">
        <f t="shared" ref="CL142:CL194" si="124">BT142</f>
        <v>0</v>
      </c>
      <c r="CM142" s="1531">
        <f t="shared" ref="CM142:CM194" si="125">BU142</f>
        <v>0</v>
      </c>
      <c r="CN142" s="1531">
        <f t="shared" ref="CN142:CN194" si="126">BV142</f>
        <v>0</v>
      </c>
      <c r="CO142" s="1531">
        <f t="shared" ref="CO142:CO194" si="127">BW142</f>
        <v>0</v>
      </c>
      <c r="CP142" s="1531">
        <f t="shared" ref="CP142:CP194" si="128">BX142</f>
        <v>1</v>
      </c>
      <c r="CQ142" s="1543">
        <f t="shared" ref="CQ142:CQ194" si="129">BY142</f>
        <v>0</v>
      </c>
      <c r="CR142" s="1531">
        <f t="shared" ref="CR142:CR194" si="130">BZ142</f>
        <v>0</v>
      </c>
      <c r="CS142" s="1531">
        <f t="shared" ref="CS142:CS194" si="131">CA142</f>
        <v>0</v>
      </c>
      <c r="CT142" s="1533">
        <f t="shared" ref="CT142:CT194" si="132">CB142</f>
        <v>0</v>
      </c>
      <c r="CU142" s="1546">
        <f t="shared" ref="CU142:CU194" si="133">CC142</f>
        <v>0</v>
      </c>
      <c r="CV142" s="1546">
        <f t="shared" ref="CV142:CV194" si="134">CD142</f>
        <v>0</v>
      </c>
      <c r="CX142" s="1157">
        <v>4.2</v>
      </c>
      <c r="CY142" s="1161" t="s">
        <v>123</v>
      </c>
      <c r="CZ142" s="1158" t="s">
        <v>1324</v>
      </c>
      <c r="DA142" s="1520">
        <f>BR142</f>
        <v>0</v>
      </c>
      <c r="DB142" s="1520"/>
      <c r="DC142" s="1520"/>
      <c r="DD142" s="1520"/>
      <c r="DE142" s="1520"/>
      <c r="DF142" s="1520"/>
      <c r="DG142" s="1520"/>
      <c r="DH142" s="1576"/>
      <c r="DI142" s="1520"/>
      <c r="DJ142" s="1520"/>
      <c r="DK142" s="1623"/>
      <c r="DL142" s="1523"/>
      <c r="DM142" s="1523"/>
    </row>
    <row r="143" spans="2:117">
      <c r="B143" s="1136" t="str">
        <f>P143</f>
        <v>4.2.1</v>
      </c>
      <c r="C143" s="1158" t="str">
        <f t="shared" si="116"/>
        <v>モニタリング</v>
      </c>
      <c r="D143" s="1146">
        <f>IF(I$142&gt;0,G143/I$142,0)</f>
        <v>0.5</v>
      </c>
      <c r="E143" s="1146">
        <f>IF(J$142&gt;0,H143/J$142,0)</f>
        <v>0</v>
      </c>
      <c r="G143" s="1156">
        <f t="shared" si="122"/>
        <v>0.33333333333333331</v>
      </c>
      <c r="H143" s="1156">
        <f t="shared" si="122"/>
        <v>0</v>
      </c>
      <c r="I143" s="1156"/>
      <c r="J143" s="1156"/>
      <c r="K143" s="1156">
        <f>IF(スコア!Q143=0,0,1)</f>
        <v>1</v>
      </c>
      <c r="L143" s="1156">
        <f>IF(スコア!S143=0,0,1)</f>
        <v>0</v>
      </c>
      <c r="M143" s="1156">
        <f t="shared" si="117"/>
        <v>0.33333333333333331</v>
      </c>
      <c r="N143" s="1156">
        <f t="shared" si="121"/>
        <v>0</v>
      </c>
      <c r="P143" s="1157" t="str">
        <f t="shared" si="118"/>
        <v>4.2.1</v>
      </c>
      <c r="Q143" s="1157" t="str">
        <f t="shared" si="119"/>
        <v>LR1 4.2</v>
      </c>
      <c r="R143" s="1158" t="str">
        <f t="shared" si="120"/>
        <v>モニタリング</v>
      </c>
      <c r="S143" s="1585">
        <f t="shared" si="102"/>
        <v>0</v>
      </c>
      <c r="T143" s="1585">
        <f t="shared" si="103"/>
        <v>0</v>
      </c>
      <c r="U143" s="1585">
        <f t="shared" si="104"/>
        <v>0</v>
      </c>
      <c r="V143" s="1585">
        <f t="shared" si="105"/>
        <v>0</v>
      </c>
      <c r="W143" s="1585">
        <f t="shared" si="106"/>
        <v>0</v>
      </c>
      <c r="X143" s="1585">
        <f t="shared" si="107"/>
        <v>0</v>
      </c>
      <c r="Y143" s="1585">
        <f t="shared" si="108"/>
        <v>0.5</v>
      </c>
      <c r="Z143" s="1587">
        <f t="shared" si="109"/>
        <v>0</v>
      </c>
      <c r="AA143" s="1585">
        <f t="shared" si="110"/>
        <v>0</v>
      </c>
      <c r="AB143" s="1585">
        <f t="shared" si="111"/>
        <v>0</v>
      </c>
      <c r="AC143" s="1586">
        <f t="shared" si="112"/>
        <v>0</v>
      </c>
      <c r="AD143" s="1597">
        <f t="shared" si="113"/>
        <v>0</v>
      </c>
      <c r="AE143" s="1597">
        <f t="shared" si="114"/>
        <v>0</v>
      </c>
      <c r="AG143" s="1157" t="s">
        <v>1318</v>
      </c>
      <c r="AH143" s="1161" t="s">
        <v>1322</v>
      </c>
      <c r="AI143" s="1158" t="s">
        <v>1310</v>
      </c>
      <c r="AJ143" s="1163"/>
      <c r="AK143" s="1163"/>
      <c r="AL143" s="1163"/>
      <c r="AM143" s="1163"/>
      <c r="AN143" s="1163"/>
      <c r="AO143" s="1163"/>
      <c r="AP143" s="1163">
        <v>0.5</v>
      </c>
      <c r="AQ143" s="1170"/>
      <c r="AR143" s="1163"/>
      <c r="AS143" s="1163"/>
      <c r="AT143" s="1164"/>
      <c r="AU143" s="1207"/>
      <c r="AV143" s="1207"/>
      <c r="AX143" s="1157" t="s">
        <v>1318</v>
      </c>
      <c r="AY143" s="1161" t="s">
        <v>1322</v>
      </c>
      <c r="AZ143" s="1158" t="s">
        <v>842</v>
      </c>
      <c r="BA143" s="1163"/>
      <c r="BB143" s="1163"/>
      <c r="BC143" s="1163"/>
      <c r="BD143" s="1163"/>
      <c r="BE143" s="1163"/>
      <c r="BF143" s="1163"/>
      <c r="BG143" s="1163">
        <v>0.5</v>
      </c>
      <c r="BH143" s="1170"/>
      <c r="BI143" s="1163"/>
      <c r="BJ143" s="1163"/>
      <c r="BK143" s="1164"/>
      <c r="BL143" s="1207"/>
      <c r="BM143" s="1207"/>
      <c r="BO143" s="1157" t="s">
        <v>1318</v>
      </c>
      <c r="BP143" s="1161" t="s">
        <v>1322</v>
      </c>
      <c r="BQ143" s="1158" t="s">
        <v>842</v>
      </c>
      <c r="BR143" s="1163"/>
      <c r="BS143" s="1163"/>
      <c r="BT143" s="1163"/>
      <c r="BU143" s="1163"/>
      <c r="BV143" s="1163"/>
      <c r="BW143" s="1163"/>
      <c r="BX143" s="1163">
        <v>0.5</v>
      </c>
      <c r="BY143" s="1170"/>
      <c r="BZ143" s="1163"/>
      <c r="CA143" s="1163"/>
      <c r="CB143" s="1164"/>
      <c r="CC143" s="1207"/>
      <c r="CD143" s="1207"/>
      <c r="CE143" s="1385"/>
      <c r="CG143" s="1157" t="s">
        <v>1318</v>
      </c>
      <c r="CH143" s="1161" t="s">
        <v>1322</v>
      </c>
      <c r="CI143" s="1158" t="s">
        <v>842</v>
      </c>
      <c r="CJ143" s="1531">
        <f t="shared" ref="CJ143:CJ194" si="135">BR143</f>
        <v>0</v>
      </c>
      <c r="CK143" s="1531">
        <f t="shared" si="123"/>
        <v>0</v>
      </c>
      <c r="CL143" s="1531">
        <f t="shared" si="124"/>
        <v>0</v>
      </c>
      <c r="CM143" s="1531">
        <f t="shared" si="125"/>
        <v>0</v>
      </c>
      <c r="CN143" s="1531">
        <f t="shared" si="126"/>
        <v>0</v>
      </c>
      <c r="CO143" s="1531">
        <f t="shared" si="127"/>
        <v>0</v>
      </c>
      <c r="CP143" s="1531">
        <f t="shared" si="128"/>
        <v>0.5</v>
      </c>
      <c r="CQ143" s="1543">
        <f t="shared" si="129"/>
        <v>0</v>
      </c>
      <c r="CR143" s="1531">
        <f t="shared" si="130"/>
        <v>0</v>
      </c>
      <c r="CS143" s="1531">
        <f t="shared" si="131"/>
        <v>0</v>
      </c>
      <c r="CT143" s="1533">
        <f t="shared" si="132"/>
        <v>0</v>
      </c>
      <c r="CU143" s="1546">
        <f t="shared" si="133"/>
        <v>0</v>
      </c>
      <c r="CV143" s="1546">
        <f t="shared" si="134"/>
        <v>0</v>
      </c>
      <c r="CX143" s="1157" t="s">
        <v>1318</v>
      </c>
      <c r="CY143" s="1161" t="s">
        <v>1322</v>
      </c>
      <c r="CZ143" s="1158" t="s">
        <v>842</v>
      </c>
      <c r="DA143" s="1520">
        <f>BR143</f>
        <v>0</v>
      </c>
      <c r="DB143" s="1520"/>
      <c r="DC143" s="1520"/>
      <c r="DD143" s="1520"/>
      <c r="DE143" s="1520"/>
      <c r="DF143" s="1520"/>
      <c r="DG143" s="1520"/>
      <c r="DH143" s="1576"/>
      <c r="DI143" s="1520"/>
      <c r="DJ143" s="1520"/>
      <c r="DK143" s="1623"/>
      <c r="DL143" s="1523"/>
      <c r="DM143" s="1523"/>
    </row>
    <row r="144" spans="2:117">
      <c r="B144" s="1136" t="str">
        <f>P144</f>
        <v>4.2.2</v>
      </c>
      <c r="C144" s="1158" t="str">
        <f t="shared" si="116"/>
        <v>運用管理体制</v>
      </c>
      <c r="D144" s="1146">
        <f>IF(I$142&gt;0,G144/I$142,0)</f>
        <v>0.5</v>
      </c>
      <c r="E144" s="1146">
        <f>IF(J$142&gt;0,H144/J$142,0)</f>
        <v>0</v>
      </c>
      <c r="G144" s="1156">
        <f t="shared" si="122"/>
        <v>0.33333333333333331</v>
      </c>
      <c r="H144" s="1156">
        <f t="shared" si="122"/>
        <v>0</v>
      </c>
      <c r="I144" s="1156"/>
      <c r="J144" s="1156"/>
      <c r="K144" s="1156">
        <f>IF(スコア!Q144=0,0,1)</f>
        <v>1</v>
      </c>
      <c r="L144" s="1156">
        <f>IF(スコア!S144=0,0,1)</f>
        <v>0</v>
      </c>
      <c r="M144" s="1156">
        <f t="shared" si="117"/>
        <v>0.33333333333333331</v>
      </c>
      <c r="N144" s="1156">
        <f t="shared" si="121"/>
        <v>0</v>
      </c>
      <c r="P144" s="1157" t="str">
        <f t="shared" si="118"/>
        <v>4.2.2</v>
      </c>
      <c r="Q144" s="1157" t="str">
        <f t="shared" si="119"/>
        <v>LR1 4.2</v>
      </c>
      <c r="R144" s="1158" t="str">
        <f t="shared" si="120"/>
        <v>運用管理体制</v>
      </c>
      <c r="S144" s="1585">
        <f t="shared" si="102"/>
        <v>0</v>
      </c>
      <c r="T144" s="1585">
        <f t="shared" si="103"/>
        <v>0</v>
      </c>
      <c r="U144" s="1585">
        <f t="shared" si="104"/>
        <v>0</v>
      </c>
      <c r="V144" s="1585">
        <f t="shared" si="105"/>
        <v>0</v>
      </c>
      <c r="W144" s="1585">
        <f t="shared" si="106"/>
        <v>0</v>
      </c>
      <c r="X144" s="1585">
        <f t="shared" si="107"/>
        <v>0</v>
      </c>
      <c r="Y144" s="1585">
        <f t="shared" si="108"/>
        <v>0.5</v>
      </c>
      <c r="Z144" s="1587">
        <f t="shared" si="109"/>
        <v>0</v>
      </c>
      <c r="AA144" s="1585">
        <f t="shared" si="110"/>
        <v>0</v>
      </c>
      <c r="AB144" s="1585">
        <f t="shared" si="111"/>
        <v>0</v>
      </c>
      <c r="AC144" s="1586">
        <f t="shared" si="112"/>
        <v>0</v>
      </c>
      <c r="AD144" s="1597">
        <f t="shared" si="113"/>
        <v>0</v>
      </c>
      <c r="AE144" s="1597">
        <f t="shared" si="114"/>
        <v>0</v>
      </c>
      <c r="AG144" s="1157" t="s">
        <v>1319</v>
      </c>
      <c r="AH144" s="1161" t="s">
        <v>1322</v>
      </c>
      <c r="AI144" s="1158" t="s">
        <v>1311</v>
      </c>
      <c r="AJ144" s="1163"/>
      <c r="AK144" s="1163"/>
      <c r="AL144" s="1163"/>
      <c r="AM144" s="1163"/>
      <c r="AN144" s="1163"/>
      <c r="AO144" s="1163"/>
      <c r="AP144" s="1163">
        <v>0.5</v>
      </c>
      <c r="AQ144" s="1170"/>
      <c r="AR144" s="1163"/>
      <c r="AS144" s="1163"/>
      <c r="AT144" s="1164"/>
      <c r="AU144" s="1207"/>
      <c r="AV144" s="1207"/>
      <c r="AX144" s="1157" t="s">
        <v>1319</v>
      </c>
      <c r="AY144" s="1161" t="s">
        <v>1322</v>
      </c>
      <c r="AZ144" s="1158" t="s">
        <v>843</v>
      </c>
      <c r="BA144" s="1163"/>
      <c r="BB144" s="1163"/>
      <c r="BC144" s="1163"/>
      <c r="BD144" s="1163"/>
      <c r="BE144" s="1163"/>
      <c r="BF144" s="1163"/>
      <c r="BG144" s="1163">
        <v>0.5</v>
      </c>
      <c r="BH144" s="1170"/>
      <c r="BI144" s="1163"/>
      <c r="BJ144" s="1163"/>
      <c r="BK144" s="1164"/>
      <c r="BL144" s="1207"/>
      <c r="BM144" s="1207"/>
      <c r="BO144" s="1157" t="s">
        <v>1319</v>
      </c>
      <c r="BP144" s="1161" t="s">
        <v>1322</v>
      </c>
      <c r="BQ144" s="1158" t="s">
        <v>843</v>
      </c>
      <c r="BR144" s="1163"/>
      <c r="BS144" s="1163"/>
      <c r="BT144" s="1163"/>
      <c r="BU144" s="1163"/>
      <c r="BV144" s="1163"/>
      <c r="BW144" s="1163"/>
      <c r="BX144" s="1163">
        <v>0.5</v>
      </c>
      <c r="BY144" s="1170"/>
      <c r="BZ144" s="1163"/>
      <c r="CA144" s="1163"/>
      <c r="CB144" s="1164"/>
      <c r="CC144" s="1207"/>
      <c r="CD144" s="1207"/>
      <c r="CE144" s="1385"/>
      <c r="CG144" s="1157" t="s">
        <v>1319</v>
      </c>
      <c r="CH144" s="1161" t="s">
        <v>1322</v>
      </c>
      <c r="CI144" s="1158" t="s">
        <v>843</v>
      </c>
      <c r="CJ144" s="1531">
        <f t="shared" si="135"/>
        <v>0</v>
      </c>
      <c r="CK144" s="1531">
        <f t="shared" si="123"/>
        <v>0</v>
      </c>
      <c r="CL144" s="1531">
        <f t="shared" si="124"/>
        <v>0</v>
      </c>
      <c r="CM144" s="1531">
        <f t="shared" si="125"/>
        <v>0</v>
      </c>
      <c r="CN144" s="1531">
        <f t="shared" si="126"/>
        <v>0</v>
      </c>
      <c r="CO144" s="1531">
        <f t="shared" si="127"/>
        <v>0</v>
      </c>
      <c r="CP144" s="1531">
        <f t="shared" si="128"/>
        <v>0.5</v>
      </c>
      <c r="CQ144" s="1543">
        <f t="shared" si="129"/>
        <v>0</v>
      </c>
      <c r="CR144" s="1531">
        <f t="shared" si="130"/>
        <v>0</v>
      </c>
      <c r="CS144" s="1531">
        <f t="shared" si="131"/>
        <v>0</v>
      </c>
      <c r="CT144" s="1533">
        <f t="shared" si="132"/>
        <v>0</v>
      </c>
      <c r="CU144" s="1546">
        <f t="shared" si="133"/>
        <v>0</v>
      </c>
      <c r="CV144" s="1546">
        <f t="shared" si="134"/>
        <v>0</v>
      </c>
      <c r="CX144" s="1157" t="s">
        <v>1319</v>
      </c>
      <c r="CY144" s="1161" t="s">
        <v>1322</v>
      </c>
      <c r="CZ144" s="1158" t="s">
        <v>843</v>
      </c>
      <c r="DA144" s="1520">
        <f>BR144</f>
        <v>0</v>
      </c>
      <c r="DB144" s="1520"/>
      <c r="DC144" s="1520"/>
      <c r="DD144" s="1520"/>
      <c r="DE144" s="1520"/>
      <c r="DF144" s="1520"/>
      <c r="DG144" s="1520"/>
      <c r="DH144" s="1576"/>
      <c r="DI144" s="1520"/>
      <c r="DJ144" s="1520"/>
      <c r="DK144" s="1623"/>
      <c r="DL144" s="1523"/>
      <c r="DM144" s="1523"/>
    </row>
    <row r="145" spans="2:117">
      <c r="B145" s="1136" t="str">
        <f t="shared" si="99"/>
        <v>LR2</v>
      </c>
      <c r="C145" s="1139" t="str">
        <f t="shared" si="116"/>
        <v>資源・マテリアル</v>
      </c>
      <c r="D145" s="1211">
        <f>IF(I$121=0,0,G145/I$121)</f>
        <v>0.3</v>
      </c>
      <c r="E145" s="1138">
        <f>IF(J$121=0,0,H145/J$121)</f>
        <v>0</v>
      </c>
      <c r="G145" s="1138">
        <f t="shared" si="96"/>
        <v>0.3</v>
      </c>
      <c r="H145" s="1138">
        <f t="shared" si="97"/>
        <v>0</v>
      </c>
      <c r="I145" s="1138">
        <f>G146+G151+G166</f>
        <v>1</v>
      </c>
      <c r="J145" s="1138">
        <f>H146+H151+H166</f>
        <v>0</v>
      </c>
      <c r="K145" s="1138">
        <f>IF(スコア!U145=0,0,1)</f>
        <v>1</v>
      </c>
      <c r="L145" s="1138">
        <f>IF(スコア!S145=0,0,1)</f>
        <v>0</v>
      </c>
      <c r="M145" s="1138">
        <f t="shared" si="98"/>
        <v>0.3</v>
      </c>
      <c r="N145" s="1138">
        <f t="shared" si="101"/>
        <v>0</v>
      </c>
      <c r="P145" s="1216" t="str">
        <f t="shared" si="118"/>
        <v>LR2</v>
      </c>
      <c r="Q145" s="1216" t="str">
        <f t="shared" si="119"/>
        <v>LR</v>
      </c>
      <c r="R145" s="1139" t="str">
        <f t="shared" si="120"/>
        <v>資源・マテリアル</v>
      </c>
      <c r="S145" s="1579">
        <f t="shared" si="102"/>
        <v>0.3</v>
      </c>
      <c r="T145" s="1579">
        <f t="shared" si="103"/>
        <v>0.3</v>
      </c>
      <c r="U145" s="1579">
        <f t="shared" si="104"/>
        <v>0.3</v>
      </c>
      <c r="V145" s="1579">
        <f t="shared" si="105"/>
        <v>0.3</v>
      </c>
      <c r="W145" s="1579">
        <f t="shared" si="106"/>
        <v>0.3</v>
      </c>
      <c r="X145" s="1579">
        <f t="shared" si="107"/>
        <v>0.3</v>
      </c>
      <c r="Y145" s="1579">
        <f t="shared" si="108"/>
        <v>0.3</v>
      </c>
      <c r="Z145" s="1601">
        <f t="shared" si="109"/>
        <v>0.3</v>
      </c>
      <c r="AA145" s="1579">
        <f t="shared" si="110"/>
        <v>0.3</v>
      </c>
      <c r="AB145" s="1579">
        <f t="shared" si="111"/>
        <v>0.3</v>
      </c>
      <c r="AC145" s="1602">
        <f t="shared" si="112"/>
        <v>0</v>
      </c>
      <c r="AD145" s="1603">
        <f t="shared" si="113"/>
        <v>0</v>
      </c>
      <c r="AE145" s="1603">
        <f t="shared" si="114"/>
        <v>0</v>
      </c>
      <c r="AG145" s="1216" t="s">
        <v>1587</v>
      </c>
      <c r="AH145" s="1217" t="s">
        <v>1167</v>
      </c>
      <c r="AI145" s="1139" t="s">
        <v>1588</v>
      </c>
      <c r="AJ145" s="1142">
        <v>0.3</v>
      </c>
      <c r="AK145" s="1142">
        <v>0.3</v>
      </c>
      <c r="AL145" s="1142">
        <v>0.3</v>
      </c>
      <c r="AM145" s="1142">
        <v>0.3</v>
      </c>
      <c r="AN145" s="1142">
        <v>0.3</v>
      </c>
      <c r="AO145" s="1142">
        <v>0.3</v>
      </c>
      <c r="AP145" s="1142">
        <v>0.3</v>
      </c>
      <c r="AQ145" s="1218">
        <v>0.3</v>
      </c>
      <c r="AR145" s="1142">
        <v>0.3</v>
      </c>
      <c r="AS145" s="1142">
        <v>0.3</v>
      </c>
      <c r="AT145" s="1219"/>
      <c r="AU145" s="1220"/>
      <c r="AV145" s="1220"/>
      <c r="AX145" s="1216" t="s">
        <v>1587</v>
      </c>
      <c r="AY145" s="1217" t="s">
        <v>1167</v>
      </c>
      <c r="AZ145" s="1139" t="s">
        <v>1588</v>
      </c>
      <c r="BA145" s="1142">
        <v>0.3</v>
      </c>
      <c r="BB145" s="1142">
        <v>0.3</v>
      </c>
      <c r="BC145" s="1142">
        <v>0.3</v>
      </c>
      <c r="BD145" s="1142">
        <v>0.3</v>
      </c>
      <c r="BE145" s="1142">
        <v>0.3</v>
      </c>
      <c r="BF145" s="1142">
        <v>0.3</v>
      </c>
      <c r="BG145" s="1142">
        <v>0.3</v>
      </c>
      <c r="BH145" s="1218">
        <v>0.3</v>
      </c>
      <c r="BI145" s="1142">
        <v>0.3</v>
      </c>
      <c r="BJ145" s="1142">
        <v>0.3</v>
      </c>
      <c r="BK145" s="1219"/>
      <c r="BL145" s="1220"/>
      <c r="BM145" s="1220"/>
      <c r="BO145" s="1216" t="s">
        <v>1587</v>
      </c>
      <c r="BP145" s="1217" t="s">
        <v>1167</v>
      </c>
      <c r="BQ145" s="1139" t="s">
        <v>1588</v>
      </c>
      <c r="BR145" s="1142">
        <v>0.3</v>
      </c>
      <c r="BS145" s="1142">
        <v>0.3</v>
      </c>
      <c r="BT145" s="1142">
        <v>0.3</v>
      </c>
      <c r="BU145" s="1142">
        <v>0.3</v>
      </c>
      <c r="BV145" s="1142">
        <v>0.3</v>
      </c>
      <c r="BW145" s="1142">
        <v>0.3</v>
      </c>
      <c r="BX145" s="1142">
        <v>0.3</v>
      </c>
      <c r="BY145" s="1218">
        <v>0.3</v>
      </c>
      <c r="BZ145" s="1142">
        <v>0.3</v>
      </c>
      <c r="CA145" s="1142">
        <v>0.3</v>
      </c>
      <c r="CB145" s="1219"/>
      <c r="CC145" s="1220"/>
      <c r="CD145" s="1220"/>
      <c r="CE145" s="1386"/>
      <c r="CG145" s="1216" t="s">
        <v>1587</v>
      </c>
      <c r="CH145" s="1217" t="s">
        <v>1160</v>
      </c>
      <c r="CI145" s="1139" t="s">
        <v>1588</v>
      </c>
      <c r="CJ145" s="1516">
        <v>0.5</v>
      </c>
      <c r="CK145" s="1516">
        <v>0.5</v>
      </c>
      <c r="CL145" s="1516">
        <v>0.5</v>
      </c>
      <c r="CM145" s="1516">
        <v>0.5</v>
      </c>
      <c r="CN145" s="1516">
        <v>0.5</v>
      </c>
      <c r="CO145" s="1516">
        <v>0.5</v>
      </c>
      <c r="CP145" s="1516">
        <v>0.5</v>
      </c>
      <c r="CQ145" s="1516">
        <v>0.5</v>
      </c>
      <c r="CR145" s="1516">
        <v>0.5</v>
      </c>
      <c r="CS145" s="1516">
        <v>0.5</v>
      </c>
      <c r="CT145" s="1524">
        <f t="shared" si="132"/>
        <v>0</v>
      </c>
      <c r="CU145" s="1525">
        <f t="shared" si="133"/>
        <v>0</v>
      </c>
      <c r="CV145" s="1525">
        <f t="shared" si="134"/>
        <v>0</v>
      </c>
      <c r="CX145" s="1216" t="s">
        <v>1587</v>
      </c>
      <c r="CY145" s="1217" t="s">
        <v>1160</v>
      </c>
      <c r="CZ145" s="1139" t="s">
        <v>1588</v>
      </c>
      <c r="DA145" s="1641">
        <v>0.35</v>
      </c>
      <c r="DB145" s="1516"/>
      <c r="DC145" s="1516"/>
      <c r="DD145" s="1516"/>
      <c r="DE145" s="1516"/>
      <c r="DF145" s="1516"/>
      <c r="DG145" s="1516"/>
      <c r="DH145" s="1516"/>
      <c r="DI145" s="1516"/>
      <c r="DJ145" s="1516"/>
      <c r="DK145" s="1524"/>
      <c r="DL145" s="1525"/>
      <c r="DM145" s="1525"/>
    </row>
    <row r="146" spans="2:117">
      <c r="B146" s="1136">
        <f t="shared" si="99"/>
        <v>1</v>
      </c>
      <c r="C146" s="1148" t="str">
        <f t="shared" si="116"/>
        <v>水資源保護</v>
      </c>
      <c r="D146" s="1144">
        <f>IF(I$145=0,0,G146/I$145)</f>
        <v>0.2</v>
      </c>
      <c r="E146" s="1145">
        <f>IF(J$145=0,0,H146/J$145)</f>
        <v>0</v>
      </c>
      <c r="G146" s="1145">
        <f t="shared" ref="G146:G186" si="136">K146*M146</f>
        <v>0.2</v>
      </c>
      <c r="H146" s="1145">
        <f t="shared" ref="H146:H186" si="137">L146*N146</f>
        <v>0</v>
      </c>
      <c r="I146" s="1145">
        <f>G147+G148</f>
        <v>1</v>
      </c>
      <c r="J146" s="1145">
        <f>H147+H148</f>
        <v>0</v>
      </c>
      <c r="K146" s="1145">
        <f>IF(スコア!Q146=0,0,1)</f>
        <v>1</v>
      </c>
      <c r="L146" s="1145">
        <f>IF(スコア!S146=0,0,1)</f>
        <v>0</v>
      </c>
      <c r="M146" s="1145">
        <f t="shared" ref="M146:M186" si="138">SUMPRODUCT($S$7:$AB$7,S146:AB146)</f>
        <v>0.2</v>
      </c>
      <c r="N146" s="1145">
        <f t="shared" si="101"/>
        <v>0</v>
      </c>
      <c r="P146" s="1212">
        <f t="shared" si="118"/>
        <v>1</v>
      </c>
      <c r="Q146" s="1147" t="str">
        <f t="shared" si="119"/>
        <v>LR2</v>
      </c>
      <c r="R146" s="1148" t="str">
        <f t="shared" si="120"/>
        <v>水資源保護</v>
      </c>
      <c r="S146" s="1582">
        <f t="shared" si="102"/>
        <v>0.2</v>
      </c>
      <c r="T146" s="1582">
        <f t="shared" si="103"/>
        <v>0.2</v>
      </c>
      <c r="U146" s="1582">
        <f t="shared" si="104"/>
        <v>0.2</v>
      </c>
      <c r="V146" s="1582">
        <f t="shared" si="105"/>
        <v>0.2</v>
      </c>
      <c r="W146" s="1582">
        <f t="shared" si="106"/>
        <v>0.2</v>
      </c>
      <c r="X146" s="1582">
        <f t="shared" si="107"/>
        <v>0.2</v>
      </c>
      <c r="Y146" s="1582">
        <f t="shared" si="108"/>
        <v>0.2</v>
      </c>
      <c r="Z146" s="1596">
        <f t="shared" si="109"/>
        <v>0.2</v>
      </c>
      <c r="AA146" s="1582">
        <f t="shared" si="110"/>
        <v>0.2</v>
      </c>
      <c r="AB146" s="1582">
        <f t="shared" si="111"/>
        <v>0.2</v>
      </c>
      <c r="AC146" s="1604">
        <f t="shared" si="112"/>
        <v>0</v>
      </c>
      <c r="AD146" s="1605">
        <f t="shared" si="113"/>
        <v>0</v>
      </c>
      <c r="AE146" s="1605">
        <f t="shared" si="114"/>
        <v>0</v>
      </c>
      <c r="AG146" s="1212">
        <v>1</v>
      </c>
      <c r="AH146" s="1151" t="s">
        <v>1302</v>
      </c>
      <c r="AI146" s="1148" t="s">
        <v>1051</v>
      </c>
      <c r="AJ146" s="1152">
        <v>0.2</v>
      </c>
      <c r="AK146" s="1152">
        <v>0.2</v>
      </c>
      <c r="AL146" s="1152">
        <v>0.2</v>
      </c>
      <c r="AM146" s="1152">
        <v>0.2</v>
      </c>
      <c r="AN146" s="1152">
        <v>0.2</v>
      </c>
      <c r="AO146" s="1152">
        <v>0.2</v>
      </c>
      <c r="AP146" s="1152">
        <v>0.2</v>
      </c>
      <c r="AQ146" s="1202">
        <v>0.2</v>
      </c>
      <c r="AR146" s="1152">
        <v>0.2</v>
      </c>
      <c r="AS146" s="1152">
        <v>0.2</v>
      </c>
      <c r="AT146" s="1221"/>
      <c r="AU146" s="1222"/>
      <c r="AV146" s="1222"/>
      <c r="AX146" s="1212">
        <v>1</v>
      </c>
      <c r="AY146" s="1151" t="s">
        <v>1302</v>
      </c>
      <c r="AZ146" s="1148" t="s">
        <v>1051</v>
      </c>
      <c r="BA146" s="1152">
        <v>0.2</v>
      </c>
      <c r="BB146" s="1152">
        <v>0.2</v>
      </c>
      <c r="BC146" s="1152">
        <v>0.2</v>
      </c>
      <c r="BD146" s="1152">
        <v>0.2</v>
      </c>
      <c r="BE146" s="1152">
        <v>0.2</v>
      </c>
      <c r="BF146" s="1152">
        <v>0.2</v>
      </c>
      <c r="BG146" s="1152">
        <v>0.2</v>
      </c>
      <c r="BH146" s="1202">
        <v>0.2</v>
      </c>
      <c r="BI146" s="1152">
        <v>0.2</v>
      </c>
      <c r="BJ146" s="1152">
        <v>0.2</v>
      </c>
      <c r="BK146" s="1221"/>
      <c r="BL146" s="1222"/>
      <c r="BM146" s="1222"/>
      <c r="BO146" s="1212">
        <v>1</v>
      </c>
      <c r="BP146" s="1151" t="s">
        <v>1302</v>
      </c>
      <c r="BQ146" s="1148" t="s">
        <v>1051</v>
      </c>
      <c r="BR146" s="1152">
        <v>0.2</v>
      </c>
      <c r="BS146" s="1152">
        <v>0.2</v>
      </c>
      <c r="BT146" s="1152">
        <v>0.2</v>
      </c>
      <c r="BU146" s="1152">
        <v>0.2</v>
      </c>
      <c r="BV146" s="1152">
        <v>0.2</v>
      </c>
      <c r="BW146" s="1152">
        <v>0.2</v>
      </c>
      <c r="BX146" s="1152">
        <v>0.2</v>
      </c>
      <c r="BY146" s="1202">
        <v>0.2</v>
      </c>
      <c r="BZ146" s="1152">
        <v>0.2</v>
      </c>
      <c r="CA146" s="1152">
        <v>0.2</v>
      </c>
      <c r="CB146" s="1221"/>
      <c r="CC146" s="1222"/>
      <c r="CD146" s="1222"/>
      <c r="CE146" s="1386"/>
      <c r="CG146" s="1212">
        <v>1</v>
      </c>
      <c r="CH146" s="1151" t="s">
        <v>1302</v>
      </c>
      <c r="CI146" s="1148" t="s">
        <v>1051</v>
      </c>
      <c r="CJ146" s="1518">
        <v>0.1</v>
      </c>
      <c r="CK146" s="1518">
        <v>0.1</v>
      </c>
      <c r="CL146" s="1518">
        <v>0.1</v>
      </c>
      <c r="CM146" s="1518">
        <v>0.1</v>
      </c>
      <c r="CN146" s="1518">
        <v>0.1</v>
      </c>
      <c r="CO146" s="1518">
        <v>0.1</v>
      </c>
      <c r="CP146" s="1518">
        <v>0.1</v>
      </c>
      <c r="CQ146" s="1518">
        <v>0.1</v>
      </c>
      <c r="CR146" s="1518">
        <v>0.1</v>
      </c>
      <c r="CS146" s="1518">
        <v>0.1</v>
      </c>
      <c r="CT146" s="1554">
        <f t="shared" si="132"/>
        <v>0</v>
      </c>
      <c r="CU146" s="1555">
        <f t="shared" si="133"/>
        <v>0</v>
      </c>
      <c r="CV146" s="1555">
        <f t="shared" si="134"/>
        <v>0</v>
      </c>
      <c r="CX146" s="1212">
        <v>1</v>
      </c>
      <c r="CY146" s="1151" t="s">
        <v>1302</v>
      </c>
      <c r="CZ146" s="1148" t="s">
        <v>1051</v>
      </c>
      <c r="DA146" s="1649">
        <v>0.3</v>
      </c>
      <c r="DB146" s="1518"/>
      <c r="DC146" s="1518"/>
      <c r="DD146" s="1518"/>
      <c r="DE146" s="1518"/>
      <c r="DF146" s="1518"/>
      <c r="DG146" s="1518"/>
      <c r="DH146" s="1518"/>
      <c r="DI146" s="1518"/>
      <c r="DJ146" s="1518"/>
      <c r="DK146" s="1638"/>
      <c r="DL146" s="1639"/>
      <c r="DM146" s="1639"/>
    </row>
    <row r="147" spans="2:117">
      <c r="B147" s="1136">
        <f t="shared" si="99"/>
        <v>1.1000000000000001</v>
      </c>
      <c r="C147" s="1158" t="str">
        <f t="shared" si="116"/>
        <v>節水</v>
      </c>
      <c r="D147" s="1155">
        <f>IF(I$146=0,0,G147/I$146)</f>
        <v>0.4</v>
      </c>
      <c r="E147" s="1156">
        <f>IF(J$146=0,0,H147/J$146)</f>
        <v>0</v>
      </c>
      <c r="G147" s="1156">
        <f t="shared" si="136"/>
        <v>0.4</v>
      </c>
      <c r="H147" s="1156">
        <f t="shared" si="137"/>
        <v>0</v>
      </c>
      <c r="I147" s="1156"/>
      <c r="J147" s="1156"/>
      <c r="K147" s="1156">
        <f>IF(スコア!Q147=0,0,1)</f>
        <v>1</v>
      </c>
      <c r="L147" s="1156">
        <f>IF(スコア!S147=0,0,1)</f>
        <v>0</v>
      </c>
      <c r="M147" s="1156">
        <f t="shared" si="138"/>
        <v>0.4</v>
      </c>
      <c r="N147" s="1156">
        <f t="shared" si="101"/>
        <v>0</v>
      </c>
      <c r="P147" s="1157">
        <f t="shared" si="118"/>
        <v>1.1000000000000001</v>
      </c>
      <c r="Q147" s="1157" t="str">
        <f t="shared" si="119"/>
        <v>LR2 1</v>
      </c>
      <c r="R147" s="1158" t="str">
        <f t="shared" si="120"/>
        <v>節水</v>
      </c>
      <c r="S147" s="1585">
        <f t="shared" si="102"/>
        <v>0.4</v>
      </c>
      <c r="T147" s="1585">
        <f t="shared" si="103"/>
        <v>0.4</v>
      </c>
      <c r="U147" s="1585">
        <f t="shared" si="104"/>
        <v>0.4</v>
      </c>
      <c r="V147" s="1585">
        <f t="shared" si="105"/>
        <v>0.4</v>
      </c>
      <c r="W147" s="1585">
        <f t="shared" si="106"/>
        <v>0.4</v>
      </c>
      <c r="X147" s="1585">
        <f t="shared" si="107"/>
        <v>0.4</v>
      </c>
      <c r="Y147" s="1585">
        <f t="shared" si="108"/>
        <v>0.4</v>
      </c>
      <c r="Z147" s="1587">
        <f t="shared" si="109"/>
        <v>0.4</v>
      </c>
      <c r="AA147" s="1585">
        <f t="shared" si="110"/>
        <v>0.4</v>
      </c>
      <c r="AB147" s="1585">
        <f t="shared" si="111"/>
        <v>0.4</v>
      </c>
      <c r="AC147" s="1606">
        <f t="shared" si="112"/>
        <v>0</v>
      </c>
      <c r="AD147" s="1590">
        <f t="shared" si="113"/>
        <v>0</v>
      </c>
      <c r="AE147" s="1590">
        <f t="shared" si="114"/>
        <v>0</v>
      </c>
      <c r="AG147" s="1157">
        <v>1.1000000000000001</v>
      </c>
      <c r="AH147" s="1161" t="s">
        <v>124</v>
      </c>
      <c r="AI147" s="1158" t="s">
        <v>1052</v>
      </c>
      <c r="AJ147" s="1163">
        <v>0.4</v>
      </c>
      <c r="AK147" s="1163">
        <v>0.4</v>
      </c>
      <c r="AL147" s="1163">
        <v>0.4</v>
      </c>
      <c r="AM147" s="1163">
        <v>0.4</v>
      </c>
      <c r="AN147" s="1163">
        <v>0.4</v>
      </c>
      <c r="AO147" s="1163">
        <v>0.4</v>
      </c>
      <c r="AP147" s="1163">
        <v>0.4</v>
      </c>
      <c r="AQ147" s="1170">
        <v>0.4</v>
      </c>
      <c r="AR147" s="1163">
        <v>0.4</v>
      </c>
      <c r="AS147" s="1163">
        <v>0.4</v>
      </c>
      <c r="AT147" s="1223"/>
      <c r="AU147" s="1175"/>
      <c r="AV147" s="1175"/>
      <c r="AX147" s="1157">
        <v>1.1000000000000001</v>
      </c>
      <c r="AY147" s="1161" t="s">
        <v>124</v>
      </c>
      <c r="AZ147" s="1158" t="s">
        <v>1052</v>
      </c>
      <c r="BA147" s="1163">
        <v>0.4</v>
      </c>
      <c r="BB147" s="1163">
        <v>0.4</v>
      </c>
      <c r="BC147" s="1163">
        <v>0.4</v>
      </c>
      <c r="BD147" s="1163">
        <v>0.4</v>
      </c>
      <c r="BE147" s="1163">
        <v>0.4</v>
      </c>
      <c r="BF147" s="1163">
        <v>0.4</v>
      </c>
      <c r="BG147" s="1163">
        <v>0.4</v>
      </c>
      <c r="BH147" s="1170">
        <v>0.4</v>
      </c>
      <c r="BI147" s="1163">
        <v>0.4</v>
      </c>
      <c r="BJ147" s="1163">
        <v>0.4</v>
      </c>
      <c r="BK147" s="1223"/>
      <c r="BL147" s="1175"/>
      <c r="BM147" s="1175"/>
      <c r="BO147" s="1157">
        <v>1.1000000000000001</v>
      </c>
      <c r="BP147" s="1161" t="s">
        <v>124</v>
      </c>
      <c r="BQ147" s="1158" t="s">
        <v>1052</v>
      </c>
      <c r="BR147" s="1163">
        <v>0.4</v>
      </c>
      <c r="BS147" s="1163">
        <v>0.4</v>
      </c>
      <c r="BT147" s="1163">
        <v>0.4</v>
      </c>
      <c r="BU147" s="1163">
        <v>0.4</v>
      </c>
      <c r="BV147" s="1163">
        <v>0.4</v>
      </c>
      <c r="BW147" s="1163">
        <v>0.4</v>
      </c>
      <c r="BX147" s="1163">
        <v>0.4</v>
      </c>
      <c r="BY147" s="1170">
        <v>0.4</v>
      </c>
      <c r="BZ147" s="1163">
        <v>0.4</v>
      </c>
      <c r="CA147" s="1163">
        <v>0.4</v>
      </c>
      <c r="CB147" s="1223"/>
      <c r="CC147" s="1175"/>
      <c r="CD147" s="1175"/>
      <c r="CE147" s="1376"/>
      <c r="CG147" s="1157">
        <v>1.1000000000000001</v>
      </c>
      <c r="CH147" s="1161" t="s">
        <v>124</v>
      </c>
      <c r="CI147" s="1158" t="s">
        <v>1052</v>
      </c>
      <c r="CJ147" s="1531">
        <f t="shared" si="135"/>
        <v>0.4</v>
      </c>
      <c r="CK147" s="1531">
        <f t="shared" ref="CK147:CS150" si="139">BS147</f>
        <v>0.4</v>
      </c>
      <c r="CL147" s="1531">
        <f t="shared" si="139"/>
        <v>0.4</v>
      </c>
      <c r="CM147" s="1531">
        <f t="shared" si="139"/>
        <v>0.4</v>
      </c>
      <c r="CN147" s="1531">
        <f t="shared" si="139"/>
        <v>0.4</v>
      </c>
      <c r="CO147" s="1531">
        <f t="shared" si="139"/>
        <v>0.4</v>
      </c>
      <c r="CP147" s="1531">
        <f t="shared" si="139"/>
        <v>0.4</v>
      </c>
      <c r="CQ147" s="1531">
        <f t="shared" si="139"/>
        <v>0.4</v>
      </c>
      <c r="CR147" s="1531">
        <f t="shared" si="139"/>
        <v>0.4</v>
      </c>
      <c r="CS147" s="1531">
        <f t="shared" si="139"/>
        <v>0.4</v>
      </c>
      <c r="CT147" s="1556">
        <f t="shared" si="132"/>
        <v>0</v>
      </c>
      <c r="CU147" s="1537">
        <f t="shared" si="133"/>
        <v>0</v>
      </c>
      <c r="CV147" s="1537">
        <f t="shared" si="134"/>
        <v>0</v>
      </c>
      <c r="CX147" s="1157">
        <v>1.1000000000000001</v>
      </c>
      <c r="CY147" s="1161" t="s">
        <v>124</v>
      </c>
      <c r="CZ147" s="1158" t="s">
        <v>1052</v>
      </c>
      <c r="DA147" s="1520">
        <f>BR147</f>
        <v>0.4</v>
      </c>
      <c r="DB147" s="1520"/>
      <c r="DC147" s="1520"/>
      <c r="DD147" s="1520"/>
      <c r="DE147" s="1520"/>
      <c r="DF147" s="1520"/>
      <c r="DG147" s="1520"/>
      <c r="DH147" s="1520"/>
      <c r="DI147" s="1520"/>
      <c r="DJ147" s="1520"/>
      <c r="DK147" s="1640"/>
      <c r="DL147" s="1626"/>
      <c r="DM147" s="1626"/>
    </row>
    <row r="148" spans="2:117">
      <c r="B148" s="1136">
        <f t="shared" ref="B148:B188" si="140">P148</f>
        <v>1.2</v>
      </c>
      <c r="C148" s="1158" t="str">
        <f t="shared" si="116"/>
        <v>雨水利用・雑排水再利用</v>
      </c>
      <c r="D148" s="1155">
        <f>IF(I$146=0,0,G148/I$146)</f>
        <v>0.6</v>
      </c>
      <c r="E148" s="1156">
        <f>IF(J$146=0,0,H148/J$146)</f>
        <v>0</v>
      </c>
      <c r="G148" s="1156">
        <f>K148*M148</f>
        <v>0.6</v>
      </c>
      <c r="H148" s="1156">
        <f t="shared" si="137"/>
        <v>0</v>
      </c>
      <c r="I148" s="1156">
        <f>SUM(G149:G150)</f>
        <v>0.99999999999999989</v>
      </c>
      <c r="J148" s="1156">
        <f>SUM(H149:H150)</f>
        <v>0</v>
      </c>
      <c r="K148" s="1156">
        <f>IF(スコア!Q148=0,0,1)</f>
        <v>1</v>
      </c>
      <c r="L148" s="1156">
        <f>IF(スコア!S148=0,0,1)</f>
        <v>0</v>
      </c>
      <c r="M148" s="1156">
        <f>SUMPRODUCT($S$7:$AB$7,S148:AB148)</f>
        <v>0.6</v>
      </c>
      <c r="N148" s="1156">
        <f t="shared" si="101"/>
        <v>0</v>
      </c>
      <c r="P148" s="1214">
        <f t="shared" si="118"/>
        <v>1.2</v>
      </c>
      <c r="Q148" s="1157" t="str">
        <f t="shared" si="119"/>
        <v>LR2 1</v>
      </c>
      <c r="R148" s="1158" t="str">
        <f t="shared" si="120"/>
        <v>雨水利用・雑排水再利用</v>
      </c>
      <c r="S148" s="1585">
        <f t="shared" si="102"/>
        <v>0.6</v>
      </c>
      <c r="T148" s="1585">
        <f t="shared" si="103"/>
        <v>0.6</v>
      </c>
      <c r="U148" s="1585">
        <f t="shared" si="104"/>
        <v>0.6</v>
      </c>
      <c r="V148" s="1585">
        <f t="shared" si="105"/>
        <v>0.6</v>
      </c>
      <c r="W148" s="1585">
        <f t="shared" si="106"/>
        <v>0.6</v>
      </c>
      <c r="X148" s="1585">
        <f t="shared" si="107"/>
        <v>0.6</v>
      </c>
      <c r="Y148" s="1585">
        <f t="shared" si="108"/>
        <v>0.6</v>
      </c>
      <c r="Z148" s="1587">
        <f t="shared" si="109"/>
        <v>0.6</v>
      </c>
      <c r="AA148" s="1585">
        <f t="shared" si="110"/>
        <v>0.6</v>
      </c>
      <c r="AB148" s="1585">
        <f t="shared" si="111"/>
        <v>0.6</v>
      </c>
      <c r="AC148" s="1606">
        <f t="shared" si="112"/>
        <v>0</v>
      </c>
      <c r="AD148" s="1590">
        <f t="shared" si="113"/>
        <v>0</v>
      </c>
      <c r="AE148" s="1590">
        <f t="shared" si="114"/>
        <v>0</v>
      </c>
      <c r="AG148" s="1214">
        <v>1.2</v>
      </c>
      <c r="AH148" s="1161" t="s">
        <v>124</v>
      </c>
      <c r="AI148" s="1158" t="s">
        <v>125</v>
      </c>
      <c r="AJ148" s="1163">
        <v>0.6</v>
      </c>
      <c r="AK148" s="1163">
        <v>0.6</v>
      </c>
      <c r="AL148" s="1163">
        <v>0.6</v>
      </c>
      <c r="AM148" s="1163">
        <v>0.6</v>
      </c>
      <c r="AN148" s="1163">
        <v>0.6</v>
      </c>
      <c r="AO148" s="1163">
        <v>0.6</v>
      </c>
      <c r="AP148" s="1163">
        <v>0.6</v>
      </c>
      <c r="AQ148" s="1170">
        <v>0.6</v>
      </c>
      <c r="AR148" s="1163">
        <v>0.6</v>
      </c>
      <c r="AS148" s="1163">
        <v>0.6</v>
      </c>
      <c r="AT148" s="1223"/>
      <c r="AU148" s="1175"/>
      <c r="AV148" s="1175"/>
      <c r="AX148" s="1214">
        <v>1.2</v>
      </c>
      <c r="AY148" s="1161" t="s">
        <v>124</v>
      </c>
      <c r="AZ148" s="1158" t="s">
        <v>125</v>
      </c>
      <c r="BA148" s="1163">
        <v>0.6</v>
      </c>
      <c r="BB148" s="1163">
        <v>0.6</v>
      </c>
      <c r="BC148" s="1163">
        <v>0.6</v>
      </c>
      <c r="BD148" s="1163">
        <v>0.6</v>
      </c>
      <c r="BE148" s="1163">
        <v>0.6</v>
      </c>
      <c r="BF148" s="1163">
        <v>0.6</v>
      </c>
      <c r="BG148" s="1163">
        <v>0.6</v>
      </c>
      <c r="BH148" s="1170">
        <v>0.6</v>
      </c>
      <c r="BI148" s="1163">
        <v>0.6</v>
      </c>
      <c r="BJ148" s="1163">
        <v>0.6</v>
      </c>
      <c r="BK148" s="1223"/>
      <c r="BL148" s="1175"/>
      <c r="BM148" s="1175"/>
      <c r="BO148" s="1214">
        <v>1.2</v>
      </c>
      <c r="BP148" s="1161" t="s">
        <v>124</v>
      </c>
      <c r="BQ148" s="1158" t="s">
        <v>125</v>
      </c>
      <c r="BR148" s="1163">
        <v>0.6</v>
      </c>
      <c r="BS148" s="1163">
        <v>0.6</v>
      </c>
      <c r="BT148" s="1163">
        <v>0.6</v>
      </c>
      <c r="BU148" s="1163">
        <v>0.6</v>
      </c>
      <c r="BV148" s="1163">
        <v>0.6</v>
      </c>
      <c r="BW148" s="1163">
        <v>0.6</v>
      </c>
      <c r="BX148" s="1163">
        <v>0.6</v>
      </c>
      <c r="BY148" s="1170">
        <v>0.6</v>
      </c>
      <c r="BZ148" s="1163">
        <v>0.6</v>
      </c>
      <c r="CA148" s="1163">
        <v>0.6</v>
      </c>
      <c r="CB148" s="1223"/>
      <c r="CC148" s="1175"/>
      <c r="CD148" s="1175"/>
      <c r="CE148" s="1376"/>
      <c r="CG148" s="1214">
        <v>1.2</v>
      </c>
      <c r="CH148" s="1161" t="s">
        <v>124</v>
      </c>
      <c r="CI148" s="1158" t="s">
        <v>125</v>
      </c>
      <c r="CJ148" s="1531">
        <f t="shared" si="135"/>
        <v>0.6</v>
      </c>
      <c r="CK148" s="1531">
        <f t="shared" si="139"/>
        <v>0.6</v>
      </c>
      <c r="CL148" s="1531">
        <f t="shared" si="139"/>
        <v>0.6</v>
      </c>
      <c r="CM148" s="1531">
        <f t="shared" si="139"/>
        <v>0.6</v>
      </c>
      <c r="CN148" s="1531">
        <f t="shared" si="139"/>
        <v>0.6</v>
      </c>
      <c r="CO148" s="1531">
        <f t="shared" si="139"/>
        <v>0.6</v>
      </c>
      <c r="CP148" s="1531">
        <f t="shared" si="139"/>
        <v>0.6</v>
      </c>
      <c r="CQ148" s="1531">
        <f t="shared" si="139"/>
        <v>0.6</v>
      </c>
      <c r="CR148" s="1531">
        <f t="shared" si="139"/>
        <v>0.6</v>
      </c>
      <c r="CS148" s="1531">
        <f t="shared" si="139"/>
        <v>0.6</v>
      </c>
      <c r="CT148" s="1556">
        <f t="shared" si="132"/>
        <v>0</v>
      </c>
      <c r="CU148" s="1537">
        <f t="shared" si="133"/>
        <v>0</v>
      </c>
      <c r="CV148" s="1537">
        <f t="shared" si="134"/>
        <v>0</v>
      </c>
      <c r="CX148" s="1214">
        <v>1.2</v>
      </c>
      <c r="CY148" s="1161" t="s">
        <v>124</v>
      </c>
      <c r="CZ148" s="1158" t="s">
        <v>125</v>
      </c>
      <c r="DA148" s="1520">
        <f>BR148</f>
        <v>0.6</v>
      </c>
      <c r="DB148" s="1520"/>
      <c r="DC148" s="1520"/>
      <c r="DD148" s="1520"/>
      <c r="DE148" s="1520"/>
      <c r="DF148" s="1520"/>
      <c r="DG148" s="1520"/>
      <c r="DH148" s="1520"/>
      <c r="DI148" s="1520"/>
      <c r="DJ148" s="1520"/>
      <c r="DK148" s="1640"/>
      <c r="DL148" s="1626"/>
      <c r="DM148" s="1626"/>
    </row>
    <row r="149" spans="2:117">
      <c r="B149" s="1136" t="str">
        <f t="shared" si="140"/>
        <v>1.2.1</v>
      </c>
      <c r="C149" s="1158" t="str">
        <f t="shared" si="116"/>
        <v>雨水利用システム導入の有無</v>
      </c>
      <c r="D149" s="1146">
        <f>IF(I$148&gt;0,G149/I$148,0)</f>
        <v>0.9</v>
      </c>
      <c r="E149" s="1156">
        <f>IF(J$148&gt;0,H149/J$148,0)</f>
        <v>0</v>
      </c>
      <c r="G149" s="1156">
        <f t="shared" si="136"/>
        <v>0.89999999999999991</v>
      </c>
      <c r="H149" s="1156">
        <f t="shared" si="137"/>
        <v>0</v>
      </c>
      <c r="I149" s="1156"/>
      <c r="J149" s="1156"/>
      <c r="K149" s="1156">
        <f>IF(スコア!Q149=0,0,1)</f>
        <v>1</v>
      </c>
      <c r="L149" s="1156">
        <f>IF(スコア!S149=0,0,1)</f>
        <v>0</v>
      </c>
      <c r="M149" s="1156">
        <f>SUMPRODUCT($S$7:$AB$7,S149:AB149)</f>
        <v>0.89999999999999991</v>
      </c>
      <c r="N149" s="1156">
        <f t="shared" si="101"/>
        <v>0</v>
      </c>
      <c r="P149" s="1157" t="str">
        <f t="shared" si="118"/>
        <v>1.2.1</v>
      </c>
      <c r="Q149" s="1157" t="str">
        <f t="shared" si="119"/>
        <v>LR2 1.2</v>
      </c>
      <c r="R149" s="1158" t="str">
        <f t="shared" si="120"/>
        <v>雨水利用システム導入の有無</v>
      </c>
      <c r="S149" s="1585">
        <f t="shared" si="102"/>
        <v>0.7</v>
      </c>
      <c r="T149" s="1585">
        <f t="shared" si="103"/>
        <v>0.7</v>
      </c>
      <c r="U149" s="1585">
        <f t="shared" si="104"/>
        <v>0.7</v>
      </c>
      <c r="V149" s="1585">
        <f t="shared" si="105"/>
        <v>0.7</v>
      </c>
      <c r="W149" s="1585">
        <f t="shared" si="106"/>
        <v>0.7</v>
      </c>
      <c r="X149" s="1585">
        <f t="shared" si="107"/>
        <v>0.7</v>
      </c>
      <c r="Y149" s="1585">
        <f t="shared" si="108"/>
        <v>1</v>
      </c>
      <c r="Z149" s="1587">
        <f t="shared" si="109"/>
        <v>0.7</v>
      </c>
      <c r="AA149" s="1585">
        <f t="shared" si="110"/>
        <v>0.7</v>
      </c>
      <c r="AB149" s="1585">
        <f t="shared" si="111"/>
        <v>0.7</v>
      </c>
      <c r="AC149" s="1606">
        <f t="shared" si="112"/>
        <v>0</v>
      </c>
      <c r="AD149" s="1590">
        <f t="shared" si="113"/>
        <v>0</v>
      </c>
      <c r="AE149" s="1590">
        <f t="shared" si="114"/>
        <v>0</v>
      </c>
      <c r="AG149" s="1157" t="s">
        <v>2318</v>
      </c>
      <c r="AH149" s="1161" t="s">
        <v>126</v>
      </c>
      <c r="AI149" s="1158" t="s">
        <v>2319</v>
      </c>
      <c r="AJ149" s="1163">
        <v>0.7</v>
      </c>
      <c r="AK149" s="1163">
        <v>0.7</v>
      </c>
      <c r="AL149" s="1163">
        <v>0.7</v>
      </c>
      <c r="AM149" s="1163">
        <v>0.7</v>
      </c>
      <c r="AN149" s="1163">
        <v>0.7</v>
      </c>
      <c r="AO149" s="1163">
        <v>0.7</v>
      </c>
      <c r="AP149" s="1163">
        <v>0.7</v>
      </c>
      <c r="AQ149" s="1170">
        <v>0.7</v>
      </c>
      <c r="AR149" s="1163">
        <v>0.7</v>
      </c>
      <c r="AS149" s="1163">
        <v>0.7</v>
      </c>
      <c r="AT149" s="1223"/>
      <c r="AU149" s="1175"/>
      <c r="AV149" s="1175"/>
      <c r="AX149" s="1157" t="s">
        <v>2318</v>
      </c>
      <c r="AY149" s="1161" t="s">
        <v>126</v>
      </c>
      <c r="AZ149" s="1158" t="s">
        <v>2319</v>
      </c>
      <c r="BA149" s="1163">
        <v>0.7</v>
      </c>
      <c r="BB149" s="1163">
        <v>0.7</v>
      </c>
      <c r="BC149" s="1163">
        <v>0.7</v>
      </c>
      <c r="BD149" s="1163">
        <v>0.7</v>
      </c>
      <c r="BE149" s="1163">
        <v>0.7</v>
      </c>
      <c r="BF149" s="1163">
        <v>0.7</v>
      </c>
      <c r="BG149" s="1163">
        <v>0.7</v>
      </c>
      <c r="BH149" s="1170">
        <v>0.7</v>
      </c>
      <c r="BI149" s="1163">
        <v>0.7</v>
      </c>
      <c r="BJ149" s="1163">
        <v>0.7</v>
      </c>
      <c r="BK149" s="1223"/>
      <c r="BL149" s="1175"/>
      <c r="BM149" s="1175"/>
      <c r="BO149" s="1157" t="s">
        <v>2318</v>
      </c>
      <c r="BP149" s="1161" t="s">
        <v>126</v>
      </c>
      <c r="BQ149" s="1158" t="s">
        <v>2319</v>
      </c>
      <c r="BR149" s="1163">
        <v>0.7</v>
      </c>
      <c r="BS149" s="1163">
        <v>0.7</v>
      </c>
      <c r="BT149" s="1163">
        <v>0.7</v>
      </c>
      <c r="BU149" s="1163">
        <v>0.7</v>
      </c>
      <c r="BV149" s="1163">
        <v>0.7</v>
      </c>
      <c r="BW149" s="1163">
        <v>0.7</v>
      </c>
      <c r="BX149" s="1163">
        <v>1</v>
      </c>
      <c r="BY149" s="1170">
        <v>0.7</v>
      </c>
      <c r="BZ149" s="1163">
        <v>0.7</v>
      </c>
      <c r="CA149" s="1163">
        <v>0.7</v>
      </c>
      <c r="CB149" s="1223"/>
      <c r="CC149" s="1175"/>
      <c r="CD149" s="1175"/>
      <c r="CE149" s="1376"/>
      <c r="CG149" s="1157" t="s">
        <v>207</v>
      </c>
      <c r="CH149" s="1161" t="s">
        <v>126</v>
      </c>
      <c r="CI149" s="1158" t="s">
        <v>2319</v>
      </c>
      <c r="CJ149" s="1531">
        <f t="shared" si="135"/>
        <v>0.7</v>
      </c>
      <c r="CK149" s="1531">
        <f t="shared" si="139"/>
        <v>0.7</v>
      </c>
      <c r="CL149" s="1531">
        <f t="shared" si="139"/>
        <v>0.7</v>
      </c>
      <c r="CM149" s="1531">
        <f t="shared" si="139"/>
        <v>0.7</v>
      </c>
      <c r="CN149" s="1531">
        <f t="shared" si="139"/>
        <v>0.7</v>
      </c>
      <c r="CO149" s="1531">
        <f t="shared" si="139"/>
        <v>0.7</v>
      </c>
      <c r="CP149" s="1531">
        <f t="shared" si="139"/>
        <v>1</v>
      </c>
      <c r="CQ149" s="1531">
        <f t="shared" si="139"/>
        <v>0.7</v>
      </c>
      <c r="CR149" s="1531">
        <f t="shared" si="139"/>
        <v>0.7</v>
      </c>
      <c r="CS149" s="1531">
        <f t="shared" si="139"/>
        <v>0.7</v>
      </c>
      <c r="CT149" s="1556">
        <f t="shared" si="132"/>
        <v>0</v>
      </c>
      <c r="CU149" s="1537">
        <f t="shared" si="133"/>
        <v>0</v>
      </c>
      <c r="CV149" s="1537">
        <f t="shared" si="134"/>
        <v>0</v>
      </c>
      <c r="CX149" s="1157" t="s">
        <v>207</v>
      </c>
      <c r="CY149" s="1161" t="s">
        <v>126</v>
      </c>
      <c r="CZ149" s="1158" t="s">
        <v>2319</v>
      </c>
      <c r="DA149" s="1520">
        <f>BR149</f>
        <v>0.7</v>
      </c>
      <c r="DB149" s="1520"/>
      <c r="DC149" s="1520"/>
      <c r="DD149" s="1520"/>
      <c r="DE149" s="1520"/>
      <c r="DF149" s="1520"/>
      <c r="DG149" s="1520"/>
      <c r="DH149" s="1520"/>
      <c r="DI149" s="1520"/>
      <c r="DJ149" s="1520"/>
      <c r="DK149" s="1640"/>
      <c r="DL149" s="1626"/>
      <c r="DM149" s="1626"/>
    </row>
    <row r="150" spans="2:117">
      <c r="B150" s="1136" t="str">
        <f t="shared" si="140"/>
        <v>1.2.2</v>
      </c>
      <c r="C150" s="1158" t="str">
        <f t="shared" si="116"/>
        <v>雑排水等再利用システム導入の有無</v>
      </c>
      <c r="D150" s="1146">
        <f>IF(I$148&gt;0,G150/I$148,0)</f>
        <v>0.1</v>
      </c>
      <c r="E150" s="1156">
        <f>IF(J$148&gt;0,H150/J$148,0)</f>
        <v>0</v>
      </c>
      <c r="G150" s="1156">
        <f t="shared" si="136"/>
        <v>9.9999999999999992E-2</v>
      </c>
      <c r="H150" s="1156">
        <f t="shared" si="137"/>
        <v>0</v>
      </c>
      <c r="I150" s="1156"/>
      <c r="J150" s="1156"/>
      <c r="K150" s="1156">
        <f>IF(スコア!Q150=0,0,1)</f>
        <v>1</v>
      </c>
      <c r="L150" s="1156">
        <f>IF(スコア!S150=0,0,1)</f>
        <v>0</v>
      </c>
      <c r="M150" s="1156">
        <f>SUMPRODUCT($S$7:$AB$7,S150:AB150)</f>
        <v>9.9999999999999992E-2</v>
      </c>
      <c r="N150" s="1156">
        <f t="shared" si="101"/>
        <v>0</v>
      </c>
      <c r="P150" s="1157" t="str">
        <f t="shared" si="118"/>
        <v>1.2.2</v>
      </c>
      <c r="Q150" s="1157" t="str">
        <f t="shared" si="119"/>
        <v>LR2 1.2</v>
      </c>
      <c r="R150" s="1158" t="str">
        <f t="shared" si="120"/>
        <v>雑排水等再利用システム導入の有無</v>
      </c>
      <c r="S150" s="1585">
        <f t="shared" si="102"/>
        <v>0.3</v>
      </c>
      <c r="T150" s="1585">
        <f t="shared" si="103"/>
        <v>0.3</v>
      </c>
      <c r="U150" s="1585">
        <f t="shared" si="104"/>
        <v>0.3</v>
      </c>
      <c r="V150" s="1585">
        <f t="shared" si="105"/>
        <v>0.3</v>
      </c>
      <c r="W150" s="1585">
        <f t="shared" si="106"/>
        <v>0.3</v>
      </c>
      <c r="X150" s="1585">
        <f t="shared" si="107"/>
        <v>0.3</v>
      </c>
      <c r="Y150" s="1585">
        <f t="shared" si="108"/>
        <v>0</v>
      </c>
      <c r="Z150" s="1587">
        <f t="shared" si="109"/>
        <v>0.3</v>
      </c>
      <c r="AA150" s="1585">
        <f t="shared" si="110"/>
        <v>0.3</v>
      </c>
      <c r="AB150" s="1585">
        <f t="shared" si="111"/>
        <v>0.3</v>
      </c>
      <c r="AC150" s="1606">
        <f t="shared" si="112"/>
        <v>0</v>
      </c>
      <c r="AD150" s="1590">
        <f t="shared" si="113"/>
        <v>0</v>
      </c>
      <c r="AE150" s="1590">
        <f t="shared" si="114"/>
        <v>0</v>
      </c>
      <c r="AG150" s="1157" t="s">
        <v>2320</v>
      </c>
      <c r="AH150" s="1161" t="s">
        <v>126</v>
      </c>
      <c r="AI150" s="1158" t="s">
        <v>127</v>
      </c>
      <c r="AJ150" s="1163">
        <v>0.3</v>
      </c>
      <c r="AK150" s="1163">
        <v>0.3</v>
      </c>
      <c r="AL150" s="1163">
        <v>0.3</v>
      </c>
      <c r="AM150" s="1163">
        <v>0.3</v>
      </c>
      <c r="AN150" s="1163">
        <v>0.3</v>
      </c>
      <c r="AO150" s="1163">
        <v>0.3</v>
      </c>
      <c r="AP150" s="1163">
        <v>0.3</v>
      </c>
      <c r="AQ150" s="1170">
        <v>0.3</v>
      </c>
      <c r="AR150" s="1163">
        <v>0.3</v>
      </c>
      <c r="AS150" s="1163">
        <v>0.3</v>
      </c>
      <c r="AT150" s="1223"/>
      <c r="AU150" s="1175"/>
      <c r="AV150" s="1175"/>
      <c r="AX150" s="1157" t="s">
        <v>2320</v>
      </c>
      <c r="AY150" s="1161" t="s">
        <v>126</v>
      </c>
      <c r="AZ150" s="1158" t="s">
        <v>127</v>
      </c>
      <c r="BA150" s="1163">
        <v>0.3</v>
      </c>
      <c r="BB150" s="1163">
        <v>0.3</v>
      </c>
      <c r="BC150" s="1163">
        <v>0.3</v>
      </c>
      <c r="BD150" s="1163">
        <v>0.3</v>
      </c>
      <c r="BE150" s="1163">
        <v>0.3</v>
      </c>
      <c r="BF150" s="1163">
        <v>0.3</v>
      </c>
      <c r="BG150" s="1163">
        <v>0.3</v>
      </c>
      <c r="BH150" s="1170">
        <v>0.3</v>
      </c>
      <c r="BI150" s="1163">
        <v>0.3</v>
      </c>
      <c r="BJ150" s="1163">
        <v>0.3</v>
      </c>
      <c r="BK150" s="1223"/>
      <c r="BL150" s="1175"/>
      <c r="BM150" s="1175"/>
      <c r="BO150" s="1157" t="s">
        <v>2320</v>
      </c>
      <c r="BP150" s="1161" t="s">
        <v>126</v>
      </c>
      <c r="BQ150" s="1158" t="s">
        <v>127</v>
      </c>
      <c r="BR150" s="1163">
        <v>0.3</v>
      </c>
      <c r="BS150" s="1163">
        <v>0.3</v>
      </c>
      <c r="BT150" s="1163">
        <v>0.3</v>
      </c>
      <c r="BU150" s="1163">
        <v>0.3</v>
      </c>
      <c r="BV150" s="1163">
        <v>0.3</v>
      </c>
      <c r="BW150" s="1163">
        <v>0.3</v>
      </c>
      <c r="BX150" s="1163">
        <v>0</v>
      </c>
      <c r="BY150" s="1170">
        <v>0.3</v>
      </c>
      <c r="BZ150" s="1163">
        <v>0.3</v>
      </c>
      <c r="CA150" s="1163">
        <v>0.3</v>
      </c>
      <c r="CB150" s="1223"/>
      <c r="CC150" s="1175"/>
      <c r="CD150" s="1175"/>
      <c r="CE150" s="1376"/>
      <c r="CG150" s="1157" t="s">
        <v>209</v>
      </c>
      <c r="CH150" s="1161" t="s">
        <v>126</v>
      </c>
      <c r="CI150" s="1158" t="s">
        <v>127</v>
      </c>
      <c r="CJ150" s="1531">
        <f t="shared" si="135"/>
        <v>0.3</v>
      </c>
      <c r="CK150" s="1531">
        <f t="shared" si="139"/>
        <v>0.3</v>
      </c>
      <c r="CL150" s="1531">
        <f t="shared" si="139"/>
        <v>0.3</v>
      </c>
      <c r="CM150" s="1531">
        <f t="shared" si="139"/>
        <v>0.3</v>
      </c>
      <c r="CN150" s="1531">
        <f t="shared" si="139"/>
        <v>0.3</v>
      </c>
      <c r="CO150" s="1531">
        <f t="shared" si="139"/>
        <v>0.3</v>
      </c>
      <c r="CP150" s="1531">
        <f t="shared" si="139"/>
        <v>0</v>
      </c>
      <c r="CQ150" s="1531">
        <f t="shared" si="139"/>
        <v>0.3</v>
      </c>
      <c r="CR150" s="1531">
        <f t="shared" si="139"/>
        <v>0.3</v>
      </c>
      <c r="CS150" s="1531">
        <f t="shared" si="139"/>
        <v>0.3</v>
      </c>
      <c r="CT150" s="1556">
        <f t="shared" si="132"/>
        <v>0</v>
      </c>
      <c r="CU150" s="1537">
        <f t="shared" si="133"/>
        <v>0</v>
      </c>
      <c r="CV150" s="1537">
        <f t="shared" si="134"/>
        <v>0</v>
      </c>
      <c r="CX150" s="1157" t="s">
        <v>209</v>
      </c>
      <c r="CY150" s="1161" t="s">
        <v>126</v>
      </c>
      <c r="CZ150" s="1158" t="s">
        <v>127</v>
      </c>
      <c r="DA150" s="1520">
        <f>BR150</f>
        <v>0.3</v>
      </c>
      <c r="DB150" s="1520"/>
      <c r="DC150" s="1520"/>
      <c r="DD150" s="1520"/>
      <c r="DE150" s="1520"/>
      <c r="DF150" s="1520"/>
      <c r="DG150" s="1520"/>
      <c r="DH150" s="1520"/>
      <c r="DI150" s="1520"/>
      <c r="DJ150" s="1520"/>
      <c r="DK150" s="1640"/>
      <c r="DL150" s="1626"/>
      <c r="DM150" s="1626"/>
    </row>
    <row r="151" spans="2:117">
      <c r="B151" s="1136">
        <f t="shared" si="140"/>
        <v>2</v>
      </c>
      <c r="C151" s="1148" t="str">
        <f t="shared" si="116"/>
        <v>非再生性資源の使用量削減</v>
      </c>
      <c r="D151" s="1144">
        <f>IF(I$145=0,0,G151/I$145)</f>
        <v>0.6</v>
      </c>
      <c r="E151" s="1145">
        <f>IF(J$145=0,0,H151/J$145)</f>
        <v>0</v>
      </c>
      <c r="G151" s="1145">
        <f t="shared" si="136"/>
        <v>0.6</v>
      </c>
      <c r="H151" s="1145">
        <f t="shared" si="137"/>
        <v>0</v>
      </c>
      <c r="I151" s="1145">
        <f>G152+G153+G154+G155+G156+G157+G158+G165</f>
        <v>1</v>
      </c>
      <c r="J151" s="1145">
        <f>H152+H153+H154+H155+H156+H157+H158+H165</f>
        <v>0</v>
      </c>
      <c r="K151" s="1145">
        <f>IF(スコア!Q151=0,0,1)</f>
        <v>1</v>
      </c>
      <c r="L151" s="1145">
        <f>IF(スコア!S151=0,0,1)</f>
        <v>0</v>
      </c>
      <c r="M151" s="1145">
        <f t="shared" si="138"/>
        <v>0.6</v>
      </c>
      <c r="N151" s="1145">
        <f t="shared" si="101"/>
        <v>0</v>
      </c>
      <c r="P151" s="1147">
        <f t="shared" si="118"/>
        <v>2</v>
      </c>
      <c r="Q151" s="1147" t="str">
        <f t="shared" si="119"/>
        <v>LR2</v>
      </c>
      <c r="R151" s="1148" t="str">
        <f t="shared" si="120"/>
        <v>非再生性資源の使用量削減</v>
      </c>
      <c r="S151" s="1582">
        <f t="shared" si="102"/>
        <v>0.6</v>
      </c>
      <c r="T151" s="1582">
        <f t="shared" si="103"/>
        <v>0.6</v>
      </c>
      <c r="U151" s="1582">
        <f t="shared" si="104"/>
        <v>0.6</v>
      </c>
      <c r="V151" s="1582">
        <f t="shared" si="105"/>
        <v>0.6</v>
      </c>
      <c r="W151" s="1582">
        <f t="shared" si="106"/>
        <v>0.6</v>
      </c>
      <c r="X151" s="1582">
        <f t="shared" si="107"/>
        <v>0.6</v>
      </c>
      <c r="Y151" s="1582">
        <f t="shared" si="108"/>
        <v>0.6</v>
      </c>
      <c r="Z151" s="1596">
        <f t="shared" si="109"/>
        <v>0.6</v>
      </c>
      <c r="AA151" s="1582">
        <f t="shared" si="110"/>
        <v>0.6</v>
      </c>
      <c r="AB151" s="1582">
        <f t="shared" si="111"/>
        <v>0.6</v>
      </c>
      <c r="AC151" s="1604">
        <f t="shared" si="112"/>
        <v>0</v>
      </c>
      <c r="AD151" s="1605">
        <f t="shared" si="113"/>
        <v>0</v>
      </c>
      <c r="AE151" s="1605">
        <f t="shared" si="114"/>
        <v>0</v>
      </c>
      <c r="AG151" s="1147">
        <v>2</v>
      </c>
      <c r="AH151" s="1151" t="s">
        <v>1302</v>
      </c>
      <c r="AI151" s="1148" t="s">
        <v>1056</v>
      </c>
      <c r="AJ151" s="1152">
        <v>0.6</v>
      </c>
      <c r="AK151" s="1152">
        <v>0.6</v>
      </c>
      <c r="AL151" s="1152">
        <v>0.6</v>
      </c>
      <c r="AM151" s="1152">
        <v>0.6</v>
      </c>
      <c r="AN151" s="1152">
        <v>0.6</v>
      </c>
      <c r="AO151" s="1152">
        <v>0.6</v>
      </c>
      <c r="AP151" s="1152">
        <v>0.6</v>
      </c>
      <c r="AQ151" s="1152">
        <v>0.6</v>
      </c>
      <c r="AR151" s="1152">
        <v>0.6</v>
      </c>
      <c r="AS151" s="1152">
        <v>0.6</v>
      </c>
      <c r="AT151" s="1221"/>
      <c r="AU151" s="1222"/>
      <c r="AV151" s="1222"/>
      <c r="AX151" s="1147">
        <v>2</v>
      </c>
      <c r="AY151" s="1151" t="s">
        <v>1302</v>
      </c>
      <c r="AZ151" s="1148" t="s">
        <v>1056</v>
      </c>
      <c r="BA151" s="1152">
        <v>0.6</v>
      </c>
      <c r="BB151" s="1152">
        <v>0.6</v>
      </c>
      <c r="BC151" s="1152">
        <v>0.6</v>
      </c>
      <c r="BD151" s="1152">
        <v>0.6</v>
      </c>
      <c r="BE151" s="1152">
        <v>0.6</v>
      </c>
      <c r="BF151" s="1152">
        <v>0.6</v>
      </c>
      <c r="BG151" s="1152">
        <v>0.6</v>
      </c>
      <c r="BH151" s="1152">
        <v>0.6</v>
      </c>
      <c r="BI151" s="1152">
        <v>0.6</v>
      </c>
      <c r="BJ151" s="1152">
        <v>0.6</v>
      </c>
      <c r="BK151" s="1221"/>
      <c r="BL151" s="1222"/>
      <c r="BM151" s="1222"/>
      <c r="BO151" s="1147">
        <v>2</v>
      </c>
      <c r="BP151" s="1151" t="s">
        <v>1302</v>
      </c>
      <c r="BQ151" s="1148" t="s">
        <v>1056</v>
      </c>
      <c r="BR151" s="1152">
        <v>0.6</v>
      </c>
      <c r="BS151" s="1152">
        <v>0.6</v>
      </c>
      <c r="BT151" s="1152">
        <v>0.6</v>
      </c>
      <c r="BU151" s="1152">
        <v>0.6</v>
      </c>
      <c r="BV151" s="1152">
        <v>0.6</v>
      </c>
      <c r="BW151" s="1152">
        <v>0.6</v>
      </c>
      <c r="BX151" s="1152">
        <v>0.6</v>
      </c>
      <c r="BY151" s="1152">
        <v>0.6</v>
      </c>
      <c r="BZ151" s="1152">
        <v>0.6</v>
      </c>
      <c r="CA151" s="1152">
        <v>0.6</v>
      </c>
      <c r="CB151" s="1221"/>
      <c r="CC151" s="1222"/>
      <c r="CD151" s="1222"/>
      <c r="CE151" s="1386"/>
      <c r="CG151" s="1147">
        <v>2</v>
      </c>
      <c r="CH151" s="1151" t="s">
        <v>1302</v>
      </c>
      <c r="CI151" s="1148" t="s">
        <v>1056</v>
      </c>
      <c r="CJ151" s="1518">
        <v>0.85</v>
      </c>
      <c r="CK151" s="1518">
        <v>0.85</v>
      </c>
      <c r="CL151" s="1518">
        <v>0.85</v>
      </c>
      <c r="CM151" s="1518">
        <v>0.85</v>
      </c>
      <c r="CN151" s="1518">
        <v>0.85</v>
      </c>
      <c r="CO151" s="1518">
        <v>0.85</v>
      </c>
      <c r="CP151" s="1518">
        <v>0.85</v>
      </c>
      <c r="CQ151" s="1518">
        <v>0.85</v>
      </c>
      <c r="CR151" s="1518">
        <v>0.85</v>
      </c>
      <c r="CS151" s="1518">
        <v>0.85</v>
      </c>
      <c r="CT151" s="1554">
        <f t="shared" si="132"/>
        <v>0</v>
      </c>
      <c r="CU151" s="1555">
        <f t="shared" si="133"/>
        <v>0</v>
      </c>
      <c r="CV151" s="1555">
        <f t="shared" si="134"/>
        <v>0</v>
      </c>
      <c r="CX151" s="1147">
        <v>2</v>
      </c>
      <c r="CY151" s="1151" t="s">
        <v>1302</v>
      </c>
      <c r="CZ151" s="1148" t="s">
        <v>1056</v>
      </c>
      <c r="DA151" s="1649">
        <v>0.5</v>
      </c>
      <c r="DB151" s="1518"/>
      <c r="DC151" s="1518"/>
      <c r="DD151" s="1518"/>
      <c r="DE151" s="1518"/>
      <c r="DF151" s="1518"/>
      <c r="DG151" s="1518"/>
      <c r="DH151" s="1518"/>
      <c r="DI151" s="1518"/>
      <c r="DJ151" s="1518"/>
      <c r="DK151" s="1638"/>
      <c r="DL151" s="1639"/>
      <c r="DM151" s="1639"/>
    </row>
    <row r="152" spans="2:117">
      <c r="B152" s="1136" t="str">
        <f t="shared" si="140"/>
        <v>2.1</v>
      </c>
      <c r="C152" s="1158" t="str">
        <f t="shared" si="116"/>
        <v>材料使用量の削減</v>
      </c>
      <c r="D152" s="1155">
        <f>IF(I$151=0,0,G152/I$151)</f>
        <v>0.1</v>
      </c>
      <c r="E152" s="1156">
        <f t="shared" ref="D152:E156" si="141">IF(J$151=0,0,H152/J$151)</f>
        <v>0</v>
      </c>
      <c r="G152" s="1156">
        <f t="shared" si="136"/>
        <v>0.1</v>
      </c>
      <c r="H152" s="1156">
        <f>L152*N152</f>
        <v>0</v>
      </c>
      <c r="I152" s="1156"/>
      <c r="J152" s="1156"/>
      <c r="K152" s="1156">
        <f>IF(スコア!Q152=0,0,1)</f>
        <v>1</v>
      </c>
      <c r="L152" s="1156">
        <f>IF(スコア!S152=0,0,1)</f>
        <v>0</v>
      </c>
      <c r="M152" s="1156">
        <f t="shared" si="138"/>
        <v>0.1</v>
      </c>
      <c r="N152" s="1156">
        <f t="shared" si="101"/>
        <v>0</v>
      </c>
      <c r="P152" s="1157" t="str">
        <f t="shared" si="118"/>
        <v>2.1</v>
      </c>
      <c r="Q152" s="1157" t="str">
        <f t="shared" si="119"/>
        <v>LR2 2</v>
      </c>
      <c r="R152" s="1158" t="str">
        <f t="shared" si="120"/>
        <v>材料使用量の削減</v>
      </c>
      <c r="S152" s="1585">
        <f t="shared" si="102"/>
        <v>0.1</v>
      </c>
      <c r="T152" s="1585">
        <f t="shared" si="103"/>
        <v>0.1</v>
      </c>
      <c r="U152" s="1585">
        <f t="shared" si="104"/>
        <v>0.1</v>
      </c>
      <c r="V152" s="1585">
        <f t="shared" si="105"/>
        <v>0.1</v>
      </c>
      <c r="W152" s="1585">
        <f t="shared" si="106"/>
        <v>0.1</v>
      </c>
      <c r="X152" s="1585">
        <f t="shared" si="107"/>
        <v>0.1</v>
      </c>
      <c r="Y152" s="1585">
        <f t="shared" si="108"/>
        <v>0.1</v>
      </c>
      <c r="Z152" s="1587">
        <f t="shared" si="109"/>
        <v>0.1</v>
      </c>
      <c r="AA152" s="1585">
        <f t="shared" si="110"/>
        <v>0.1</v>
      </c>
      <c r="AB152" s="1585">
        <f t="shared" si="111"/>
        <v>0.1</v>
      </c>
      <c r="AC152" s="1606">
        <f t="shared" si="112"/>
        <v>0</v>
      </c>
      <c r="AD152" s="1590">
        <f t="shared" si="113"/>
        <v>0</v>
      </c>
      <c r="AE152" s="1590">
        <f t="shared" si="114"/>
        <v>0</v>
      </c>
      <c r="AG152" s="1157" t="s">
        <v>2321</v>
      </c>
      <c r="AH152" s="1151" t="s">
        <v>128</v>
      </c>
      <c r="AI152" s="1158" t="s">
        <v>1057</v>
      </c>
      <c r="AJ152" s="1207">
        <v>0.1</v>
      </c>
      <c r="AK152" s="1207">
        <v>0.1</v>
      </c>
      <c r="AL152" s="1207">
        <v>0.1</v>
      </c>
      <c r="AM152" s="1207">
        <v>0.1</v>
      </c>
      <c r="AN152" s="1207">
        <v>0.1</v>
      </c>
      <c r="AO152" s="1207">
        <v>0.1</v>
      </c>
      <c r="AP152" s="1207">
        <v>0.1</v>
      </c>
      <c r="AQ152" s="1207">
        <v>0.1</v>
      </c>
      <c r="AR152" s="1207">
        <v>0.1</v>
      </c>
      <c r="AS152" s="1207">
        <v>0.1</v>
      </c>
      <c r="AT152" s="1224"/>
      <c r="AU152" s="1222"/>
      <c r="AV152" s="1222"/>
      <c r="AX152" s="1157" t="s">
        <v>2322</v>
      </c>
      <c r="AY152" s="1151" t="s">
        <v>128</v>
      </c>
      <c r="AZ152" s="1158" t="s">
        <v>1057</v>
      </c>
      <c r="BA152" s="1207">
        <v>0.1</v>
      </c>
      <c r="BB152" s="1207">
        <v>0.1</v>
      </c>
      <c r="BC152" s="1207">
        <v>0.1</v>
      </c>
      <c r="BD152" s="1207">
        <v>0.1</v>
      </c>
      <c r="BE152" s="1207">
        <v>0.1</v>
      </c>
      <c r="BF152" s="1207">
        <v>0.1</v>
      </c>
      <c r="BG152" s="1207">
        <v>0.1</v>
      </c>
      <c r="BH152" s="1207">
        <v>0.1</v>
      </c>
      <c r="BI152" s="1207">
        <v>0.1</v>
      </c>
      <c r="BJ152" s="1207">
        <v>0.1</v>
      </c>
      <c r="BK152" s="1224"/>
      <c r="BL152" s="1222"/>
      <c r="BM152" s="1222"/>
      <c r="BO152" s="1157" t="s">
        <v>2322</v>
      </c>
      <c r="BP152" s="1151" t="s">
        <v>128</v>
      </c>
      <c r="BQ152" s="1158" t="s">
        <v>1057</v>
      </c>
      <c r="BR152" s="1207">
        <v>0.1</v>
      </c>
      <c r="BS152" s="1207">
        <v>0.1</v>
      </c>
      <c r="BT152" s="1207">
        <v>0.1</v>
      </c>
      <c r="BU152" s="1207">
        <v>0.1</v>
      </c>
      <c r="BV152" s="1207">
        <v>0.1</v>
      </c>
      <c r="BW152" s="1207">
        <v>0.1</v>
      </c>
      <c r="BX152" s="1207">
        <v>0.1</v>
      </c>
      <c r="BY152" s="1207">
        <v>0.1</v>
      </c>
      <c r="BZ152" s="1207">
        <v>0.1</v>
      </c>
      <c r="CA152" s="1207">
        <v>0.1</v>
      </c>
      <c r="CB152" s="1221"/>
      <c r="CC152" s="1222"/>
      <c r="CD152" s="1222"/>
      <c r="CE152" s="1386"/>
      <c r="CG152" s="1157" t="s">
        <v>1162</v>
      </c>
      <c r="CH152" s="1151" t="s">
        <v>128</v>
      </c>
      <c r="CI152" s="1158" t="s">
        <v>1057</v>
      </c>
      <c r="CJ152" s="1523">
        <v>0</v>
      </c>
      <c r="CK152" s="1523">
        <v>0</v>
      </c>
      <c r="CL152" s="1523">
        <v>0</v>
      </c>
      <c r="CM152" s="1523">
        <v>0</v>
      </c>
      <c r="CN152" s="1523">
        <v>0</v>
      </c>
      <c r="CO152" s="1523">
        <v>0</v>
      </c>
      <c r="CP152" s="1523">
        <v>0</v>
      </c>
      <c r="CQ152" s="1523">
        <v>0</v>
      </c>
      <c r="CR152" s="1523">
        <v>0</v>
      </c>
      <c r="CS152" s="1523">
        <v>0</v>
      </c>
      <c r="CT152" s="1554">
        <f t="shared" si="132"/>
        <v>0</v>
      </c>
      <c r="CU152" s="1555">
        <f t="shared" si="133"/>
        <v>0</v>
      </c>
      <c r="CV152" s="1555">
        <f t="shared" si="134"/>
        <v>0</v>
      </c>
      <c r="CX152" s="1157" t="s">
        <v>1162</v>
      </c>
      <c r="CY152" s="1151" t="s">
        <v>128</v>
      </c>
      <c r="CZ152" s="1158" t="s">
        <v>1057</v>
      </c>
      <c r="DA152" s="1652">
        <v>0</v>
      </c>
      <c r="DB152" s="1523"/>
      <c r="DC152" s="1523"/>
      <c r="DD152" s="1523"/>
      <c r="DE152" s="1523"/>
      <c r="DF152" s="1523"/>
      <c r="DG152" s="1523"/>
      <c r="DH152" s="1523"/>
      <c r="DI152" s="1523"/>
      <c r="DJ152" s="1523"/>
      <c r="DK152" s="1638"/>
      <c r="DL152" s="1639"/>
      <c r="DM152" s="1639"/>
    </row>
    <row r="153" spans="2:117">
      <c r="B153" s="1136" t="str">
        <f t="shared" si="140"/>
        <v>2.2</v>
      </c>
      <c r="C153" s="1158" t="str">
        <f t="shared" si="116"/>
        <v>既存建築躯体等の継続使用</v>
      </c>
      <c r="D153" s="1155">
        <f t="shared" si="141"/>
        <v>0.2</v>
      </c>
      <c r="E153" s="1156">
        <f t="shared" si="141"/>
        <v>0</v>
      </c>
      <c r="G153" s="1156">
        <f t="shared" si="136"/>
        <v>0.2</v>
      </c>
      <c r="H153" s="1156">
        <f t="shared" si="137"/>
        <v>0</v>
      </c>
      <c r="I153" s="1156"/>
      <c r="J153" s="1156"/>
      <c r="K153" s="1156">
        <f>IF(スコア!Q153=0,0,1)</f>
        <v>1</v>
      </c>
      <c r="L153" s="1156">
        <f>IF(スコア!S153=0,0,1)</f>
        <v>0</v>
      </c>
      <c r="M153" s="1156">
        <f t="shared" si="138"/>
        <v>0.2</v>
      </c>
      <c r="N153" s="1156">
        <f t="shared" si="101"/>
        <v>0</v>
      </c>
      <c r="P153" s="1157" t="str">
        <f t="shared" si="118"/>
        <v>2.2</v>
      </c>
      <c r="Q153" s="1157" t="str">
        <f t="shared" si="119"/>
        <v>LR2 2</v>
      </c>
      <c r="R153" s="1158" t="str">
        <f t="shared" si="120"/>
        <v>既存建築躯体等の継続使用</v>
      </c>
      <c r="S153" s="1585">
        <f t="shared" si="102"/>
        <v>0.2</v>
      </c>
      <c r="T153" s="1585">
        <f t="shared" si="103"/>
        <v>0.2</v>
      </c>
      <c r="U153" s="1585">
        <f t="shared" si="104"/>
        <v>0.2</v>
      </c>
      <c r="V153" s="1585">
        <f t="shared" si="105"/>
        <v>0.2</v>
      </c>
      <c r="W153" s="1585">
        <f t="shared" si="106"/>
        <v>0.2</v>
      </c>
      <c r="X153" s="1585">
        <f t="shared" si="107"/>
        <v>0.2</v>
      </c>
      <c r="Y153" s="1585">
        <f t="shared" si="108"/>
        <v>0.2</v>
      </c>
      <c r="Z153" s="1587">
        <f t="shared" si="109"/>
        <v>0.2</v>
      </c>
      <c r="AA153" s="1585">
        <f t="shared" si="110"/>
        <v>0.2</v>
      </c>
      <c r="AB153" s="1585">
        <f t="shared" si="111"/>
        <v>0.2</v>
      </c>
      <c r="AC153" s="1606">
        <f t="shared" si="112"/>
        <v>0</v>
      </c>
      <c r="AD153" s="1590">
        <f t="shared" si="113"/>
        <v>0</v>
      </c>
      <c r="AE153" s="1590">
        <f t="shared" si="114"/>
        <v>0</v>
      </c>
      <c r="AG153" s="1157" t="s">
        <v>2323</v>
      </c>
      <c r="AH153" s="1161" t="s">
        <v>128</v>
      </c>
      <c r="AI153" s="1158" t="s">
        <v>1058</v>
      </c>
      <c r="AJ153" s="1163">
        <v>0.2</v>
      </c>
      <c r="AK153" s="1163">
        <v>0.2</v>
      </c>
      <c r="AL153" s="1163">
        <v>0.2</v>
      </c>
      <c r="AM153" s="1163">
        <v>0.2</v>
      </c>
      <c r="AN153" s="1163">
        <v>0.2</v>
      </c>
      <c r="AO153" s="1163">
        <v>0.2</v>
      </c>
      <c r="AP153" s="1163">
        <v>0.2</v>
      </c>
      <c r="AQ153" s="1163">
        <v>0.2</v>
      </c>
      <c r="AR153" s="1163">
        <v>0.2</v>
      </c>
      <c r="AS153" s="1163">
        <v>0.2</v>
      </c>
      <c r="AT153" s="1223"/>
      <c r="AU153" s="1175"/>
      <c r="AV153" s="1175"/>
      <c r="AX153" s="1157" t="s">
        <v>2324</v>
      </c>
      <c r="AY153" s="1161" t="s">
        <v>128</v>
      </c>
      <c r="AZ153" s="1158" t="s">
        <v>1058</v>
      </c>
      <c r="BA153" s="1163">
        <v>0.2</v>
      </c>
      <c r="BB153" s="1163">
        <v>0.2</v>
      </c>
      <c r="BC153" s="1163">
        <v>0.2</v>
      </c>
      <c r="BD153" s="1163">
        <v>0.2</v>
      </c>
      <c r="BE153" s="1163">
        <v>0.2</v>
      </c>
      <c r="BF153" s="1163">
        <v>0.2</v>
      </c>
      <c r="BG153" s="1163">
        <v>0.2</v>
      </c>
      <c r="BH153" s="1163">
        <v>0.2</v>
      </c>
      <c r="BI153" s="1163">
        <v>0.2</v>
      </c>
      <c r="BJ153" s="1163">
        <v>0.2</v>
      </c>
      <c r="BK153" s="1223"/>
      <c r="BL153" s="1175"/>
      <c r="BM153" s="1175"/>
      <c r="BO153" s="1157" t="s">
        <v>2324</v>
      </c>
      <c r="BP153" s="1161" t="s">
        <v>128</v>
      </c>
      <c r="BQ153" s="1158" t="s">
        <v>1058</v>
      </c>
      <c r="BR153" s="1163">
        <v>0.2</v>
      </c>
      <c r="BS153" s="1163">
        <v>0.2</v>
      </c>
      <c r="BT153" s="1163">
        <v>0.2</v>
      </c>
      <c r="BU153" s="1163">
        <v>0.2</v>
      </c>
      <c r="BV153" s="1163">
        <v>0.2</v>
      </c>
      <c r="BW153" s="1163">
        <v>0.2</v>
      </c>
      <c r="BX153" s="1163">
        <v>0.2</v>
      </c>
      <c r="BY153" s="1163">
        <v>0.2</v>
      </c>
      <c r="BZ153" s="1163">
        <v>0.2</v>
      </c>
      <c r="CA153" s="1163">
        <v>0.2</v>
      </c>
      <c r="CB153" s="1223"/>
      <c r="CC153" s="1175"/>
      <c r="CD153" s="1175"/>
      <c r="CE153" s="1376"/>
      <c r="CG153" s="1157" t="s">
        <v>1163</v>
      </c>
      <c r="CH153" s="1161" t="s">
        <v>128</v>
      </c>
      <c r="CI153" s="1158" t="s">
        <v>1058</v>
      </c>
      <c r="CJ153" s="1520">
        <v>0</v>
      </c>
      <c r="CK153" s="1520">
        <v>0</v>
      </c>
      <c r="CL153" s="1520">
        <v>0</v>
      </c>
      <c r="CM153" s="1520">
        <v>0</v>
      </c>
      <c r="CN153" s="1520">
        <v>0</v>
      </c>
      <c r="CO153" s="1520">
        <v>0</v>
      </c>
      <c r="CP153" s="1520">
        <v>0</v>
      </c>
      <c r="CQ153" s="1520">
        <v>0</v>
      </c>
      <c r="CR153" s="1520">
        <v>0</v>
      </c>
      <c r="CS153" s="1520">
        <v>0</v>
      </c>
      <c r="CT153" s="1556">
        <f t="shared" si="132"/>
        <v>0</v>
      </c>
      <c r="CU153" s="1537">
        <f t="shared" si="133"/>
        <v>0</v>
      </c>
      <c r="CV153" s="1537">
        <f t="shared" si="134"/>
        <v>0</v>
      </c>
      <c r="CX153" s="1157" t="s">
        <v>1163</v>
      </c>
      <c r="CY153" s="1161" t="s">
        <v>128</v>
      </c>
      <c r="CZ153" s="1158" t="s">
        <v>1058</v>
      </c>
      <c r="DA153" s="1652">
        <v>0</v>
      </c>
      <c r="DB153" s="1520"/>
      <c r="DC153" s="1520"/>
      <c r="DD153" s="1520"/>
      <c r="DE153" s="1520"/>
      <c r="DF153" s="1520"/>
      <c r="DG153" s="1520"/>
      <c r="DH153" s="1520"/>
      <c r="DI153" s="1520"/>
      <c r="DJ153" s="1520"/>
      <c r="DK153" s="1640"/>
      <c r="DL153" s="1626"/>
      <c r="DM153" s="1626"/>
    </row>
    <row r="154" spans="2:117">
      <c r="B154" s="1136" t="str">
        <f t="shared" si="140"/>
        <v>2.3</v>
      </c>
      <c r="C154" s="1158" t="str">
        <f t="shared" si="116"/>
        <v>躯体材料におけるリサイクル材の使用</v>
      </c>
      <c r="D154" s="1155">
        <f t="shared" si="141"/>
        <v>0.2</v>
      </c>
      <c r="E154" s="1156">
        <f t="shared" si="141"/>
        <v>0</v>
      </c>
      <c r="G154" s="1156">
        <f t="shared" si="136"/>
        <v>0.2</v>
      </c>
      <c r="H154" s="1156">
        <f t="shared" si="137"/>
        <v>0</v>
      </c>
      <c r="I154" s="1156"/>
      <c r="J154" s="1156"/>
      <c r="K154" s="1156">
        <f>IF(スコア!Q154=0,0,1)</f>
        <v>1</v>
      </c>
      <c r="L154" s="1156">
        <f>IF(スコア!S154=0,0,1)</f>
        <v>0</v>
      </c>
      <c r="M154" s="1156">
        <f t="shared" si="138"/>
        <v>0.2</v>
      </c>
      <c r="N154" s="1156">
        <f t="shared" si="101"/>
        <v>0</v>
      </c>
      <c r="P154" s="1157" t="str">
        <f t="shared" si="118"/>
        <v>2.3</v>
      </c>
      <c r="Q154" s="1157" t="str">
        <f t="shared" si="119"/>
        <v>LR2 2</v>
      </c>
      <c r="R154" s="1158" t="str">
        <f t="shared" si="120"/>
        <v>躯体材料におけるリサイクル材の使用</v>
      </c>
      <c r="S154" s="1585">
        <f t="shared" si="102"/>
        <v>0.2</v>
      </c>
      <c r="T154" s="1585">
        <f t="shared" si="103"/>
        <v>0.2</v>
      </c>
      <c r="U154" s="1585">
        <f t="shared" si="104"/>
        <v>0.2</v>
      </c>
      <c r="V154" s="1585">
        <f t="shared" si="105"/>
        <v>0.2</v>
      </c>
      <c r="W154" s="1585">
        <f t="shared" si="106"/>
        <v>0.2</v>
      </c>
      <c r="X154" s="1585">
        <f t="shared" si="107"/>
        <v>0.2</v>
      </c>
      <c r="Y154" s="1585">
        <f t="shared" si="108"/>
        <v>0.2</v>
      </c>
      <c r="Z154" s="1587">
        <f t="shared" si="109"/>
        <v>0.2</v>
      </c>
      <c r="AA154" s="1585">
        <f t="shared" si="110"/>
        <v>0.2</v>
      </c>
      <c r="AB154" s="1585">
        <f t="shared" si="111"/>
        <v>0.2</v>
      </c>
      <c r="AC154" s="1606">
        <f t="shared" si="112"/>
        <v>0</v>
      </c>
      <c r="AD154" s="1590">
        <f t="shared" si="113"/>
        <v>0</v>
      </c>
      <c r="AE154" s="1590">
        <f t="shared" si="114"/>
        <v>0</v>
      </c>
      <c r="AG154" s="1157" t="s">
        <v>2325</v>
      </c>
      <c r="AH154" s="1161" t="s">
        <v>128</v>
      </c>
      <c r="AI154" s="1158" t="s">
        <v>1059</v>
      </c>
      <c r="AJ154" s="1163">
        <v>0.2</v>
      </c>
      <c r="AK154" s="1163">
        <v>0.2</v>
      </c>
      <c r="AL154" s="1163">
        <v>0.2</v>
      </c>
      <c r="AM154" s="1163">
        <v>0.2</v>
      </c>
      <c r="AN154" s="1163">
        <v>0.2</v>
      </c>
      <c r="AO154" s="1163">
        <v>0.2</v>
      </c>
      <c r="AP154" s="1163">
        <v>0.2</v>
      </c>
      <c r="AQ154" s="1163">
        <v>0.2</v>
      </c>
      <c r="AR154" s="1163">
        <v>0.2</v>
      </c>
      <c r="AS154" s="1163">
        <v>0.2</v>
      </c>
      <c r="AT154" s="1223"/>
      <c r="AU154" s="1175"/>
      <c r="AV154" s="1175"/>
      <c r="AX154" s="1157" t="s">
        <v>2326</v>
      </c>
      <c r="AY154" s="1161" t="s">
        <v>128</v>
      </c>
      <c r="AZ154" s="1158" t="s">
        <v>1059</v>
      </c>
      <c r="BA154" s="1163">
        <v>0.2</v>
      </c>
      <c r="BB154" s="1163">
        <v>0.2</v>
      </c>
      <c r="BC154" s="1163">
        <v>0.2</v>
      </c>
      <c r="BD154" s="1163">
        <v>0.2</v>
      </c>
      <c r="BE154" s="1163">
        <v>0.2</v>
      </c>
      <c r="BF154" s="1163">
        <v>0.2</v>
      </c>
      <c r="BG154" s="1163">
        <v>0.2</v>
      </c>
      <c r="BH154" s="1163">
        <v>0.2</v>
      </c>
      <c r="BI154" s="1163">
        <v>0.2</v>
      </c>
      <c r="BJ154" s="1163">
        <v>0.2</v>
      </c>
      <c r="BK154" s="1223"/>
      <c r="BL154" s="1175"/>
      <c r="BM154" s="1175"/>
      <c r="BO154" s="1157" t="s">
        <v>2326</v>
      </c>
      <c r="BP154" s="1161" t="s">
        <v>128</v>
      </c>
      <c r="BQ154" s="1158" t="s">
        <v>1059</v>
      </c>
      <c r="BR154" s="1163">
        <v>0.2</v>
      </c>
      <c r="BS154" s="1163">
        <v>0.2</v>
      </c>
      <c r="BT154" s="1163">
        <v>0.2</v>
      </c>
      <c r="BU154" s="1163">
        <v>0.2</v>
      </c>
      <c r="BV154" s="1163">
        <v>0.2</v>
      </c>
      <c r="BW154" s="1163">
        <v>0.2</v>
      </c>
      <c r="BX154" s="1163">
        <v>0.2</v>
      </c>
      <c r="BY154" s="1163">
        <v>0.2</v>
      </c>
      <c r="BZ154" s="1163">
        <v>0.2</v>
      </c>
      <c r="CA154" s="1163">
        <v>0.2</v>
      </c>
      <c r="CB154" s="1223"/>
      <c r="CC154" s="1175"/>
      <c r="CD154" s="1175"/>
      <c r="CE154" s="1376"/>
      <c r="CG154" s="1157" t="s">
        <v>1395</v>
      </c>
      <c r="CH154" s="1161" t="s">
        <v>128</v>
      </c>
      <c r="CI154" s="1158" t="s">
        <v>1059</v>
      </c>
      <c r="CJ154" s="1520">
        <v>7.0000000000000007E-2</v>
      </c>
      <c r="CK154" s="1520">
        <v>7.0000000000000007E-2</v>
      </c>
      <c r="CL154" s="1520">
        <v>7.0000000000000007E-2</v>
      </c>
      <c r="CM154" s="1520">
        <v>7.0000000000000007E-2</v>
      </c>
      <c r="CN154" s="1520">
        <v>7.0000000000000007E-2</v>
      </c>
      <c r="CO154" s="1520">
        <v>7.0000000000000007E-2</v>
      </c>
      <c r="CP154" s="1520">
        <v>7.0000000000000007E-2</v>
      </c>
      <c r="CQ154" s="1520">
        <v>7.0000000000000007E-2</v>
      </c>
      <c r="CR154" s="1520">
        <v>7.0000000000000007E-2</v>
      </c>
      <c r="CS154" s="1520">
        <v>7.0000000000000007E-2</v>
      </c>
      <c r="CT154" s="1556">
        <f t="shared" si="132"/>
        <v>0</v>
      </c>
      <c r="CU154" s="1537">
        <f t="shared" si="133"/>
        <v>0</v>
      </c>
      <c r="CV154" s="1537">
        <f t="shared" si="134"/>
        <v>0</v>
      </c>
      <c r="CX154" s="1157" t="s">
        <v>1395</v>
      </c>
      <c r="CY154" s="1161" t="s">
        <v>128</v>
      </c>
      <c r="CZ154" s="1158" t="s">
        <v>1059</v>
      </c>
      <c r="DA154" s="1652">
        <v>0</v>
      </c>
      <c r="DB154" s="1520"/>
      <c r="DC154" s="1520"/>
      <c r="DD154" s="1520"/>
      <c r="DE154" s="1520"/>
      <c r="DF154" s="1520"/>
      <c r="DG154" s="1520"/>
      <c r="DH154" s="1520"/>
      <c r="DI154" s="1520"/>
      <c r="DJ154" s="1520"/>
      <c r="DK154" s="1640"/>
      <c r="DL154" s="1626"/>
      <c r="DM154" s="1626"/>
    </row>
    <row r="155" spans="2:117">
      <c r="B155" s="1136" t="str">
        <f t="shared" si="140"/>
        <v>2.4</v>
      </c>
      <c r="C155" s="1158" t="str">
        <f t="shared" si="116"/>
        <v>躯体材料以外におけるリサイクル材の使用</v>
      </c>
      <c r="D155" s="1155">
        <f t="shared" si="141"/>
        <v>0.2</v>
      </c>
      <c r="E155" s="1156">
        <f t="shared" si="141"/>
        <v>0</v>
      </c>
      <c r="G155" s="1156">
        <f t="shared" si="136"/>
        <v>0.2</v>
      </c>
      <c r="H155" s="1156">
        <f t="shared" si="137"/>
        <v>0</v>
      </c>
      <c r="I155" s="1156"/>
      <c r="J155" s="1156"/>
      <c r="K155" s="1156">
        <f>IF(スコア!Q155=0,0,1)</f>
        <v>1</v>
      </c>
      <c r="L155" s="1156">
        <f>IF(スコア!S155=0,0,1)</f>
        <v>0</v>
      </c>
      <c r="M155" s="1156">
        <f t="shared" si="138"/>
        <v>0.2</v>
      </c>
      <c r="N155" s="1156">
        <f t="shared" si="101"/>
        <v>0</v>
      </c>
      <c r="P155" s="1157" t="str">
        <f t="shared" si="118"/>
        <v>2.4</v>
      </c>
      <c r="Q155" s="1157" t="str">
        <f t="shared" si="119"/>
        <v>LR2 2</v>
      </c>
      <c r="R155" s="1158" t="str">
        <f t="shared" si="120"/>
        <v>躯体材料以外におけるリサイクル材の使用</v>
      </c>
      <c r="S155" s="1585">
        <f t="shared" si="102"/>
        <v>0.2</v>
      </c>
      <c r="T155" s="1585">
        <f t="shared" si="103"/>
        <v>0.2</v>
      </c>
      <c r="U155" s="1585">
        <f t="shared" si="104"/>
        <v>0.2</v>
      </c>
      <c r="V155" s="1585">
        <f t="shared" si="105"/>
        <v>0.2</v>
      </c>
      <c r="W155" s="1585">
        <f t="shared" si="106"/>
        <v>0.2</v>
      </c>
      <c r="X155" s="1585">
        <f t="shared" si="107"/>
        <v>0.2</v>
      </c>
      <c r="Y155" s="1585">
        <f t="shared" si="108"/>
        <v>0.2</v>
      </c>
      <c r="Z155" s="1587">
        <f t="shared" si="109"/>
        <v>0.2</v>
      </c>
      <c r="AA155" s="1585">
        <f t="shared" si="110"/>
        <v>0.2</v>
      </c>
      <c r="AB155" s="1585">
        <f t="shared" si="111"/>
        <v>0.2</v>
      </c>
      <c r="AC155" s="1606">
        <f t="shared" si="112"/>
        <v>0</v>
      </c>
      <c r="AD155" s="1590">
        <f t="shared" si="113"/>
        <v>0</v>
      </c>
      <c r="AE155" s="1590">
        <f t="shared" si="114"/>
        <v>0</v>
      </c>
      <c r="AG155" s="1157" t="s">
        <v>2327</v>
      </c>
      <c r="AH155" s="1161" t="s">
        <v>128</v>
      </c>
      <c r="AI155" s="1158" t="s">
        <v>1325</v>
      </c>
      <c r="AJ155" s="1163">
        <v>0.2</v>
      </c>
      <c r="AK155" s="1163">
        <v>0.2</v>
      </c>
      <c r="AL155" s="1163">
        <v>0.2</v>
      </c>
      <c r="AM155" s="1163">
        <v>0.2</v>
      </c>
      <c r="AN155" s="1163">
        <v>0.2</v>
      </c>
      <c r="AO155" s="1163">
        <v>0.2</v>
      </c>
      <c r="AP155" s="1163">
        <v>0.2</v>
      </c>
      <c r="AQ155" s="1163">
        <v>0.2</v>
      </c>
      <c r="AR155" s="1163">
        <v>0.2</v>
      </c>
      <c r="AS155" s="1163">
        <v>0.2</v>
      </c>
      <c r="AT155" s="1223"/>
      <c r="AU155" s="1175"/>
      <c r="AV155" s="1175"/>
      <c r="AX155" s="1157" t="s">
        <v>2328</v>
      </c>
      <c r="AY155" s="1161" t="s">
        <v>128</v>
      </c>
      <c r="AZ155" s="1158" t="s">
        <v>1325</v>
      </c>
      <c r="BA155" s="1163">
        <v>0.2</v>
      </c>
      <c r="BB155" s="1163">
        <v>0.2</v>
      </c>
      <c r="BC155" s="1163">
        <v>0.2</v>
      </c>
      <c r="BD155" s="1163">
        <v>0.2</v>
      </c>
      <c r="BE155" s="1163">
        <v>0.2</v>
      </c>
      <c r="BF155" s="1163">
        <v>0.2</v>
      </c>
      <c r="BG155" s="1163">
        <v>0.2</v>
      </c>
      <c r="BH155" s="1163">
        <v>0.2</v>
      </c>
      <c r="BI155" s="1163">
        <v>0.2</v>
      </c>
      <c r="BJ155" s="1163">
        <v>0.2</v>
      </c>
      <c r="BK155" s="1223"/>
      <c r="BL155" s="1175"/>
      <c r="BM155" s="1175"/>
      <c r="BO155" s="1157" t="s">
        <v>2328</v>
      </c>
      <c r="BP155" s="1161" t="s">
        <v>128</v>
      </c>
      <c r="BQ155" s="1158" t="s">
        <v>1325</v>
      </c>
      <c r="BR155" s="1163">
        <v>0.2</v>
      </c>
      <c r="BS155" s="1163">
        <v>0.2</v>
      </c>
      <c r="BT155" s="1163">
        <v>0.2</v>
      </c>
      <c r="BU155" s="1163">
        <v>0.2</v>
      </c>
      <c r="BV155" s="1163">
        <v>0.2</v>
      </c>
      <c r="BW155" s="1163">
        <v>0.2</v>
      </c>
      <c r="BX155" s="1163">
        <v>0.2</v>
      </c>
      <c r="BY155" s="1163">
        <v>0.2</v>
      </c>
      <c r="BZ155" s="1163">
        <v>0.2</v>
      </c>
      <c r="CA155" s="1163">
        <v>0.2</v>
      </c>
      <c r="CB155" s="1223"/>
      <c r="CC155" s="1175"/>
      <c r="CD155" s="1175"/>
      <c r="CE155" s="1376"/>
      <c r="CG155" s="1157" t="s">
        <v>2327</v>
      </c>
      <c r="CH155" s="1161" t="s">
        <v>128</v>
      </c>
      <c r="CI155" s="1158" t="s">
        <v>1325</v>
      </c>
      <c r="CJ155" s="1520">
        <v>0.04</v>
      </c>
      <c r="CK155" s="1520">
        <v>0.04</v>
      </c>
      <c r="CL155" s="1520">
        <v>0.04</v>
      </c>
      <c r="CM155" s="1520">
        <v>0.04</v>
      </c>
      <c r="CN155" s="1520">
        <v>0.04</v>
      </c>
      <c r="CO155" s="1520">
        <v>0.04</v>
      </c>
      <c r="CP155" s="1520">
        <v>0.04</v>
      </c>
      <c r="CQ155" s="1520">
        <v>0.04</v>
      </c>
      <c r="CR155" s="1520">
        <v>0.04</v>
      </c>
      <c r="CS155" s="1520">
        <v>0.04</v>
      </c>
      <c r="CT155" s="1556">
        <f t="shared" si="132"/>
        <v>0</v>
      </c>
      <c r="CU155" s="1537">
        <f t="shared" si="133"/>
        <v>0</v>
      </c>
      <c r="CV155" s="1537">
        <f t="shared" si="134"/>
        <v>0</v>
      </c>
      <c r="CX155" s="1157" t="s">
        <v>2327</v>
      </c>
      <c r="CY155" s="1161" t="s">
        <v>128</v>
      </c>
      <c r="CZ155" s="1158" t="s">
        <v>1325</v>
      </c>
      <c r="DA155" s="1520">
        <f>BR155</f>
        <v>0.2</v>
      </c>
      <c r="DB155" s="1520"/>
      <c r="DC155" s="1520"/>
      <c r="DD155" s="1520"/>
      <c r="DE155" s="1520"/>
      <c r="DF155" s="1520"/>
      <c r="DG155" s="1520"/>
      <c r="DH155" s="1520"/>
      <c r="DI155" s="1520"/>
      <c r="DJ155" s="1520"/>
      <c r="DK155" s="1640"/>
      <c r="DL155" s="1626"/>
      <c r="DM155" s="1626"/>
    </row>
    <row r="156" spans="2:117">
      <c r="B156" s="1136" t="str">
        <f t="shared" si="140"/>
        <v>2.5</v>
      </c>
      <c r="C156" s="1158" t="str">
        <f t="shared" si="116"/>
        <v>持続可能な森林から産出された木材</v>
      </c>
      <c r="D156" s="1155">
        <f t="shared" si="141"/>
        <v>0.1</v>
      </c>
      <c r="E156" s="1156">
        <f t="shared" si="141"/>
        <v>0</v>
      </c>
      <c r="G156" s="1156">
        <f t="shared" si="136"/>
        <v>0.1</v>
      </c>
      <c r="H156" s="1156">
        <f t="shared" si="137"/>
        <v>0</v>
      </c>
      <c r="I156" s="1156"/>
      <c r="J156" s="1156"/>
      <c r="K156" s="1156">
        <f>IF(スコア!Q156=0,0,1)</f>
        <v>1</v>
      </c>
      <c r="L156" s="1156">
        <f>IF(スコア!S156=0,0,1)</f>
        <v>0</v>
      </c>
      <c r="M156" s="1156">
        <f t="shared" si="138"/>
        <v>0.1</v>
      </c>
      <c r="N156" s="1156">
        <f t="shared" si="101"/>
        <v>0</v>
      </c>
      <c r="P156" s="1157" t="str">
        <f t="shared" si="118"/>
        <v>2.5</v>
      </c>
      <c r="Q156" s="1157" t="str">
        <f t="shared" si="119"/>
        <v>LR2 2</v>
      </c>
      <c r="R156" s="1158" t="str">
        <f t="shared" si="120"/>
        <v>持続可能な森林から産出された木材</v>
      </c>
      <c r="S156" s="1585">
        <f t="shared" si="102"/>
        <v>0.1</v>
      </c>
      <c r="T156" s="1585">
        <f t="shared" si="103"/>
        <v>0.1</v>
      </c>
      <c r="U156" s="1585">
        <f t="shared" si="104"/>
        <v>0.1</v>
      </c>
      <c r="V156" s="1585">
        <f t="shared" si="105"/>
        <v>0.1</v>
      </c>
      <c r="W156" s="1585">
        <f t="shared" si="106"/>
        <v>0.1</v>
      </c>
      <c r="X156" s="1585">
        <f t="shared" si="107"/>
        <v>0.1</v>
      </c>
      <c r="Y156" s="1585">
        <f t="shared" si="108"/>
        <v>0.1</v>
      </c>
      <c r="Z156" s="1587">
        <f t="shared" si="109"/>
        <v>0.1</v>
      </c>
      <c r="AA156" s="1585">
        <f t="shared" si="110"/>
        <v>0.1</v>
      </c>
      <c r="AB156" s="1585">
        <f t="shared" si="111"/>
        <v>0.1</v>
      </c>
      <c r="AC156" s="1606">
        <f t="shared" si="112"/>
        <v>0</v>
      </c>
      <c r="AD156" s="1590">
        <f t="shared" si="113"/>
        <v>0</v>
      </c>
      <c r="AE156" s="1590">
        <f t="shared" si="114"/>
        <v>0</v>
      </c>
      <c r="AG156" s="1157" t="s">
        <v>2329</v>
      </c>
      <c r="AH156" s="1161" t="s">
        <v>128</v>
      </c>
      <c r="AI156" s="1158" t="s">
        <v>2330</v>
      </c>
      <c r="AJ156" s="1163">
        <v>0.1</v>
      </c>
      <c r="AK156" s="1163">
        <v>0.1</v>
      </c>
      <c r="AL156" s="1163">
        <v>0.1</v>
      </c>
      <c r="AM156" s="1163">
        <v>0.1</v>
      </c>
      <c r="AN156" s="1163">
        <v>0.1</v>
      </c>
      <c r="AO156" s="1163">
        <v>0.1</v>
      </c>
      <c r="AP156" s="1163">
        <v>0.1</v>
      </c>
      <c r="AQ156" s="1163">
        <v>0.1</v>
      </c>
      <c r="AR156" s="1163">
        <v>0.1</v>
      </c>
      <c r="AS156" s="1163">
        <v>0.1</v>
      </c>
      <c r="AT156" s="1223"/>
      <c r="AU156" s="1175"/>
      <c r="AV156" s="1175"/>
      <c r="AX156" s="1157" t="s">
        <v>2329</v>
      </c>
      <c r="AY156" s="1161" t="s">
        <v>128</v>
      </c>
      <c r="AZ156" s="1158" t="s">
        <v>2330</v>
      </c>
      <c r="BA156" s="1163">
        <v>0.1</v>
      </c>
      <c r="BB156" s="1163">
        <v>0.1</v>
      </c>
      <c r="BC156" s="1163">
        <v>0.1</v>
      </c>
      <c r="BD156" s="1163">
        <v>0.1</v>
      </c>
      <c r="BE156" s="1163">
        <v>0.1</v>
      </c>
      <c r="BF156" s="1163">
        <v>0.1</v>
      </c>
      <c r="BG156" s="1163">
        <v>0.1</v>
      </c>
      <c r="BH156" s="1163">
        <v>0.1</v>
      </c>
      <c r="BI156" s="1163">
        <v>0.1</v>
      </c>
      <c r="BJ156" s="1163">
        <v>0.1</v>
      </c>
      <c r="BK156" s="1223"/>
      <c r="BL156" s="1175"/>
      <c r="BM156" s="1175"/>
      <c r="BO156" s="1157" t="s">
        <v>2329</v>
      </c>
      <c r="BP156" s="1161" t="s">
        <v>128</v>
      </c>
      <c r="BQ156" s="1158" t="s">
        <v>2330</v>
      </c>
      <c r="BR156" s="1163">
        <v>0.1</v>
      </c>
      <c r="BS156" s="1163">
        <v>0.1</v>
      </c>
      <c r="BT156" s="1163">
        <v>0.1</v>
      </c>
      <c r="BU156" s="1163">
        <v>0.1</v>
      </c>
      <c r="BV156" s="1163">
        <v>0.1</v>
      </c>
      <c r="BW156" s="1163">
        <v>0.1</v>
      </c>
      <c r="BX156" s="1163">
        <v>0.1</v>
      </c>
      <c r="BY156" s="1163">
        <v>0.1</v>
      </c>
      <c r="BZ156" s="1163">
        <v>0.1</v>
      </c>
      <c r="CA156" s="1163">
        <v>0.1</v>
      </c>
      <c r="CB156" s="1223"/>
      <c r="CC156" s="1175"/>
      <c r="CD156" s="1175"/>
      <c r="CE156" s="1376"/>
      <c r="CG156" s="1157" t="s">
        <v>2329</v>
      </c>
      <c r="CH156" s="1161" t="s">
        <v>128</v>
      </c>
      <c r="CI156" s="1158" t="s">
        <v>2330</v>
      </c>
      <c r="CJ156" s="1520">
        <v>0.04</v>
      </c>
      <c r="CK156" s="1520">
        <v>0.04</v>
      </c>
      <c r="CL156" s="1520">
        <v>0.04</v>
      </c>
      <c r="CM156" s="1520">
        <v>0.04</v>
      </c>
      <c r="CN156" s="1520">
        <v>0.04</v>
      </c>
      <c r="CO156" s="1520">
        <v>0.04</v>
      </c>
      <c r="CP156" s="1520">
        <v>0.04</v>
      </c>
      <c r="CQ156" s="1520">
        <v>0.04</v>
      </c>
      <c r="CR156" s="1520">
        <v>0.04</v>
      </c>
      <c r="CS156" s="1520">
        <v>0.04</v>
      </c>
      <c r="CT156" s="1556">
        <f t="shared" si="132"/>
        <v>0</v>
      </c>
      <c r="CU156" s="1537">
        <f t="shared" si="133"/>
        <v>0</v>
      </c>
      <c r="CV156" s="1537">
        <f t="shared" si="134"/>
        <v>0</v>
      </c>
      <c r="CX156" s="1157" t="s">
        <v>2329</v>
      </c>
      <c r="CY156" s="1161" t="s">
        <v>128</v>
      </c>
      <c r="CZ156" s="1158" t="s">
        <v>2330</v>
      </c>
      <c r="DA156" s="1642">
        <v>0.4</v>
      </c>
      <c r="DB156" s="1520"/>
      <c r="DC156" s="1520"/>
      <c r="DD156" s="1520"/>
      <c r="DE156" s="1520"/>
      <c r="DF156" s="1520"/>
      <c r="DG156" s="1520"/>
      <c r="DH156" s="1520"/>
      <c r="DI156" s="1520"/>
      <c r="DJ156" s="1520"/>
      <c r="DK156" s="1640"/>
      <c r="DL156" s="1626"/>
      <c r="DM156" s="1626"/>
    </row>
    <row r="157" spans="2:117">
      <c r="B157" s="1136" t="str">
        <f t="shared" si="140"/>
        <v>2.6</v>
      </c>
      <c r="C157" s="1158" t="str">
        <f t="shared" si="116"/>
        <v>部材の再利用可能性向上への取組み</v>
      </c>
      <c r="D157" s="1155">
        <f>IF(I$151=0,0,G157/I$151)</f>
        <v>0.2</v>
      </c>
      <c r="E157" s="1156">
        <f>IF(J$151=0,0,H157/J$151)</f>
        <v>0</v>
      </c>
      <c r="G157" s="1156">
        <f t="shared" si="136"/>
        <v>0.2</v>
      </c>
      <c r="H157" s="1156">
        <f t="shared" si="137"/>
        <v>0</v>
      </c>
      <c r="I157" s="1156"/>
      <c r="J157" s="1156"/>
      <c r="K157" s="1156">
        <f>IF(スコア!Q157=0,0,1)</f>
        <v>1</v>
      </c>
      <c r="L157" s="1156">
        <f>IF(スコア!S157=0,0,1)</f>
        <v>0</v>
      </c>
      <c r="M157" s="1156">
        <f t="shared" si="138"/>
        <v>0.2</v>
      </c>
      <c r="N157" s="1156">
        <f t="shared" ref="N157:N194" si="142">(AC$7*AC157)+(AD$7*AD157)+(AE$7*AE157)</f>
        <v>0</v>
      </c>
      <c r="P157" s="1157" t="str">
        <f t="shared" si="118"/>
        <v>2.6</v>
      </c>
      <c r="Q157" s="1157" t="str">
        <f t="shared" si="119"/>
        <v>LR2 2</v>
      </c>
      <c r="R157" s="1158" t="str">
        <f t="shared" si="120"/>
        <v>部材の再利用可能性向上への取組み</v>
      </c>
      <c r="S157" s="1585">
        <f t="shared" si="102"/>
        <v>0.2</v>
      </c>
      <c r="T157" s="1585">
        <f t="shared" si="103"/>
        <v>0.2</v>
      </c>
      <c r="U157" s="1585">
        <f t="shared" si="104"/>
        <v>0.2</v>
      </c>
      <c r="V157" s="1585">
        <f t="shared" si="105"/>
        <v>0.2</v>
      </c>
      <c r="W157" s="1585">
        <f t="shared" si="106"/>
        <v>0.2</v>
      </c>
      <c r="X157" s="1585">
        <f t="shared" si="107"/>
        <v>0.2</v>
      </c>
      <c r="Y157" s="1585">
        <f t="shared" si="108"/>
        <v>0.2</v>
      </c>
      <c r="Z157" s="1587">
        <f t="shared" si="109"/>
        <v>0.2</v>
      </c>
      <c r="AA157" s="1585">
        <f t="shared" si="110"/>
        <v>0.2</v>
      </c>
      <c r="AB157" s="1585">
        <f t="shared" si="111"/>
        <v>0.2</v>
      </c>
      <c r="AC157" s="1606">
        <f t="shared" si="112"/>
        <v>0</v>
      </c>
      <c r="AD157" s="1590">
        <f t="shared" si="113"/>
        <v>0</v>
      </c>
      <c r="AE157" s="1590">
        <f t="shared" si="114"/>
        <v>0</v>
      </c>
      <c r="AG157" s="1157" t="s">
        <v>2331</v>
      </c>
      <c r="AH157" s="1161" t="s">
        <v>128</v>
      </c>
      <c r="AI157" s="1158" t="s">
        <v>1061</v>
      </c>
      <c r="AJ157" s="1163">
        <v>0.2</v>
      </c>
      <c r="AK157" s="1163">
        <v>0.2</v>
      </c>
      <c r="AL157" s="1163">
        <v>0.2</v>
      </c>
      <c r="AM157" s="1163">
        <v>0.2</v>
      </c>
      <c r="AN157" s="1163">
        <v>0.2</v>
      </c>
      <c r="AO157" s="1163">
        <v>0.2</v>
      </c>
      <c r="AP157" s="1163">
        <v>0.2</v>
      </c>
      <c r="AQ157" s="1163">
        <v>0.2</v>
      </c>
      <c r="AR157" s="1163">
        <v>0.2</v>
      </c>
      <c r="AS157" s="1163">
        <v>0.2</v>
      </c>
      <c r="AT157" s="1223"/>
      <c r="AU157" s="1175"/>
      <c r="AV157" s="1175"/>
      <c r="AX157" s="1157" t="s">
        <v>1169</v>
      </c>
      <c r="AY157" s="1161" t="s">
        <v>128</v>
      </c>
      <c r="AZ157" s="1158" t="s">
        <v>1061</v>
      </c>
      <c r="BA157" s="1163">
        <v>0.2</v>
      </c>
      <c r="BB157" s="1163">
        <v>0.2</v>
      </c>
      <c r="BC157" s="1163">
        <v>0.2</v>
      </c>
      <c r="BD157" s="1163">
        <v>0.2</v>
      </c>
      <c r="BE157" s="1163">
        <v>0.2</v>
      </c>
      <c r="BF157" s="1163">
        <v>0.2</v>
      </c>
      <c r="BG157" s="1163">
        <v>0.2</v>
      </c>
      <c r="BH157" s="1163">
        <v>0.2</v>
      </c>
      <c r="BI157" s="1163">
        <v>0.2</v>
      </c>
      <c r="BJ157" s="1163">
        <v>0.2</v>
      </c>
      <c r="BK157" s="1223"/>
      <c r="BL157" s="1175"/>
      <c r="BM157" s="1175"/>
      <c r="BO157" s="1157" t="s">
        <v>1169</v>
      </c>
      <c r="BP157" s="1161" t="s">
        <v>128</v>
      </c>
      <c r="BQ157" s="1158" t="s">
        <v>1061</v>
      </c>
      <c r="BR157" s="1163">
        <v>0.2</v>
      </c>
      <c r="BS157" s="1163">
        <v>0.2</v>
      </c>
      <c r="BT157" s="1163">
        <v>0.2</v>
      </c>
      <c r="BU157" s="1163">
        <v>0.2</v>
      </c>
      <c r="BV157" s="1163">
        <v>0.2</v>
      </c>
      <c r="BW157" s="1163">
        <v>0.2</v>
      </c>
      <c r="BX157" s="1163">
        <v>0.2</v>
      </c>
      <c r="BY157" s="1163">
        <v>0.2</v>
      </c>
      <c r="BZ157" s="1163">
        <v>0.2</v>
      </c>
      <c r="CA157" s="1163">
        <v>0.2</v>
      </c>
      <c r="CB157" s="1223"/>
      <c r="CC157" s="1175"/>
      <c r="CD157" s="1175"/>
      <c r="CE157" s="1376"/>
      <c r="CG157" s="1157" t="s">
        <v>1169</v>
      </c>
      <c r="CH157" s="1161" t="s">
        <v>128</v>
      </c>
      <c r="CI157" s="1158"/>
      <c r="CJ157" s="1520">
        <v>0</v>
      </c>
      <c r="CK157" s="1520">
        <v>0</v>
      </c>
      <c r="CL157" s="1520">
        <v>0</v>
      </c>
      <c r="CM157" s="1520">
        <v>0</v>
      </c>
      <c r="CN157" s="1520">
        <v>0</v>
      </c>
      <c r="CO157" s="1520">
        <v>0</v>
      </c>
      <c r="CP157" s="1520">
        <v>0</v>
      </c>
      <c r="CQ157" s="1520">
        <v>0</v>
      </c>
      <c r="CR157" s="1520">
        <v>0</v>
      </c>
      <c r="CS157" s="1520">
        <v>0</v>
      </c>
      <c r="CT157" s="1556">
        <f t="shared" si="132"/>
        <v>0</v>
      </c>
      <c r="CU157" s="1537">
        <f t="shared" si="133"/>
        <v>0</v>
      </c>
      <c r="CV157" s="1537">
        <f t="shared" si="134"/>
        <v>0</v>
      </c>
      <c r="CX157" s="1157" t="s">
        <v>1169</v>
      </c>
      <c r="CY157" s="1161" t="s">
        <v>128</v>
      </c>
      <c r="CZ157" s="1158" t="s">
        <v>1061</v>
      </c>
      <c r="DA157" s="1642">
        <v>0.4</v>
      </c>
      <c r="DB157" s="1520"/>
      <c r="DC157" s="1520"/>
      <c r="DD157" s="1520"/>
      <c r="DE157" s="1520"/>
      <c r="DF157" s="1520"/>
      <c r="DG157" s="1520"/>
      <c r="DH157" s="1520"/>
      <c r="DI157" s="1520"/>
      <c r="DJ157" s="1520"/>
      <c r="DK157" s="1640"/>
      <c r="DL157" s="1626"/>
      <c r="DM157" s="1626"/>
    </row>
    <row r="158" spans="2:117" hidden="1">
      <c r="B158" s="1136" t="str">
        <f t="shared" si="140"/>
        <v>2.6</v>
      </c>
      <c r="C158" s="1158">
        <f t="shared" si="116"/>
        <v>0</v>
      </c>
      <c r="D158" s="1155">
        <f>IF(I$151=0,0,G158/I$151)</f>
        <v>0</v>
      </c>
      <c r="E158" s="1155">
        <f>IF(J$151=0,0,H158/J$151)</f>
        <v>0</v>
      </c>
      <c r="G158" s="1156">
        <f>K158*M158</f>
        <v>0</v>
      </c>
      <c r="H158" s="1156">
        <f>L158*N158</f>
        <v>0</v>
      </c>
      <c r="I158" s="1156">
        <f>SUM(G159:G164)</f>
        <v>0</v>
      </c>
      <c r="J158" s="1156">
        <f>SUM(H159:H164)</f>
        <v>0</v>
      </c>
      <c r="K158" s="1156">
        <f>IF(スコア!Q158=0,0,1)</f>
        <v>0</v>
      </c>
      <c r="L158" s="1156">
        <f>IF(スコア!S158=0,0,1)</f>
        <v>0</v>
      </c>
      <c r="M158" s="1156">
        <f>SUMPRODUCT($S$7:$AB$7,S158:AB158)</f>
        <v>0</v>
      </c>
      <c r="N158" s="1156">
        <f>(AC$7*AC158)+(AD$7*AD158)+(AE$7*AE158)</f>
        <v>0</v>
      </c>
      <c r="P158" s="1157" t="str">
        <f t="shared" si="118"/>
        <v>2.6</v>
      </c>
      <c r="Q158" s="1157" t="str">
        <f t="shared" si="119"/>
        <v>LR2 2</v>
      </c>
      <c r="R158" s="1158">
        <f t="shared" si="120"/>
        <v>0</v>
      </c>
      <c r="S158" s="1585">
        <f t="shared" si="102"/>
        <v>0</v>
      </c>
      <c r="T158" s="1585">
        <f t="shared" si="103"/>
        <v>0</v>
      </c>
      <c r="U158" s="1585">
        <f t="shared" si="104"/>
        <v>0</v>
      </c>
      <c r="V158" s="1585">
        <f t="shared" si="105"/>
        <v>0</v>
      </c>
      <c r="W158" s="1585">
        <f t="shared" si="106"/>
        <v>0</v>
      </c>
      <c r="X158" s="1585">
        <f t="shared" si="107"/>
        <v>0</v>
      </c>
      <c r="Y158" s="1585">
        <f t="shared" si="108"/>
        <v>0</v>
      </c>
      <c r="Z158" s="1587">
        <f t="shared" si="109"/>
        <v>0</v>
      </c>
      <c r="AA158" s="1585">
        <f t="shared" si="110"/>
        <v>0</v>
      </c>
      <c r="AB158" s="1585">
        <f t="shared" si="111"/>
        <v>0</v>
      </c>
      <c r="AC158" s="1606">
        <f t="shared" si="112"/>
        <v>0</v>
      </c>
      <c r="AD158" s="1590">
        <f t="shared" si="113"/>
        <v>0</v>
      </c>
      <c r="AE158" s="1590">
        <f t="shared" si="114"/>
        <v>0</v>
      </c>
      <c r="AG158" s="1157"/>
      <c r="AH158" s="1161"/>
      <c r="AI158" s="1158"/>
      <c r="AJ158" s="1163"/>
      <c r="AK158" s="1163"/>
      <c r="AL158" s="1163"/>
      <c r="AM158" s="1163"/>
      <c r="AN158" s="1163"/>
      <c r="AO158" s="1163"/>
      <c r="AP158" s="1163"/>
      <c r="AQ158" s="1163"/>
      <c r="AR158" s="1163"/>
      <c r="AS158" s="1163"/>
      <c r="AT158" s="1223"/>
      <c r="AU158" s="1175"/>
      <c r="AV158" s="1175"/>
      <c r="AX158" s="1157"/>
      <c r="AY158" s="1161"/>
      <c r="AZ158" s="1158"/>
      <c r="BA158" s="1163"/>
      <c r="BB158" s="1163"/>
      <c r="BC158" s="1163"/>
      <c r="BD158" s="1163"/>
      <c r="BE158" s="1163"/>
      <c r="BF158" s="1163"/>
      <c r="BG158" s="1163"/>
      <c r="BH158" s="1163"/>
      <c r="BI158" s="1163"/>
      <c r="BJ158" s="1163"/>
      <c r="BK158" s="1223"/>
      <c r="BL158" s="1175"/>
      <c r="BM158" s="1175"/>
      <c r="BO158" s="1157" t="s">
        <v>1169</v>
      </c>
      <c r="BP158" s="1161" t="s">
        <v>128</v>
      </c>
      <c r="BQ158" s="1158"/>
      <c r="BR158" s="1163"/>
      <c r="BS158" s="1163"/>
      <c r="BT158" s="1163"/>
      <c r="BU158" s="1163"/>
      <c r="BV158" s="1163"/>
      <c r="BW158" s="1163"/>
      <c r="BX158" s="1163"/>
      <c r="BY158" s="1163"/>
      <c r="BZ158" s="1163"/>
      <c r="CA158" s="1163"/>
      <c r="CB158" s="1223"/>
      <c r="CC158" s="1175"/>
      <c r="CD158" s="1175"/>
      <c r="CE158" s="1376"/>
      <c r="CG158" s="1157" t="s">
        <v>1169</v>
      </c>
      <c r="CH158" s="1161" t="s">
        <v>128</v>
      </c>
      <c r="CI158" s="1158" t="s">
        <v>2646</v>
      </c>
      <c r="CJ158" s="1520">
        <v>0.65</v>
      </c>
      <c r="CK158" s="1520">
        <v>0.65</v>
      </c>
      <c r="CL158" s="1520">
        <v>0.65</v>
      </c>
      <c r="CM158" s="1520">
        <v>0.65</v>
      </c>
      <c r="CN158" s="1520">
        <v>0.65</v>
      </c>
      <c r="CO158" s="1520">
        <v>0.65</v>
      </c>
      <c r="CP158" s="1520">
        <v>0.65</v>
      </c>
      <c r="CQ158" s="1520">
        <v>0.65</v>
      </c>
      <c r="CR158" s="1520">
        <v>0.65</v>
      </c>
      <c r="CS158" s="1520">
        <v>0.65</v>
      </c>
      <c r="CT158" s="1556">
        <f t="shared" si="132"/>
        <v>0</v>
      </c>
      <c r="CU158" s="1537">
        <f t="shared" si="133"/>
        <v>0</v>
      </c>
      <c r="CV158" s="1537">
        <f t="shared" si="134"/>
        <v>0</v>
      </c>
      <c r="CX158" s="1157" t="s">
        <v>1169</v>
      </c>
      <c r="CY158" s="1161" t="s">
        <v>128</v>
      </c>
      <c r="CZ158" s="1158"/>
      <c r="DA158" s="1520">
        <f t="shared" ref="DA158:DA166" si="143">BR158</f>
        <v>0</v>
      </c>
      <c r="DB158" s="1520"/>
      <c r="DC158" s="1520"/>
      <c r="DD158" s="1520"/>
      <c r="DE158" s="1520"/>
      <c r="DF158" s="1520"/>
      <c r="DG158" s="1520"/>
      <c r="DH158" s="1520"/>
      <c r="DI158" s="1520"/>
      <c r="DJ158" s="1520"/>
      <c r="DK158" s="1640"/>
      <c r="DL158" s="1626"/>
      <c r="DM158" s="1626"/>
    </row>
    <row r="159" spans="2:117" hidden="1">
      <c r="B159" s="1136" t="s">
        <v>2637</v>
      </c>
      <c r="C159" s="1158">
        <f t="shared" si="116"/>
        <v>0</v>
      </c>
      <c r="D159" s="1146">
        <f>IF(I$158&gt;0,G159/I$158,0)</f>
        <v>0</v>
      </c>
      <c r="E159" s="1146">
        <f>IF(J$158&gt;0,H159/J$158,0)</f>
        <v>0</v>
      </c>
      <c r="G159" s="1156">
        <f t="shared" ref="G159:G165" si="144">K159*M159</f>
        <v>0</v>
      </c>
      <c r="H159" s="1156">
        <f t="shared" ref="H159:H164" si="145">L159*N159</f>
        <v>0</v>
      </c>
      <c r="I159" s="1156"/>
      <c r="J159" s="1156"/>
      <c r="K159" s="1156">
        <f>IF(スコア!Q159=0,0,1)</f>
        <v>1</v>
      </c>
      <c r="L159" s="1156">
        <f>IF(スコア!S159=0,0,1)</f>
        <v>0</v>
      </c>
      <c r="M159" s="1156">
        <f t="shared" ref="M159:M165" si="146">SUMPRODUCT($S$7:$AB$7,S159:AB159)</f>
        <v>0</v>
      </c>
      <c r="N159" s="1156">
        <f t="shared" ref="N159:N165" si="147">(AC$7*AC159)+(AD$7*AD159)+(AE$7*AE159)</f>
        <v>0</v>
      </c>
      <c r="P159" s="1157" t="str">
        <f t="shared" si="118"/>
        <v>2.6.1</v>
      </c>
      <c r="Q159" s="1157" t="str">
        <f t="shared" si="119"/>
        <v>LR2 2.2</v>
      </c>
      <c r="R159" s="1158">
        <f t="shared" si="120"/>
        <v>0</v>
      </c>
      <c r="S159" s="1585">
        <f t="shared" si="102"/>
        <v>0</v>
      </c>
      <c r="T159" s="1585">
        <f t="shared" si="103"/>
        <v>0</v>
      </c>
      <c r="U159" s="1585">
        <f t="shared" si="104"/>
        <v>0</v>
      </c>
      <c r="V159" s="1585">
        <f t="shared" si="105"/>
        <v>0</v>
      </c>
      <c r="W159" s="1585">
        <f t="shared" si="106"/>
        <v>0</v>
      </c>
      <c r="X159" s="1585">
        <f t="shared" si="107"/>
        <v>0</v>
      </c>
      <c r="Y159" s="1585">
        <f t="shared" si="108"/>
        <v>0</v>
      </c>
      <c r="Z159" s="1587">
        <f t="shared" si="109"/>
        <v>0</v>
      </c>
      <c r="AA159" s="1585">
        <f t="shared" si="110"/>
        <v>0</v>
      </c>
      <c r="AB159" s="1585">
        <f t="shared" si="111"/>
        <v>0</v>
      </c>
      <c r="AC159" s="1606">
        <f t="shared" si="112"/>
        <v>0</v>
      </c>
      <c r="AD159" s="1590">
        <f t="shared" si="113"/>
        <v>0</v>
      </c>
      <c r="AE159" s="1590">
        <f t="shared" si="114"/>
        <v>0</v>
      </c>
      <c r="AG159" s="1157"/>
      <c r="AH159" s="1161"/>
      <c r="AI159" s="1158"/>
      <c r="AJ159" s="1163"/>
      <c r="AK159" s="1163"/>
      <c r="AL159" s="1163"/>
      <c r="AM159" s="1163"/>
      <c r="AN159" s="1163"/>
      <c r="AO159" s="1163"/>
      <c r="AP159" s="1163"/>
      <c r="AQ159" s="1163"/>
      <c r="AR159" s="1163"/>
      <c r="AS159" s="1163"/>
      <c r="AT159" s="1223"/>
      <c r="AU159" s="1175"/>
      <c r="AV159" s="1175"/>
      <c r="AX159" s="1157"/>
      <c r="AY159" s="1161"/>
      <c r="AZ159" s="1158"/>
      <c r="BA159" s="1163"/>
      <c r="BB159" s="1163"/>
      <c r="BC159" s="1163"/>
      <c r="BD159" s="1163"/>
      <c r="BE159" s="1163"/>
      <c r="BF159" s="1163"/>
      <c r="BG159" s="1163"/>
      <c r="BH159" s="1163"/>
      <c r="BI159" s="1163"/>
      <c r="BJ159" s="1163"/>
      <c r="BK159" s="1223"/>
      <c r="BL159" s="1175"/>
      <c r="BM159" s="1175"/>
      <c r="BO159" s="1157" t="s">
        <v>2647</v>
      </c>
      <c r="BP159" s="1161" t="s">
        <v>2648</v>
      </c>
      <c r="BQ159" s="1158"/>
      <c r="BR159" s="1163"/>
      <c r="BS159" s="1163"/>
      <c r="BT159" s="1163"/>
      <c r="BU159" s="1163"/>
      <c r="BV159" s="1163"/>
      <c r="BW159" s="1163"/>
      <c r="BX159" s="1163"/>
      <c r="BY159" s="1163"/>
      <c r="BZ159" s="1163"/>
      <c r="CA159" s="1163"/>
      <c r="CB159" s="1223"/>
      <c r="CC159" s="1175"/>
      <c r="CD159" s="1175"/>
      <c r="CE159" s="1376"/>
      <c r="CG159" s="1157" t="s">
        <v>2647</v>
      </c>
      <c r="CH159" s="1161" t="s">
        <v>2648</v>
      </c>
      <c r="CI159" s="1158" t="s">
        <v>2650</v>
      </c>
      <c r="CJ159" s="1520">
        <v>0.25</v>
      </c>
      <c r="CK159" s="1520">
        <v>0.25</v>
      </c>
      <c r="CL159" s="1520">
        <v>0.25</v>
      </c>
      <c r="CM159" s="1520">
        <v>0.25</v>
      </c>
      <c r="CN159" s="1520">
        <v>0.25</v>
      </c>
      <c r="CO159" s="1520">
        <v>0.25</v>
      </c>
      <c r="CP159" s="1520">
        <v>0.25</v>
      </c>
      <c r="CQ159" s="1520">
        <v>0.25</v>
      </c>
      <c r="CR159" s="1520">
        <v>0.25</v>
      </c>
      <c r="CS159" s="1520">
        <v>0.25</v>
      </c>
      <c r="CT159" s="1556">
        <f t="shared" si="132"/>
        <v>0</v>
      </c>
      <c r="CU159" s="1537">
        <f t="shared" si="133"/>
        <v>0</v>
      </c>
      <c r="CV159" s="1537">
        <f t="shared" si="134"/>
        <v>0</v>
      </c>
      <c r="CX159" s="1157" t="s">
        <v>2647</v>
      </c>
      <c r="CY159" s="1161" t="s">
        <v>2648</v>
      </c>
      <c r="CZ159" s="1158"/>
      <c r="DA159" s="1520">
        <f t="shared" si="143"/>
        <v>0</v>
      </c>
      <c r="DB159" s="1520"/>
      <c r="DC159" s="1520"/>
      <c r="DD159" s="1520"/>
      <c r="DE159" s="1520"/>
      <c r="DF159" s="1520"/>
      <c r="DG159" s="1520"/>
      <c r="DH159" s="1520"/>
      <c r="DI159" s="1520"/>
      <c r="DJ159" s="1520"/>
      <c r="DK159" s="1640"/>
      <c r="DL159" s="1626"/>
      <c r="DM159" s="1626"/>
    </row>
    <row r="160" spans="2:117" hidden="1">
      <c r="B160" s="1136" t="s">
        <v>2638</v>
      </c>
      <c r="C160" s="1158">
        <f t="shared" si="116"/>
        <v>0</v>
      </c>
      <c r="D160" s="1146">
        <f t="shared" ref="D160:E163" si="148">IF(I$158&gt;0,G160/I$158,0)</f>
        <v>0</v>
      </c>
      <c r="E160" s="1146">
        <f>IF(J$158&gt;0,H160/J$158,0)</f>
        <v>0</v>
      </c>
      <c r="G160" s="1156">
        <f t="shared" si="144"/>
        <v>0</v>
      </c>
      <c r="H160" s="1156">
        <f t="shared" si="145"/>
        <v>0</v>
      </c>
      <c r="I160" s="1156"/>
      <c r="J160" s="1156"/>
      <c r="K160" s="1156">
        <f>IF(スコア!Q160=0,0,1)</f>
        <v>1</v>
      </c>
      <c r="L160" s="1156">
        <f>IF(スコア!S160=0,0,1)</f>
        <v>0</v>
      </c>
      <c r="M160" s="1156">
        <f t="shared" si="146"/>
        <v>0</v>
      </c>
      <c r="N160" s="1156">
        <f t="shared" si="147"/>
        <v>0</v>
      </c>
      <c r="P160" s="1157" t="str">
        <f t="shared" si="118"/>
        <v>2.6.2</v>
      </c>
      <c r="Q160" s="1157" t="str">
        <f t="shared" si="119"/>
        <v>LR2 2.2</v>
      </c>
      <c r="R160" s="1158">
        <f t="shared" si="120"/>
        <v>0</v>
      </c>
      <c r="S160" s="1585">
        <f t="shared" si="102"/>
        <v>0</v>
      </c>
      <c r="T160" s="1585">
        <f t="shared" si="103"/>
        <v>0</v>
      </c>
      <c r="U160" s="1585">
        <f t="shared" si="104"/>
        <v>0</v>
      </c>
      <c r="V160" s="1585">
        <f t="shared" si="105"/>
        <v>0</v>
      </c>
      <c r="W160" s="1585">
        <f t="shared" si="106"/>
        <v>0</v>
      </c>
      <c r="X160" s="1585">
        <f t="shared" si="107"/>
        <v>0</v>
      </c>
      <c r="Y160" s="1585">
        <f t="shared" si="108"/>
        <v>0</v>
      </c>
      <c r="Z160" s="1587">
        <f t="shared" si="109"/>
        <v>0</v>
      </c>
      <c r="AA160" s="1585">
        <f t="shared" si="110"/>
        <v>0</v>
      </c>
      <c r="AB160" s="1585">
        <f t="shared" si="111"/>
        <v>0</v>
      </c>
      <c r="AC160" s="1606">
        <f t="shared" si="112"/>
        <v>0</v>
      </c>
      <c r="AD160" s="1590">
        <f t="shared" si="113"/>
        <v>0</v>
      </c>
      <c r="AE160" s="1590">
        <f t="shared" si="114"/>
        <v>0</v>
      </c>
      <c r="AG160" s="1157"/>
      <c r="AH160" s="1161"/>
      <c r="AI160" s="1158"/>
      <c r="AJ160" s="1163"/>
      <c r="AK160" s="1163"/>
      <c r="AL160" s="1163"/>
      <c r="AM160" s="1163"/>
      <c r="AN160" s="1163"/>
      <c r="AO160" s="1163"/>
      <c r="AP160" s="1163"/>
      <c r="AQ160" s="1163"/>
      <c r="AR160" s="1163"/>
      <c r="AS160" s="1163"/>
      <c r="AT160" s="1223"/>
      <c r="AU160" s="1175"/>
      <c r="AV160" s="1175"/>
      <c r="AX160" s="1157"/>
      <c r="AY160" s="1161"/>
      <c r="AZ160" s="1158"/>
      <c r="BA160" s="1163"/>
      <c r="BB160" s="1163"/>
      <c r="BC160" s="1163"/>
      <c r="BD160" s="1163"/>
      <c r="BE160" s="1163"/>
      <c r="BF160" s="1163"/>
      <c r="BG160" s="1163"/>
      <c r="BH160" s="1163"/>
      <c r="BI160" s="1163"/>
      <c r="BJ160" s="1163"/>
      <c r="BK160" s="1223"/>
      <c r="BL160" s="1175"/>
      <c r="BM160" s="1175"/>
      <c r="BO160" s="1157" t="s">
        <v>2638</v>
      </c>
      <c r="BP160" s="1161" t="s">
        <v>2648</v>
      </c>
      <c r="BQ160" s="1158"/>
      <c r="BR160" s="1163"/>
      <c r="BS160" s="1163"/>
      <c r="BT160" s="1163"/>
      <c r="BU160" s="1163"/>
      <c r="BV160" s="1163"/>
      <c r="BW160" s="1163"/>
      <c r="BX160" s="1163"/>
      <c r="BY160" s="1163"/>
      <c r="BZ160" s="1163"/>
      <c r="CA160" s="1163"/>
      <c r="CB160" s="1223"/>
      <c r="CC160" s="1175"/>
      <c r="CD160" s="1175"/>
      <c r="CE160" s="1376"/>
      <c r="CG160" s="1157" t="s">
        <v>2638</v>
      </c>
      <c r="CH160" s="1161" t="s">
        <v>2648</v>
      </c>
      <c r="CI160" s="1158" t="s">
        <v>2652</v>
      </c>
      <c r="CJ160" s="1520">
        <v>0.15</v>
      </c>
      <c r="CK160" s="1520">
        <v>0.15</v>
      </c>
      <c r="CL160" s="1520">
        <v>0.15</v>
      </c>
      <c r="CM160" s="1520">
        <v>0.15</v>
      </c>
      <c r="CN160" s="1520">
        <v>0.15</v>
      </c>
      <c r="CO160" s="1520">
        <v>0.15</v>
      </c>
      <c r="CP160" s="1520">
        <v>0.15</v>
      </c>
      <c r="CQ160" s="1520">
        <v>0.15</v>
      </c>
      <c r="CR160" s="1520">
        <v>0.15</v>
      </c>
      <c r="CS160" s="1520">
        <v>0.15</v>
      </c>
      <c r="CT160" s="1556">
        <f t="shared" si="132"/>
        <v>0</v>
      </c>
      <c r="CU160" s="1537">
        <f t="shared" si="133"/>
        <v>0</v>
      </c>
      <c r="CV160" s="1537">
        <f t="shared" si="134"/>
        <v>0</v>
      </c>
      <c r="CX160" s="1157" t="s">
        <v>2638</v>
      </c>
      <c r="CY160" s="1161" t="s">
        <v>2648</v>
      </c>
      <c r="CZ160" s="1158"/>
      <c r="DA160" s="1520">
        <f t="shared" si="143"/>
        <v>0</v>
      </c>
      <c r="DB160" s="1520"/>
      <c r="DC160" s="1520"/>
      <c r="DD160" s="1520"/>
      <c r="DE160" s="1520"/>
      <c r="DF160" s="1520"/>
      <c r="DG160" s="1520"/>
      <c r="DH160" s="1520"/>
      <c r="DI160" s="1520"/>
      <c r="DJ160" s="1520"/>
      <c r="DK160" s="1640"/>
      <c r="DL160" s="1626"/>
      <c r="DM160" s="1626"/>
    </row>
    <row r="161" spans="2:117" hidden="1">
      <c r="B161" s="1136" t="s">
        <v>2639</v>
      </c>
      <c r="C161" s="1158">
        <f t="shared" si="116"/>
        <v>0</v>
      </c>
      <c r="D161" s="1146">
        <f t="shared" si="148"/>
        <v>0</v>
      </c>
      <c r="E161" s="1146">
        <f t="shared" si="148"/>
        <v>0</v>
      </c>
      <c r="G161" s="1156">
        <f t="shared" si="144"/>
        <v>0</v>
      </c>
      <c r="H161" s="1156">
        <f t="shared" si="145"/>
        <v>0</v>
      </c>
      <c r="I161" s="1156"/>
      <c r="J161" s="1156"/>
      <c r="K161" s="1156">
        <f>IF(スコア!Q161=0,0,1)</f>
        <v>1</v>
      </c>
      <c r="L161" s="1156">
        <f>IF(スコア!S161=0,0,1)</f>
        <v>0</v>
      </c>
      <c r="M161" s="1156">
        <f t="shared" si="146"/>
        <v>0</v>
      </c>
      <c r="N161" s="1156">
        <f t="shared" si="147"/>
        <v>0</v>
      </c>
      <c r="P161" s="1157" t="str">
        <f t="shared" si="118"/>
        <v>2.6.3</v>
      </c>
      <c r="Q161" s="1157" t="str">
        <f t="shared" si="119"/>
        <v>LR2 2.2</v>
      </c>
      <c r="R161" s="1158">
        <f t="shared" si="120"/>
        <v>0</v>
      </c>
      <c r="S161" s="1585">
        <f t="shared" si="102"/>
        <v>0</v>
      </c>
      <c r="T161" s="1585">
        <f t="shared" si="103"/>
        <v>0</v>
      </c>
      <c r="U161" s="1585">
        <f t="shared" si="104"/>
        <v>0</v>
      </c>
      <c r="V161" s="1585">
        <f t="shared" si="105"/>
        <v>0</v>
      </c>
      <c r="W161" s="1585">
        <f t="shared" si="106"/>
        <v>0</v>
      </c>
      <c r="X161" s="1585">
        <f t="shared" si="107"/>
        <v>0</v>
      </c>
      <c r="Y161" s="1585">
        <f t="shared" si="108"/>
        <v>0</v>
      </c>
      <c r="Z161" s="1587">
        <f t="shared" si="109"/>
        <v>0</v>
      </c>
      <c r="AA161" s="1585">
        <f t="shared" si="110"/>
        <v>0</v>
      </c>
      <c r="AB161" s="1585">
        <f t="shared" si="111"/>
        <v>0</v>
      </c>
      <c r="AC161" s="1606">
        <f t="shared" si="112"/>
        <v>0</v>
      </c>
      <c r="AD161" s="1590">
        <f t="shared" si="113"/>
        <v>0</v>
      </c>
      <c r="AE161" s="1590">
        <f t="shared" si="114"/>
        <v>0</v>
      </c>
      <c r="AG161" s="1157"/>
      <c r="AH161" s="1161"/>
      <c r="AI161" s="1158"/>
      <c r="AJ161" s="1163"/>
      <c r="AK161" s="1163"/>
      <c r="AL161" s="1163"/>
      <c r="AM161" s="1163"/>
      <c r="AN161" s="1163"/>
      <c r="AO161" s="1163"/>
      <c r="AP161" s="1163"/>
      <c r="AQ161" s="1163"/>
      <c r="AR161" s="1163"/>
      <c r="AS161" s="1163"/>
      <c r="AT161" s="1223"/>
      <c r="AU161" s="1175"/>
      <c r="AV161" s="1175"/>
      <c r="AX161" s="1157"/>
      <c r="AY161" s="1161"/>
      <c r="AZ161" s="1158"/>
      <c r="BA161" s="1163"/>
      <c r="BB161" s="1163"/>
      <c r="BC161" s="1163"/>
      <c r="BD161" s="1163"/>
      <c r="BE161" s="1163"/>
      <c r="BF161" s="1163"/>
      <c r="BG161" s="1163"/>
      <c r="BH161" s="1163"/>
      <c r="BI161" s="1163"/>
      <c r="BJ161" s="1163"/>
      <c r="BK161" s="1223"/>
      <c r="BL161" s="1175"/>
      <c r="BM161" s="1175"/>
      <c r="BO161" s="1157" t="s">
        <v>2639</v>
      </c>
      <c r="BP161" s="1161" t="s">
        <v>2648</v>
      </c>
      <c r="BQ161" s="1158"/>
      <c r="BR161" s="1163"/>
      <c r="BS161" s="1163"/>
      <c r="BT161" s="1163"/>
      <c r="BU161" s="1163"/>
      <c r="BV161" s="1163"/>
      <c r="BW161" s="1163"/>
      <c r="BX161" s="1163"/>
      <c r="BY161" s="1163"/>
      <c r="BZ161" s="1163"/>
      <c r="CA161" s="1163"/>
      <c r="CB161" s="1223"/>
      <c r="CC161" s="1175"/>
      <c r="CD161" s="1175"/>
      <c r="CE161" s="1376"/>
      <c r="CG161" s="1157" t="s">
        <v>2639</v>
      </c>
      <c r="CH161" s="1161" t="s">
        <v>2648</v>
      </c>
      <c r="CI161" s="1158" t="s">
        <v>2654</v>
      </c>
      <c r="CJ161" s="1520">
        <v>0.15</v>
      </c>
      <c r="CK161" s="1520">
        <v>0.15</v>
      </c>
      <c r="CL161" s="1520">
        <v>0.15</v>
      </c>
      <c r="CM161" s="1520">
        <v>0.15</v>
      </c>
      <c r="CN161" s="1520">
        <v>0.15</v>
      </c>
      <c r="CO161" s="1520">
        <v>0.15</v>
      </c>
      <c r="CP161" s="1520">
        <v>0.15</v>
      </c>
      <c r="CQ161" s="1520">
        <v>0.15</v>
      </c>
      <c r="CR161" s="1520">
        <v>0.15</v>
      </c>
      <c r="CS161" s="1520">
        <v>0.15</v>
      </c>
      <c r="CT161" s="1556">
        <f t="shared" si="132"/>
        <v>0</v>
      </c>
      <c r="CU161" s="1537">
        <f t="shared" si="133"/>
        <v>0</v>
      </c>
      <c r="CV161" s="1537">
        <f t="shared" si="134"/>
        <v>0</v>
      </c>
      <c r="CX161" s="1157" t="s">
        <v>2639</v>
      </c>
      <c r="CY161" s="1161" t="s">
        <v>2648</v>
      </c>
      <c r="CZ161" s="1158"/>
      <c r="DA161" s="1520">
        <f t="shared" si="143"/>
        <v>0</v>
      </c>
      <c r="DB161" s="1520"/>
      <c r="DC161" s="1520"/>
      <c r="DD161" s="1520"/>
      <c r="DE161" s="1520"/>
      <c r="DF161" s="1520"/>
      <c r="DG161" s="1520"/>
      <c r="DH161" s="1520"/>
      <c r="DI161" s="1520"/>
      <c r="DJ161" s="1520"/>
      <c r="DK161" s="1640"/>
      <c r="DL161" s="1626"/>
      <c r="DM161" s="1626"/>
    </row>
    <row r="162" spans="2:117" hidden="1">
      <c r="B162" s="1136" t="s">
        <v>2640</v>
      </c>
      <c r="C162" s="1158">
        <f t="shared" si="116"/>
        <v>0</v>
      </c>
      <c r="D162" s="1146">
        <f t="shared" si="148"/>
        <v>0</v>
      </c>
      <c r="E162" s="1146">
        <f t="shared" si="148"/>
        <v>0</v>
      </c>
      <c r="G162" s="1156">
        <f t="shared" si="144"/>
        <v>0</v>
      </c>
      <c r="H162" s="1156">
        <f t="shared" si="145"/>
        <v>0</v>
      </c>
      <c r="I162" s="1156"/>
      <c r="J162" s="1156"/>
      <c r="K162" s="1156">
        <f>IF(スコア!Q162=0,0,1)</f>
        <v>1</v>
      </c>
      <c r="L162" s="1156">
        <f>IF(スコア!S162=0,0,1)</f>
        <v>0</v>
      </c>
      <c r="M162" s="1156">
        <f t="shared" si="146"/>
        <v>0</v>
      </c>
      <c r="N162" s="1156">
        <f t="shared" si="147"/>
        <v>0</v>
      </c>
      <c r="P162" s="1157" t="str">
        <f t="shared" si="118"/>
        <v>2.6.4</v>
      </c>
      <c r="Q162" s="1157" t="str">
        <f t="shared" si="119"/>
        <v>LR2 2.2</v>
      </c>
      <c r="R162" s="1158">
        <f t="shared" si="120"/>
        <v>0</v>
      </c>
      <c r="S162" s="1585">
        <f t="shared" si="102"/>
        <v>0</v>
      </c>
      <c r="T162" s="1585">
        <f t="shared" si="103"/>
        <v>0</v>
      </c>
      <c r="U162" s="1585">
        <f t="shared" si="104"/>
        <v>0</v>
      </c>
      <c r="V162" s="1585">
        <f t="shared" si="105"/>
        <v>0</v>
      </c>
      <c r="W162" s="1585">
        <f t="shared" si="106"/>
        <v>0</v>
      </c>
      <c r="X162" s="1585">
        <f t="shared" si="107"/>
        <v>0</v>
      </c>
      <c r="Y162" s="1585">
        <f t="shared" si="108"/>
        <v>0</v>
      </c>
      <c r="Z162" s="1587">
        <f t="shared" si="109"/>
        <v>0</v>
      </c>
      <c r="AA162" s="1585">
        <f t="shared" si="110"/>
        <v>0</v>
      </c>
      <c r="AB162" s="1585">
        <f t="shared" si="111"/>
        <v>0</v>
      </c>
      <c r="AC162" s="1606">
        <f t="shared" si="112"/>
        <v>0</v>
      </c>
      <c r="AD162" s="1590">
        <f t="shared" si="113"/>
        <v>0</v>
      </c>
      <c r="AE162" s="1590">
        <f t="shared" si="114"/>
        <v>0</v>
      </c>
      <c r="AG162" s="1157"/>
      <c r="AH162" s="1161"/>
      <c r="AI162" s="1158"/>
      <c r="AJ162" s="1163"/>
      <c r="AK162" s="1163"/>
      <c r="AL162" s="1163"/>
      <c r="AM162" s="1163"/>
      <c r="AN162" s="1163"/>
      <c r="AO162" s="1163"/>
      <c r="AP162" s="1163"/>
      <c r="AQ162" s="1163"/>
      <c r="AR162" s="1163"/>
      <c r="AS162" s="1163"/>
      <c r="AT162" s="1223"/>
      <c r="AU162" s="1175"/>
      <c r="AV162" s="1175"/>
      <c r="AX162" s="1157"/>
      <c r="AY162" s="1161"/>
      <c r="AZ162" s="1158"/>
      <c r="BA162" s="1163"/>
      <c r="BB162" s="1163"/>
      <c r="BC162" s="1163"/>
      <c r="BD162" s="1163"/>
      <c r="BE162" s="1163"/>
      <c r="BF162" s="1163"/>
      <c r="BG162" s="1163"/>
      <c r="BH162" s="1163"/>
      <c r="BI162" s="1163"/>
      <c r="BJ162" s="1163"/>
      <c r="BK162" s="1223"/>
      <c r="BL162" s="1175"/>
      <c r="BM162" s="1175"/>
      <c r="BO162" s="1157" t="s">
        <v>2640</v>
      </c>
      <c r="BP162" s="1161" t="s">
        <v>2648</v>
      </c>
      <c r="BQ162" s="1158"/>
      <c r="BR162" s="1163"/>
      <c r="BS162" s="1163"/>
      <c r="BT162" s="1163"/>
      <c r="BU162" s="1163"/>
      <c r="BV162" s="1163"/>
      <c r="BW162" s="1163"/>
      <c r="BX162" s="1163"/>
      <c r="BY162" s="1163"/>
      <c r="BZ162" s="1163"/>
      <c r="CA162" s="1163"/>
      <c r="CB162" s="1223"/>
      <c r="CC162" s="1175"/>
      <c r="CD162" s="1175"/>
      <c r="CE162" s="1376"/>
      <c r="CG162" s="1157" t="s">
        <v>2640</v>
      </c>
      <c r="CH162" s="1161" t="s">
        <v>2648</v>
      </c>
      <c r="CI162" s="1158" t="s">
        <v>2656</v>
      </c>
      <c r="CJ162" s="1520">
        <v>0.15</v>
      </c>
      <c r="CK162" s="1520">
        <v>0.15</v>
      </c>
      <c r="CL162" s="1520">
        <v>0.15</v>
      </c>
      <c r="CM162" s="1520">
        <v>0.15</v>
      </c>
      <c r="CN162" s="1520">
        <v>0.15</v>
      </c>
      <c r="CO162" s="1520">
        <v>0.15</v>
      </c>
      <c r="CP162" s="1520">
        <v>0.15</v>
      </c>
      <c r="CQ162" s="1520">
        <v>0.15</v>
      </c>
      <c r="CR162" s="1520">
        <v>0.15</v>
      </c>
      <c r="CS162" s="1520">
        <v>0.15</v>
      </c>
      <c r="CT162" s="1556">
        <f t="shared" si="132"/>
        <v>0</v>
      </c>
      <c r="CU162" s="1537">
        <f t="shared" si="133"/>
        <v>0</v>
      </c>
      <c r="CV162" s="1537">
        <f t="shared" si="134"/>
        <v>0</v>
      </c>
      <c r="CX162" s="1157" t="s">
        <v>2640</v>
      </c>
      <c r="CY162" s="1161" t="s">
        <v>2648</v>
      </c>
      <c r="CZ162" s="1158"/>
      <c r="DA162" s="1520">
        <f t="shared" si="143"/>
        <v>0</v>
      </c>
      <c r="DB162" s="1520"/>
      <c r="DC162" s="1520"/>
      <c r="DD162" s="1520"/>
      <c r="DE162" s="1520"/>
      <c r="DF162" s="1520"/>
      <c r="DG162" s="1520"/>
      <c r="DH162" s="1520"/>
      <c r="DI162" s="1520"/>
      <c r="DJ162" s="1520"/>
      <c r="DK162" s="1640"/>
      <c r="DL162" s="1626"/>
      <c r="DM162" s="1626"/>
    </row>
    <row r="163" spans="2:117" hidden="1">
      <c r="B163" s="1136" t="s">
        <v>2641</v>
      </c>
      <c r="C163" s="1158">
        <f t="shared" si="116"/>
        <v>0</v>
      </c>
      <c r="D163" s="1146">
        <f t="shared" si="148"/>
        <v>0</v>
      </c>
      <c r="E163" s="1146">
        <f t="shared" si="148"/>
        <v>0</v>
      </c>
      <c r="G163" s="1156">
        <f t="shared" si="144"/>
        <v>0</v>
      </c>
      <c r="H163" s="1156">
        <f t="shared" si="145"/>
        <v>0</v>
      </c>
      <c r="I163" s="1156"/>
      <c r="J163" s="1156"/>
      <c r="K163" s="1156">
        <f>IF(スコア!Q163=0,0,1)</f>
        <v>1</v>
      </c>
      <c r="L163" s="1156">
        <f>IF(スコア!S163=0,0,1)</f>
        <v>0</v>
      </c>
      <c r="M163" s="1156">
        <f t="shared" si="146"/>
        <v>0</v>
      </c>
      <c r="N163" s="1156">
        <f t="shared" si="147"/>
        <v>0</v>
      </c>
      <c r="P163" s="1157" t="str">
        <f t="shared" si="118"/>
        <v>2.6.5</v>
      </c>
      <c r="Q163" s="1157" t="str">
        <f t="shared" si="119"/>
        <v>LR2 2.2</v>
      </c>
      <c r="R163" s="1158">
        <f t="shared" si="120"/>
        <v>0</v>
      </c>
      <c r="S163" s="1585">
        <f t="shared" si="102"/>
        <v>0</v>
      </c>
      <c r="T163" s="1585">
        <f t="shared" si="103"/>
        <v>0</v>
      </c>
      <c r="U163" s="1585">
        <f t="shared" si="104"/>
        <v>0</v>
      </c>
      <c r="V163" s="1585">
        <f t="shared" si="105"/>
        <v>0</v>
      </c>
      <c r="W163" s="1585">
        <f t="shared" si="106"/>
        <v>0</v>
      </c>
      <c r="X163" s="1585">
        <f t="shared" si="107"/>
        <v>0</v>
      </c>
      <c r="Y163" s="1585">
        <f t="shared" si="108"/>
        <v>0</v>
      </c>
      <c r="Z163" s="1587">
        <f t="shared" si="109"/>
        <v>0</v>
      </c>
      <c r="AA163" s="1585">
        <f t="shared" si="110"/>
        <v>0</v>
      </c>
      <c r="AB163" s="1585">
        <f t="shared" si="111"/>
        <v>0</v>
      </c>
      <c r="AC163" s="1606">
        <f t="shared" si="112"/>
        <v>0</v>
      </c>
      <c r="AD163" s="1590">
        <f t="shared" si="113"/>
        <v>0</v>
      </c>
      <c r="AE163" s="1590">
        <f t="shared" si="114"/>
        <v>0</v>
      </c>
      <c r="AG163" s="1157"/>
      <c r="AH163" s="1161"/>
      <c r="AI163" s="1158"/>
      <c r="AJ163" s="1163"/>
      <c r="AK163" s="1163"/>
      <c r="AL163" s="1163"/>
      <c r="AM163" s="1163"/>
      <c r="AN163" s="1163"/>
      <c r="AO163" s="1163"/>
      <c r="AP163" s="1163"/>
      <c r="AQ163" s="1163"/>
      <c r="AR163" s="1163"/>
      <c r="AS163" s="1163"/>
      <c r="AT163" s="1223"/>
      <c r="AU163" s="1175"/>
      <c r="AV163" s="1175"/>
      <c r="AX163" s="1157"/>
      <c r="AY163" s="1161"/>
      <c r="AZ163" s="1158"/>
      <c r="BA163" s="1163"/>
      <c r="BB163" s="1163"/>
      <c r="BC163" s="1163"/>
      <c r="BD163" s="1163"/>
      <c r="BE163" s="1163"/>
      <c r="BF163" s="1163"/>
      <c r="BG163" s="1163"/>
      <c r="BH163" s="1163"/>
      <c r="BI163" s="1163"/>
      <c r="BJ163" s="1163"/>
      <c r="BK163" s="1223"/>
      <c r="BL163" s="1175"/>
      <c r="BM163" s="1175"/>
      <c r="BO163" s="1157" t="s">
        <v>2641</v>
      </c>
      <c r="BP163" s="1161" t="s">
        <v>2648</v>
      </c>
      <c r="BQ163" s="1158"/>
      <c r="BR163" s="1163"/>
      <c r="BS163" s="1163"/>
      <c r="BT163" s="1163"/>
      <c r="BU163" s="1163"/>
      <c r="BV163" s="1163"/>
      <c r="BW163" s="1163"/>
      <c r="BX163" s="1163"/>
      <c r="BY163" s="1163"/>
      <c r="BZ163" s="1163"/>
      <c r="CA163" s="1163"/>
      <c r="CB163" s="1223"/>
      <c r="CC163" s="1175"/>
      <c r="CD163" s="1175"/>
      <c r="CE163" s="1376"/>
      <c r="CG163" s="1157" t="s">
        <v>2641</v>
      </c>
      <c r="CH163" s="1161" t="s">
        <v>2648</v>
      </c>
      <c r="CI163" s="1158" t="s">
        <v>2658</v>
      </c>
      <c r="CJ163" s="1520">
        <v>0.15</v>
      </c>
      <c r="CK163" s="1520">
        <v>0.15</v>
      </c>
      <c r="CL163" s="1520">
        <v>0.15</v>
      </c>
      <c r="CM163" s="1520">
        <v>0.15</v>
      </c>
      <c r="CN163" s="1520">
        <v>0.15</v>
      </c>
      <c r="CO163" s="1520">
        <v>0.15</v>
      </c>
      <c r="CP163" s="1520">
        <v>0.15</v>
      </c>
      <c r="CQ163" s="1520">
        <v>0.15</v>
      </c>
      <c r="CR163" s="1520">
        <v>0.15</v>
      </c>
      <c r="CS163" s="1520">
        <v>0.15</v>
      </c>
      <c r="CT163" s="1556">
        <f t="shared" si="132"/>
        <v>0</v>
      </c>
      <c r="CU163" s="1537">
        <f t="shared" si="133"/>
        <v>0</v>
      </c>
      <c r="CV163" s="1537">
        <f t="shared" si="134"/>
        <v>0</v>
      </c>
      <c r="CX163" s="1157" t="s">
        <v>2641</v>
      </c>
      <c r="CY163" s="1161" t="s">
        <v>2648</v>
      </c>
      <c r="CZ163" s="1158"/>
      <c r="DA163" s="1520">
        <f t="shared" si="143"/>
        <v>0</v>
      </c>
      <c r="DB163" s="1520"/>
      <c r="DC163" s="1520"/>
      <c r="DD163" s="1520"/>
      <c r="DE163" s="1520"/>
      <c r="DF163" s="1520"/>
      <c r="DG163" s="1520"/>
      <c r="DH163" s="1520"/>
      <c r="DI163" s="1520"/>
      <c r="DJ163" s="1520"/>
      <c r="DK163" s="1640"/>
      <c r="DL163" s="1626"/>
      <c r="DM163" s="1626"/>
    </row>
    <row r="164" spans="2:117" hidden="1">
      <c r="B164" s="1136" t="s">
        <v>2642</v>
      </c>
      <c r="C164" s="1158">
        <f t="shared" si="116"/>
        <v>0</v>
      </c>
      <c r="D164" s="1146">
        <f>IF(I$158&gt;0,G164/I$158,0)</f>
        <v>0</v>
      </c>
      <c r="E164" s="1146">
        <f>IF(J$158&gt;0,H164/J$158,0)</f>
        <v>0</v>
      </c>
      <c r="G164" s="1156">
        <f t="shared" si="144"/>
        <v>0</v>
      </c>
      <c r="H164" s="1156">
        <f t="shared" si="145"/>
        <v>0</v>
      </c>
      <c r="I164" s="1156"/>
      <c r="J164" s="1156"/>
      <c r="K164" s="1156">
        <f>IF(スコア!Q164=0,0,1)</f>
        <v>1</v>
      </c>
      <c r="L164" s="1156">
        <f>IF(スコア!S164=0,0,1)</f>
        <v>0</v>
      </c>
      <c r="M164" s="1156">
        <f t="shared" si="146"/>
        <v>0</v>
      </c>
      <c r="N164" s="1156">
        <f t="shared" si="147"/>
        <v>0</v>
      </c>
      <c r="P164" s="1157" t="str">
        <f t="shared" si="118"/>
        <v>2.6.6</v>
      </c>
      <c r="Q164" s="1157" t="str">
        <f t="shared" si="119"/>
        <v>LR2 2.2</v>
      </c>
      <c r="R164" s="1158">
        <f t="shared" si="120"/>
        <v>0</v>
      </c>
      <c r="S164" s="1585">
        <f t="shared" si="102"/>
        <v>0</v>
      </c>
      <c r="T164" s="1585">
        <f t="shared" si="103"/>
        <v>0</v>
      </c>
      <c r="U164" s="1585">
        <f t="shared" si="104"/>
        <v>0</v>
      </c>
      <c r="V164" s="1585">
        <f t="shared" si="105"/>
        <v>0</v>
      </c>
      <c r="W164" s="1585">
        <f t="shared" si="106"/>
        <v>0</v>
      </c>
      <c r="X164" s="1585">
        <f t="shared" si="107"/>
        <v>0</v>
      </c>
      <c r="Y164" s="1585">
        <f t="shared" si="108"/>
        <v>0</v>
      </c>
      <c r="Z164" s="1587">
        <f t="shared" si="109"/>
        <v>0</v>
      </c>
      <c r="AA164" s="1585">
        <f t="shared" si="110"/>
        <v>0</v>
      </c>
      <c r="AB164" s="1585">
        <f t="shared" si="111"/>
        <v>0</v>
      </c>
      <c r="AC164" s="1606">
        <f t="shared" si="112"/>
        <v>0</v>
      </c>
      <c r="AD164" s="1590">
        <f t="shared" si="113"/>
        <v>0</v>
      </c>
      <c r="AE164" s="1590">
        <f t="shared" si="114"/>
        <v>0</v>
      </c>
      <c r="AG164" s="1157"/>
      <c r="AH164" s="1161"/>
      <c r="AI164" s="1158"/>
      <c r="AJ164" s="1163"/>
      <c r="AK164" s="1163"/>
      <c r="AL164" s="1163"/>
      <c r="AM164" s="1163"/>
      <c r="AN164" s="1163"/>
      <c r="AO164" s="1163"/>
      <c r="AP164" s="1163"/>
      <c r="AQ164" s="1163"/>
      <c r="AR164" s="1163"/>
      <c r="AS164" s="1163"/>
      <c r="AT164" s="1223"/>
      <c r="AU164" s="1175"/>
      <c r="AV164" s="1175"/>
      <c r="AX164" s="1157"/>
      <c r="AY164" s="1161"/>
      <c r="AZ164" s="1158"/>
      <c r="BA164" s="1163"/>
      <c r="BB164" s="1163"/>
      <c r="BC164" s="1163"/>
      <c r="BD164" s="1163"/>
      <c r="BE164" s="1163"/>
      <c r="BF164" s="1163"/>
      <c r="BG164" s="1163"/>
      <c r="BH164" s="1163"/>
      <c r="BI164" s="1163"/>
      <c r="BJ164" s="1163"/>
      <c r="BK164" s="1223"/>
      <c r="BL164" s="1175"/>
      <c r="BM164" s="1175"/>
      <c r="BO164" s="1157" t="s">
        <v>2642</v>
      </c>
      <c r="BP164" s="1161" t="s">
        <v>2648</v>
      </c>
      <c r="BQ164" s="1158"/>
      <c r="BR164" s="1163"/>
      <c r="BS164" s="1163"/>
      <c r="BT164" s="1163"/>
      <c r="BU164" s="1163"/>
      <c r="BV164" s="1163"/>
      <c r="BW164" s="1163"/>
      <c r="BX164" s="1163"/>
      <c r="BY164" s="1163"/>
      <c r="BZ164" s="1163"/>
      <c r="CA164" s="1163"/>
      <c r="CB164" s="1223"/>
      <c r="CC164" s="1175"/>
      <c r="CD164" s="1175"/>
      <c r="CE164" s="1376"/>
      <c r="CG164" s="1157" t="s">
        <v>2642</v>
      </c>
      <c r="CH164" s="1161" t="s">
        <v>2648</v>
      </c>
      <c r="CI164" s="1158" t="s">
        <v>2660</v>
      </c>
      <c r="CJ164" s="1520">
        <v>0.15</v>
      </c>
      <c r="CK164" s="1520">
        <v>0.15</v>
      </c>
      <c r="CL164" s="1520">
        <v>0.15</v>
      </c>
      <c r="CM164" s="1520">
        <v>0.15</v>
      </c>
      <c r="CN164" s="1520">
        <v>0.15</v>
      </c>
      <c r="CO164" s="1520">
        <v>0.15</v>
      </c>
      <c r="CP164" s="1520">
        <v>0.15</v>
      </c>
      <c r="CQ164" s="1520">
        <v>0.15</v>
      </c>
      <c r="CR164" s="1520">
        <v>0.15</v>
      </c>
      <c r="CS164" s="1520">
        <v>0.15</v>
      </c>
      <c r="CT164" s="1556">
        <f t="shared" si="132"/>
        <v>0</v>
      </c>
      <c r="CU164" s="1537">
        <f t="shared" si="133"/>
        <v>0</v>
      </c>
      <c r="CV164" s="1537">
        <f t="shared" si="134"/>
        <v>0</v>
      </c>
      <c r="CX164" s="1157" t="s">
        <v>2642</v>
      </c>
      <c r="CY164" s="1161" t="s">
        <v>2648</v>
      </c>
      <c r="CZ164" s="1158"/>
      <c r="DA164" s="1520">
        <f t="shared" si="143"/>
        <v>0</v>
      </c>
      <c r="DB164" s="1520"/>
      <c r="DC164" s="1520"/>
      <c r="DD164" s="1520"/>
      <c r="DE164" s="1520"/>
      <c r="DF164" s="1520"/>
      <c r="DG164" s="1520"/>
      <c r="DH164" s="1520"/>
      <c r="DI164" s="1520"/>
      <c r="DJ164" s="1520"/>
      <c r="DK164" s="1640"/>
      <c r="DL164" s="1626"/>
      <c r="DM164" s="1626"/>
    </row>
    <row r="165" spans="2:117" hidden="1">
      <c r="B165" s="1136">
        <v>2.7</v>
      </c>
      <c r="C165" s="1158">
        <f t="shared" si="116"/>
        <v>0</v>
      </c>
      <c r="D165" s="1155">
        <f>IF(I$151=0,0,G165/I$151)</f>
        <v>0</v>
      </c>
      <c r="E165" s="1156">
        <f>IF(J$151=0,0,H165/J$151)</f>
        <v>0</v>
      </c>
      <c r="G165" s="1156">
        <f t="shared" si="144"/>
        <v>0</v>
      </c>
      <c r="H165" s="1156">
        <f>L165*N165</f>
        <v>0</v>
      </c>
      <c r="I165" s="1156"/>
      <c r="J165" s="1156"/>
      <c r="K165" s="1156">
        <f>IF(スコア!Q165=0,0,1)</f>
        <v>1</v>
      </c>
      <c r="L165" s="1156">
        <f>IF(スコア!S165=0,0,1)</f>
        <v>0</v>
      </c>
      <c r="M165" s="1156">
        <f t="shared" si="146"/>
        <v>0</v>
      </c>
      <c r="N165" s="1156">
        <f t="shared" si="147"/>
        <v>0</v>
      </c>
      <c r="P165" s="1157">
        <f t="shared" si="118"/>
        <v>2.7</v>
      </c>
      <c r="Q165" s="1157" t="str">
        <f t="shared" si="119"/>
        <v>LR2 2</v>
      </c>
      <c r="R165" s="1158">
        <f t="shared" si="120"/>
        <v>0</v>
      </c>
      <c r="S165" s="1585">
        <f t="shared" si="102"/>
        <v>0</v>
      </c>
      <c r="T165" s="1585">
        <f t="shared" si="103"/>
        <v>0</v>
      </c>
      <c r="U165" s="1585">
        <f t="shared" si="104"/>
        <v>0</v>
      </c>
      <c r="V165" s="1585">
        <f t="shared" si="105"/>
        <v>0</v>
      </c>
      <c r="W165" s="1585">
        <f t="shared" si="106"/>
        <v>0</v>
      </c>
      <c r="X165" s="1585">
        <f t="shared" si="107"/>
        <v>0</v>
      </c>
      <c r="Y165" s="1585">
        <f t="shared" si="108"/>
        <v>0</v>
      </c>
      <c r="Z165" s="1587">
        <f t="shared" si="109"/>
        <v>0</v>
      </c>
      <c r="AA165" s="1585">
        <f t="shared" si="110"/>
        <v>0</v>
      </c>
      <c r="AB165" s="1585">
        <f t="shared" si="111"/>
        <v>0</v>
      </c>
      <c r="AC165" s="1606">
        <f t="shared" si="112"/>
        <v>0</v>
      </c>
      <c r="AD165" s="1590">
        <f t="shared" si="113"/>
        <v>0</v>
      </c>
      <c r="AE165" s="1590">
        <f t="shared" si="114"/>
        <v>0</v>
      </c>
      <c r="AG165" s="1157"/>
      <c r="AH165" s="1161"/>
      <c r="AI165" s="1158"/>
      <c r="AJ165" s="1163"/>
      <c r="AK165" s="1163"/>
      <c r="AL165" s="1163"/>
      <c r="AM165" s="1163"/>
      <c r="AN165" s="1163"/>
      <c r="AO165" s="1163"/>
      <c r="AP165" s="1163"/>
      <c r="AQ165" s="1163"/>
      <c r="AR165" s="1163"/>
      <c r="AS165" s="1163"/>
      <c r="AT165" s="1223"/>
      <c r="AU165" s="1175"/>
      <c r="AV165" s="1175"/>
      <c r="AX165" s="1157"/>
      <c r="AY165" s="1161"/>
      <c r="AZ165" s="1158"/>
      <c r="BA165" s="1163"/>
      <c r="BB165" s="1163"/>
      <c r="BC165" s="1163"/>
      <c r="BD165" s="1163"/>
      <c r="BE165" s="1163"/>
      <c r="BF165" s="1163"/>
      <c r="BG165" s="1163"/>
      <c r="BH165" s="1163"/>
      <c r="BI165" s="1163"/>
      <c r="BJ165" s="1163"/>
      <c r="BK165" s="1223"/>
      <c r="BL165" s="1175"/>
      <c r="BM165" s="1175"/>
      <c r="BO165" s="1157">
        <v>2.7</v>
      </c>
      <c r="BP165" s="1161" t="s">
        <v>2662</v>
      </c>
      <c r="BQ165" s="1158"/>
      <c r="BR165" s="1163"/>
      <c r="BS165" s="1163"/>
      <c r="BT165" s="1163"/>
      <c r="BU165" s="1163"/>
      <c r="BV165" s="1163"/>
      <c r="BW165" s="1163"/>
      <c r="BX165" s="1163"/>
      <c r="BY165" s="1163"/>
      <c r="BZ165" s="1163"/>
      <c r="CA165" s="1163"/>
      <c r="CB165" s="1223"/>
      <c r="CC165" s="1175"/>
      <c r="CD165" s="1175"/>
      <c r="CE165" s="1376"/>
      <c r="CG165" s="1157">
        <v>2.7</v>
      </c>
      <c r="CH165" s="1161" t="s">
        <v>2662</v>
      </c>
      <c r="CI165" s="1158" t="s">
        <v>2631</v>
      </c>
      <c r="CJ165" s="1520">
        <v>0.2</v>
      </c>
      <c r="CK165" s="1520">
        <v>0.2</v>
      </c>
      <c r="CL165" s="1520">
        <v>0.2</v>
      </c>
      <c r="CM165" s="1520">
        <v>0.2</v>
      </c>
      <c r="CN165" s="1520">
        <v>0.2</v>
      </c>
      <c r="CO165" s="1520">
        <v>0.2</v>
      </c>
      <c r="CP165" s="1520">
        <v>0.2</v>
      </c>
      <c r="CQ165" s="1520">
        <v>0.2</v>
      </c>
      <c r="CR165" s="1520">
        <v>0.2</v>
      </c>
      <c r="CS165" s="1520">
        <v>0.2</v>
      </c>
      <c r="CT165" s="1556">
        <f t="shared" si="132"/>
        <v>0</v>
      </c>
      <c r="CU165" s="1537">
        <f t="shared" si="133"/>
        <v>0</v>
      </c>
      <c r="CV165" s="1537">
        <f t="shared" si="134"/>
        <v>0</v>
      </c>
      <c r="CX165" s="1157">
        <v>2.7</v>
      </c>
      <c r="CY165" s="1161" t="s">
        <v>2662</v>
      </c>
      <c r="CZ165" s="1158"/>
      <c r="DA165" s="1520">
        <f t="shared" si="143"/>
        <v>0</v>
      </c>
      <c r="DB165" s="1520"/>
      <c r="DC165" s="1520"/>
      <c r="DD165" s="1520"/>
      <c r="DE165" s="1520"/>
      <c r="DF165" s="1520"/>
      <c r="DG165" s="1520"/>
      <c r="DH165" s="1520"/>
      <c r="DI165" s="1520"/>
      <c r="DJ165" s="1520"/>
      <c r="DK165" s="1640"/>
      <c r="DL165" s="1626"/>
      <c r="DM165" s="1626"/>
    </row>
    <row r="166" spans="2:117">
      <c r="B166" s="1136">
        <f t="shared" si="140"/>
        <v>3</v>
      </c>
      <c r="C166" s="1148" t="str">
        <f t="shared" si="116"/>
        <v>汚染物質含有材料の使用回避</v>
      </c>
      <c r="D166" s="1144">
        <f>IF(I$145=0,0,G166/I$145)</f>
        <v>0.2</v>
      </c>
      <c r="E166" s="1145">
        <f>IF(J$145=0,0,H166/J$145)</f>
        <v>0</v>
      </c>
      <c r="G166" s="1145">
        <f t="shared" si="136"/>
        <v>0.2</v>
      </c>
      <c r="H166" s="1145">
        <f t="shared" si="137"/>
        <v>0</v>
      </c>
      <c r="I166" s="1145">
        <f>G167+G168</f>
        <v>1</v>
      </c>
      <c r="J166" s="1145">
        <f>H167+H168</f>
        <v>0</v>
      </c>
      <c r="K166" s="1145">
        <f>IF(スコア!Q166=0,0,1)</f>
        <v>1</v>
      </c>
      <c r="L166" s="1145">
        <f>IF(スコア!S166=0,0,1)</f>
        <v>0</v>
      </c>
      <c r="M166" s="1145">
        <f t="shared" si="138"/>
        <v>0.2</v>
      </c>
      <c r="N166" s="1145">
        <f t="shared" si="142"/>
        <v>0</v>
      </c>
      <c r="P166" s="1147">
        <f t="shared" si="118"/>
        <v>3</v>
      </c>
      <c r="Q166" s="1147" t="str">
        <f t="shared" si="119"/>
        <v>LR2</v>
      </c>
      <c r="R166" s="1148" t="str">
        <f t="shared" si="120"/>
        <v>汚染物質含有材料の使用回避</v>
      </c>
      <c r="S166" s="1582">
        <f t="shared" si="102"/>
        <v>0.2</v>
      </c>
      <c r="T166" s="1582">
        <f t="shared" si="103"/>
        <v>0.2</v>
      </c>
      <c r="U166" s="1582">
        <f t="shared" si="104"/>
        <v>0.2</v>
      </c>
      <c r="V166" s="1582">
        <f t="shared" si="105"/>
        <v>0.2</v>
      </c>
      <c r="W166" s="1582">
        <f t="shared" si="106"/>
        <v>0.2</v>
      </c>
      <c r="X166" s="1582">
        <f t="shared" si="107"/>
        <v>0.2</v>
      </c>
      <c r="Y166" s="1582">
        <f t="shared" si="108"/>
        <v>0.2</v>
      </c>
      <c r="Z166" s="1596">
        <f t="shared" si="109"/>
        <v>0.2</v>
      </c>
      <c r="AA166" s="1582">
        <f t="shared" si="110"/>
        <v>0.2</v>
      </c>
      <c r="AB166" s="1582">
        <f t="shared" si="111"/>
        <v>0.2</v>
      </c>
      <c r="AC166" s="1604">
        <f t="shared" si="112"/>
        <v>0</v>
      </c>
      <c r="AD166" s="1605">
        <f t="shared" si="113"/>
        <v>0</v>
      </c>
      <c r="AE166" s="1605">
        <f t="shared" si="114"/>
        <v>0</v>
      </c>
      <c r="AG166" s="1147">
        <v>3</v>
      </c>
      <c r="AH166" s="1151" t="s">
        <v>1302</v>
      </c>
      <c r="AI166" s="1148" t="s">
        <v>1062</v>
      </c>
      <c r="AJ166" s="1152">
        <v>0.2</v>
      </c>
      <c r="AK166" s="1152">
        <v>0.2</v>
      </c>
      <c r="AL166" s="1152">
        <v>0.2</v>
      </c>
      <c r="AM166" s="1152">
        <v>0.2</v>
      </c>
      <c r="AN166" s="1152">
        <v>0.2</v>
      </c>
      <c r="AO166" s="1152">
        <v>0.2</v>
      </c>
      <c r="AP166" s="1152">
        <v>0.2</v>
      </c>
      <c r="AQ166" s="1152">
        <v>0.2</v>
      </c>
      <c r="AR166" s="1152">
        <v>0.2</v>
      </c>
      <c r="AS166" s="1152">
        <v>0.2</v>
      </c>
      <c r="AT166" s="1221">
        <v>0</v>
      </c>
      <c r="AU166" s="1222">
        <v>0</v>
      </c>
      <c r="AV166" s="1222">
        <v>0</v>
      </c>
      <c r="AX166" s="1147">
        <v>3</v>
      </c>
      <c r="AY166" s="1151" t="s">
        <v>1302</v>
      </c>
      <c r="AZ166" s="1148" t="s">
        <v>1062</v>
      </c>
      <c r="BA166" s="1152">
        <v>0.2</v>
      </c>
      <c r="BB166" s="1152">
        <v>0.2</v>
      </c>
      <c r="BC166" s="1152">
        <v>0.2</v>
      </c>
      <c r="BD166" s="1152">
        <v>0.2</v>
      </c>
      <c r="BE166" s="1152">
        <v>0.2</v>
      </c>
      <c r="BF166" s="1152">
        <v>0.2</v>
      </c>
      <c r="BG166" s="1152">
        <v>0.2</v>
      </c>
      <c r="BH166" s="1152">
        <v>0.2</v>
      </c>
      <c r="BI166" s="1152">
        <v>0.2</v>
      </c>
      <c r="BJ166" s="1152">
        <v>0.2</v>
      </c>
      <c r="BK166" s="1221"/>
      <c r="BL166" s="1222"/>
      <c r="BM166" s="1222"/>
      <c r="BO166" s="1147">
        <v>3</v>
      </c>
      <c r="BP166" s="1151" t="s">
        <v>1302</v>
      </c>
      <c r="BQ166" s="1148" t="s">
        <v>1062</v>
      </c>
      <c r="BR166" s="1152">
        <v>0.2</v>
      </c>
      <c r="BS166" s="1152">
        <v>0.2</v>
      </c>
      <c r="BT166" s="1152">
        <v>0.2</v>
      </c>
      <c r="BU166" s="1152">
        <v>0.2</v>
      </c>
      <c r="BV166" s="1152">
        <v>0.2</v>
      </c>
      <c r="BW166" s="1152">
        <v>0.2</v>
      </c>
      <c r="BX166" s="1152">
        <v>0.2</v>
      </c>
      <c r="BY166" s="1152">
        <v>0.2</v>
      </c>
      <c r="BZ166" s="1152">
        <v>0.2</v>
      </c>
      <c r="CA166" s="1152">
        <v>0.2</v>
      </c>
      <c r="CB166" s="1221"/>
      <c r="CC166" s="1222"/>
      <c r="CD166" s="1222"/>
      <c r="CE166" s="1386"/>
      <c r="CG166" s="1147">
        <v>3</v>
      </c>
      <c r="CH166" s="1151" t="s">
        <v>1302</v>
      </c>
      <c r="CI166" s="1148" t="s">
        <v>1062</v>
      </c>
      <c r="CJ166" s="1518">
        <v>0.05</v>
      </c>
      <c r="CK166" s="1518">
        <v>0.05</v>
      </c>
      <c r="CL166" s="1518">
        <v>0.05</v>
      </c>
      <c r="CM166" s="1518">
        <v>0.05</v>
      </c>
      <c r="CN166" s="1518">
        <v>0.05</v>
      </c>
      <c r="CO166" s="1518">
        <v>0.05</v>
      </c>
      <c r="CP166" s="1518">
        <v>0.05</v>
      </c>
      <c r="CQ166" s="1518">
        <v>0.05</v>
      </c>
      <c r="CR166" s="1518">
        <v>0.05</v>
      </c>
      <c r="CS166" s="1518">
        <v>0.05</v>
      </c>
      <c r="CT166" s="1554">
        <f t="shared" si="132"/>
        <v>0</v>
      </c>
      <c r="CU166" s="1555">
        <f t="shared" si="133"/>
        <v>0</v>
      </c>
      <c r="CV166" s="1555">
        <f t="shared" si="134"/>
        <v>0</v>
      </c>
      <c r="CX166" s="1147">
        <v>3</v>
      </c>
      <c r="CY166" s="1151" t="s">
        <v>1302</v>
      </c>
      <c r="CZ166" s="1148" t="s">
        <v>1062</v>
      </c>
      <c r="DA166" s="1649">
        <f t="shared" si="143"/>
        <v>0.2</v>
      </c>
      <c r="DB166" s="1518"/>
      <c r="DC166" s="1518"/>
      <c r="DD166" s="1518"/>
      <c r="DE166" s="1518"/>
      <c r="DF166" s="1518"/>
      <c r="DG166" s="1518"/>
      <c r="DH166" s="1518"/>
      <c r="DI166" s="1518"/>
      <c r="DJ166" s="1518"/>
      <c r="DK166" s="1638"/>
      <c r="DL166" s="1639"/>
      <c r="DM166" s="1639"/>
    </row>
    <row r="167" spans="2:117">
      <c r="B167" s="1136" t="str">
        <f t="shared" si="140"/>
        <v>3.1</v>
      </c>
      <c r="C167" s="1158" t="str">
        <f t="shared" si="116"/>
        <v>有害物質を含まない材料の使用</v>
      </c>
      <c r="D167" s="1155">
        <f>IF(I$166=0,0,G167/I$166)</f>
        <v>0.3</v>
      </c>
      <c r="E167" s="1156">
        <f>IF(J$166=0,0,H167/J$166)</f>
        <v>0</v>
      </c>
      <c r="G167" s="1156">
        <f t="shared" si="136"/>
        <v>0.3</v>
      </c>
      <c r="H167" s="1156">
        <f t="shared" si="137"/>
        <v>0</v>
      </c>
      <c r="I167" s="1156"/>
      <c r="J167" s="1156"/>
      <c r="K167" s="1156">
        <f>IF(スコア!Q167=0,0,1)</f>
        <v>1</v>
      </c>
      <c r="L167" s="1156">
        <f>IF(スコア!S167=0,0,1)</f>
        <v>0</v>
      </c>
      <c r="M167" s="1156">
        <f t="shared" si="138"/>
        <v>0.3</v>
      </c>
      <c r="N167" s="1156">
        <f t="shared" si="142"/>
        <v>0</v>
      </c>
      <c r="P167" s="1157" t="str">
        <f t="shared" si="118"/>
        <v>3.1</v>
      </c>
      <c r="Q167" s="1157" t="str">
        <f t="shared" si="119"/>
        <v>LR2 3</v>
      </c>
      <c r="R167" s="1158" t="str">
        <f t="shared" si="120"/>
        <v>有害物質を含まない材料の使用</v>
      </c>
      <c r="S167" s="1585">
        <f t="shared" si="102"/>
        <v>0.3</v>
      </c>
      <c r="T167" s="1585">
        <f t="shared" si="103"/>
        <v>0.3</v>
      </c>
      <c r="U167" s="1585">
        <f t="shared" si="104"/>
        <v>0.3</v>
      </c>
      <c r="V167" s="1585">
        <f t="shared" si="105"/>
        <v>0.3</v>
      </c>
      <c r="W167" s="1585">
        <f t="shared" si="106"/>
        <v>0.3</v>
      </c>
      <c r="X167" s="1585">
        <f t="shared" si="107"/>
        <v>0.3</v>
      </c>
      <c r="Y167" s="1585">
        <f t="shared" si="108"/>
        <v>0.3</v>
      </c>
      <c r="Z167" s="1587">
        <f t="shared" si="109"/>
        <v>0.3</v>
      </c>
      <c r="AA167" s="1585">
        <f t="shared" si="110"/>
        <v>0.3</v>
      </c>
      <c r="AB167" s="1585">
        <f t="shared" si="111"/>
        <v>0.3</v>
      </c>
      <c r="AC167" s="1606">
        <f t="shared" si="112"/>
        <v>0</v>
      </c>
      <c r="AD167" s="1590">
        <f t="shared" si="113"/>
        <v>0</v>
      </c>
      <c r="AE167" s="1590">
        <f t="shared" si="114"/>
        <v>0</v>
      </c>
      <c r="AG167" s="1157" t="s">
        <v>1170</v>
      </c>
      <c r="AH167" s="1161" t="s">
        <v>129</v>
      </c>
      <c r="AI167" s="1158" t="s">
        <v>1063</v>
      </c>
      <c r="AJ167" s="1163">
        <v>0.3</v>
      </c>
      <c r="AK167" s="1163">
        <v>0.3</v>
      </c>
      <c r="AL167" s="1163">
        <v>0.3</v>
      </c>
      <c r="AM167" s="1163">
        <v>0.3</v>
      </c>
      <c r="AN167" s="1163">
        <v>0.3</v>
      </c>
      <c r="AO167" s="1163">
        <v>0.3</v>
      </c>
      <c r="AP167" s="1163">
        <v>0.3</v>
      </c>
      <c r="AQ167" s="1163">
        <v>0.3</v>
      </c>
      <c r="AR167" s="1163">
        <v>0.3</v>
      </c>
      <c r="AS167" s="1163">
        <v>0.3</v>
      </c>
      <c r="AT167" s="1223">
        <v>0</v>
      </c>
      <c r="AU167" s="1175">
        <v>0</v>
      </c>
      <c r="AV167" s="1175">
        <v>0</v>
      </c>
      <c r="AX167" s="1157" t="s">
        <v>1171</v>
      </c>
      <c r="AY167" s="1161" t="s">
        <v>129</v>
      </c>
      <c r="AZ167" s="1158" t="s">
        <v>1063</v>
      </c>
      <c r="BA167" s="1163">
        <v>0.3</v>
      </c>
      <c r="BB167" s="1163">
        <v>0.3</v>
      </c>
      <c r="BC167" s="1163">
        <v>0.3</v>
      </c>
      <c r="BD167" s="1163">
        <v>0.3</v>
      </c>
      <c r="BE167" s="1163">
        <v>0.3</v>
      </c>
      <c r="BF167" s="1163">
        <v>0.3</v>
      </c>
      <c r="BG167" s="1163">
        <v>0.3</v>
      </c>
      <c r="BH167" s="1163">
        <v>0.3</v>
      </c>
      <c r="BI167" s="1163">
        <v>0.3</v>
      </c>
      <c r="BJ167" s="1163">
        <v>0.3</v>
      </c>
      <c r="BK167" s="1223"/>
      <c r="BL167" s="1175"/>
      <c r="BM167" s="1175"/>
      <c r="BO167" s="1157" t="s">
        <v>1171</v>
      </c>
      <c r="BP167" s="1161" t="s">
        <v>129</v>
      </c>
      <c r="BQ167" s="1158" t="s">
        <v>1063</v>
      </c>
      <c r="BR167" s="1163">
        <v>0.3</v>
      </c>
      <c r="BS167" s="1163">
        <v>0.3</v>
      </c>
      <c r="BT167" s="1163">
        <v>0.3</v>
      </c>
      <c r="BU167" s="1163">
        <v>0.3</v>
      </c>
      <c r="BV167" s="1163">
        <v>0.3</v>
      </c>
      <c r="BW167" s="1163">
        <v>0.3</v>
      </c>
      <c r="BX167" s="1163">
        <v>0.3</v>
      </c>
      <c r="BY167" s="1163">
        <v>0.3</v>
      </c>
      <c r="BZ167" s="1163">
        <v>0.3</v>
      </c>
      <c r="CA167" s="1163">
        <v>0.3</v>
      </c>
      <c r="CB167" s="1223"/>
      <c r="CC167" s="1175"/>
      <c r="CD167" s="1175"/>
      <c r="CE167" s="1376"/>
      <c r="CG167" s="1157" t="s">
        <v>1153</v>
      </c>
      <c r="CH167" s="1161" t="s">
        <v>129</v>
      </c>
      <c r="CI167" s="1158" t="s">
        <v>1063</v>
      </c>
      <c r="CJ167" s="1531">
        <f t="shared" si="135"/>
        <v>0.3</v>
      </c>
      <c r="CK167" s="1531">
        <f t="shared" si="123"/>
        <v>0.3</v>
      </c>
      <c r="CL167" s="1531">
        <f t="shared" si="124"/>
        <v>0.3</v>
      </c>
      <c r="CM167" s="1531">
        <f t="shared" si="125"/>
        <v>0.3</v>
      </c>
      <c r="CN167" s="1531">
        <f t="shared" si="126"/>
        <v>0.3</v>
      </c>
      <c r="CO167" s="1531">
        <f t="shared" si="127"/>
        <v>0.3</v>
      </c>
      <c r="CP167" s="1531">
        <f t="shared" si="128"/>
        <v>0.3</v>
      </c>
      <c r="CQ167" s="1531">
        <f t="shared" si="129"/>
        <v>0.3</v>
      </c>
      <c r="CR167" s="1531">
        <f t="shared" si="130"/>
        <v>0.3</v>
      </c>
      <c r="CS167" s="1531">
        <f t="shared" si="131"/>
        <v>0.3</v>
      </c>
      <c r="CT167" s="1556">
        <f t="shared" si="132"/>
        <v>0</v>
      </c>
      <c r="CU167" s="1537">
        <f t="shared" si="133"/>
        <v>0</v>
      </c>
      <c r="CV167" s="1537">
        <f t="shared" si="134"/>
        <v>0</v>
      </c>
      <c r="CX167" s="1157" t="s">
        <v>1153</v>
      </c>
      <c r="CY167" s="1161" t="s">
        <v>129</v>
      </c>
      <c r="CZ167" s="1158" t="s">
        <v>1063</v>
      </c>
      <c r="DA167" s="1642">
        <v>0.6</v>
      </c>
      <c r="DB167" s="1520"/>
      <c r="DC167" s="1520"/>
      <c r="DD167" s="1520"/>
      <c r="DE167" s="1520"/>
      <c r="DF167" s="1520"/>
      <c r="DG167" s="1520"/>
      <c r="DH167" s="1520"/>
      <c r="DI167" s="1520"/>
      <c r="DJ167" s="1520"/>
      <c r="DK167" s="1640"/>
      <c r="DL167" s="1626"/>
      <c r="DM167" s="1626"/>
    </row>
    <row r="168" spans="2:117">
      <c r="B168" s="1136" t="str">
        <f t="shared" si="140"/>
        <v>3.2</v>
      </c>
      <c r="C168" s="1158" t="str">
        <f t="shared" si="116"/>
        <v>フロン・ハロンの回避</v>
      </c>
      <c r="D168" s="1155">
        <f>IF(I$166=0,0,G168/I$166)</f>
        <v>0.7</v>
      </c>
      <c r="E168" s="1156">
        <f>IF(J$166=0,0,H168/J$166)</f>
        <v>0</v>
      </c>
      <c r="G168" s="1156">
        <f t="shared" si="136"/>
        <v>0.7</v>
      </c>
      <c r="H168" s="1156">
        <f t="shared" si="137"/>
        <v>0</v>
      </c>
      <c r="I168" s="1156">
        <f>SUM(G169:G171)</f>
        <v>0.66666666666666663</v>
      </c>
      <c r="J168" s="1156">
        <f>SUM(H169:H171)</f>
        <v>0</v>
      </c>
      <c r="K168" s="1156">
        <f>IF(スコア!Q168=0,0,1)</f>
        <v>1</v>
      </c>
      <c r="L168" s="1156">
        <f>IF(スコア!S168=0,0,1)</f>
        <v>0</v>
      </c>
      <c r="M168" s="1156">
        <f t="shared" si="138"/>
        <v>0.7</v>
      </c>
      <c r="N168" s="1156">
        <f t="shared" si="142"/>
        <v>0</v>
      </c>
      <c r="P168" s="1157" t="str">
        <f t="shared" si="118"/>
        <v>3.2</v>
      </c>
      <c r="Q168" s="1157" t="str">
        <f t="shared" si="119"/>
        <v>LR2 3</v>
      </c>
      <c r="R168" s="1158" t="str">
        <f t="shared" si="120"/>
        <v>フロン・ハロンの回避</v>
      </c>
      <c r="S168" s="1585">
        <f t="shared" si="102"/>
        <v>0.7</v>
      </c>
      <c r="T168" s="1585">
        <f t="shared" si="103"/>
        <v>0.7</v>
      </c>
      <c r="U168" s="1585">
        <f t="shared" si="104"/>
        <v>0.7</v>
      </c>
      <c r="V168" s="1585">
        <f t="shared" si="105"/>
        <v>0.7</v>
      </c>
      <c r="W168" s="1585">
        <f t="shared" si="106"/>
        <v>0.7</v>
      </c>
      <c r="X168" s="1585">
        <f t="shared" si="107"/>
        <v>0.7</v>
      </c>
      <c r="Y168" s="1585">
        <f t="shared" si="108"/>
        <v>0.7</v>
      </c>
      <c r="Z168" s="1587">
        <f t="shared" si="109"/>
        <v>0.7</v>
      </c>
      <c r="AA168" s="1585">
        <f t="shared" si="110"/>
        <v>0.7</v>
      </c>
      <c r="AB168" s="1585">
        <f t="shared" si="111"/>
        <v>0.7</v>
      </c>
      <c r="AC168" s="1606">
        <f t="shared" si="112"/>
        <v>0</v>
      </c>
      <c r="AD168" s="1590">
        <f t="shared" si="113"/>
        <v>0</v>
      </c>
      <c r="AE168" s="1590">
        <f t="shared" si="114"/>
        <v>0</v>
      </c>
      <c r="AG168" s="1157" t="s">
        <v>1172</v>
      </c>
      <c r="AH168" s="1161" t="s">
        <v>129</v>
      </c>
      <c r="AI168" s="1158" t="s">
        <v>130</v>
      </c>
      <c r="AJ168" s="1163">
        <v>0.7</v>
      </c>
      <c r="AK168" s="1163">
        <v>0.7</v>
      </c>
      <c r="AL168" s="1163">
        <v>0.7</v>
      </c>
      <c r="AM168" s="1163">
        <v>0.7</v>
      </c>
      <c r="AN168" s="1163">
        <v>0.7</v>
      </c>
      <c r="AO168" s="1163">
        <v>0.7</v>
      </c>
      <c r="AP168" s="1163">
        <v>0.7</v>
      </c>
      <c r="AQ168" s="1163">
        <v>0.7</v>
      </c>
      <c r="AR168" s="1163">
        <v>0.7</v>
      </c>
      <c r="AS168" s="1163">
        <v>0.7</v>
      </c>
      <c r="AT168" s="1223">
        <v>0</v>
      </c>
      <c r="AU168" s="1175">
        <v>0</v>
      </c>
      <c r="AV168" s="1175">
        <v>0</v>
      </c>
      <c r="AX168" s="1157" t="s">
        <v>1172</v>
      </c>
      <c r="AY168" s="1161" t="s">
        <v>129</v>
      </c>
      <c r="AZ168" s="1158" t="s">
        <v>130</v>
      </c>
      <c r="BA168" s="1163">
        <v>0.7</v>
      </c>
      <c r="BB168" s="1163">
        <v>0.7</v>
      </c>
      <c r="BC168" s="1163">
        <v>0.7</v>
      </c>
      <c r="BD168" s="1163">
        <v>0.7</v>
      </c>
      <c r="BE168" s="1163">
        <v>0.7</v>
      </c>
      <c r="BF168" s="1163">
        <v>0.7</v>
      </c>
      <c r="BG168" s="1163">
        <v>0.7</v>
      </c>
      <c r="BH168" s="1163">
        <v>0.7</v>
      </c>
      <c r="BI168" s="1163">
        <v>0.7</v>
      </c>
      <c r="BJ168" s="1163">
        <v>0.7</v>
      </c>
      <c r="BK168" s="1223"/>
      <c r="BL168" s="1175"/>
      <c r="BM168" s="1175"/>
      <c r="BO168" s="1157" t="s">
        <v>1172</v>
      </c>
      <c r="BP168" s="1161" t="s">
        <v>129</v>
      </c>
      <c r="BQ168" s="1158" t="s">
        <v>130</v>
      </c>
      <c r="BR168" s="1163">
        <v>0.7</v>
      </c>
      <c r="BS168" s="1163">
        <v>0.7</v>
      </c>
      <c r="BT168" s="1163">
        <v>0.7</v>
      </c>
      <c r="BU168" s="1163">
        <v>0.7</v>
      </c>
      <c r="BV168" s="1163">
        <v>0.7</v>
      </c>
      <c r="BW168" s="1163">
        <v>0.7</v>
      </c>
      <c r="BX168" s="1163">
        <v>0.7</v>
      </c>
      <c r="BY168" s="1163">
        <v>0.7</v>
      </c>
      <c r="BZ168" s="1163">
        <v>0.7</v>
      </c>
      <c r="CA168" s="1163">
        <v>0.7</v>
      </c>
      <c r="CB168" s="1223"/>
      <c r="CC168" s="1175"/>
      <c r="CD168" s="1175"/>
      <c r="CE168" s="1376"/>
      <c r="CG168" s="1157" t="s">
        <v>1155</v>
      </c>
      <c r="CH168" s="1161" t="s">
        <v>129</v>
      </c>
      <c r="CI168" s="1158" t="s">
        <v>130</v>
      </c>
      <c r="CJ168" s="1531">
        <f t="shared" si="135"/>
        <v>0.7</v>
      </c>
      <c r="CK168" s="1531">
        <f t="shared" si="123"/>
        <v>0.7</v>
      </c>
      <c r="CL168" s="1531">
        <f t="shared" si="124"/>
        <v>0.7</v>
      </c>
      <c r="CM168" s="1531">
        <f t="shared" si="125"/>
        <v>0.7</v>
      </c>
      <c r="CN168" s="1531">
        <f t="shared" si="126"/>
        <v>0.7</v>
      </c>
      <c r="CO168" s="1531">
        <f t="shared" si="127"/>
        <v>0.7</v>
      </c>
      <c r="CP168" s="1531">
        <f t="shared" si="128"/>
        <v>0.7</v>
      </c>
      <c r="CQ168" s="1531">
        <f t="shared" si="129"/>
        <v>0.7</v>
      </c>
      <c r="CR168" s="1531">
        <f t="shared" si="130"/>
        <v>0.7</v>
      </c>
      <c r="CS168" s="1531">
        <f t="shared" si="131"/>
        <v>0.7</v>
      </c>
      <c r="CT168" s="1556">
        <f t="shared" si="132"/>
        <v>0</v>
      </c>
      <c r="CU168" s="1537">
        <f t="shared" si="133"/>
        <v>0</v>
      </c>
      <c r="CV168" s="1537">
        <f t="shared" si="134"/>
        <v>0</v>
      </c>
      <c r="CX168" s="1157" t="s">
        <v>1155</v>
      </c>
      <c r="CY168" s="1161" t="s">
        <v>129</v>
      </c>
      <c r="CZ168" s="1158" t="s">
        <v>130</v>
      </c>
      <c r="DA168" s="1642">
        <v>0.4</v>
      </c>
      <c r="DB168" s="1520"/>
      <c r="DC168" s="1520"/>
      <c r="DD168" s="1520"/>
      <c r="DE168" s="1520"/>
      <c r="DF168" s="1520"/>
      <c r="DG168" s="1520"/>
      <c r="DH168" s="1520"/>
      <c r="DI168" s="1520"/>
      <c r="DJ168" s="1520"/>
      <c r="DK168" s="1640"/>
      <c r="DL168" s="1626"/>
      <c r="DM168" s="1626"/>
    </row>
    <row r="169" spans="2:117">
      <c r="B169" s="1136" t="str">
        <f t="shared" si="140"/>
        <v>3.2.1</v>
      </c>
      <c r="C169" s="1158" t="str">
        <f t="shared" si="116"/>
        <v>消火剤</v>
      </c>
      <c r="D169" s="1146">
        <f>IF(I$168&gt;0,G169/I$168,0)</f>
        <v>0</v>
      </c>
      <c r="E169" s="1156">
        <f t="shared" ref="D169:E171" si="149">IF(J$168&gt;0,H169/J$168,0)</f>
        <v>0</v>
      </c>
      <c r="G169" s="1156">
        <f t="shared" si="136"/>
        <v>0</v>
      </c>
      <c r="H169" s="1156">
        <f t="shared" si="137"/>
        <v>0</v>
      </c>
      <c r="I169" s="1156"/>
      <c r="J169" s="1156"/>
      <c r="K169" s="1156">
        <f>IF(スコア!Q169=0,0,1)</f>
        <v>0</v>
      </c>
      <c r="L169" s="1156">
        <f>IF(スコア!S169=0,0,1)</f>
        <v>0</v>
      </c>
      <c r="M169" s="1156">
        <f t="shared" si="138"/>
        <v>0.33333333333333331</v>
      </c>
      <c r="N169" s="1156">
        <f t="shared" si="142"/>
        <v>0</v>
      </c>
      <c r="P169" s="1157" t="str">
        <f t="shared" si="118"/>
        <v>3.2.1</v>
      </c>
      <c r="Q169" s="1157" t="str">
        <f t="shared" si="119"/>
        <v>LR2 3.2</v>
      </c>
      <c r="R169" s="1158" t="str">
        <f t="shared" si="120"/>
        <v>消火剤</v>
      </c>
      <c r="S169" s="1585">
        <f t="shared" si="102"/>
        <v>0.33333333333333331</v>
      </c>
      <c r="T169" s="1585">
        <f t="shared" si="103"/>
        <v>0.33333333333333331</v>
      </c>
      <c r="U169" s="1585">
        <f t="shared" si="104"/>
        <v>0.33333333333333331</v>
      </c>
      <c r="V169" s="1585">
        <f t="shared" si="105"/>
        <v>0.33333333333333331</v>
      </c>
      <c r="W169" s="1585">
        <f t="shared" si="106"/>
        <v>0.33333333333333331</v>
      </c>
      <c r="X169" s="1585">
        <f t="shared" si="107"/>
        <v>0.33333333333333331</v>
      </c>
      <c r="Y169" s="1585">
        <f t="shared" si="108"/>
        <v>0.33333333333333331</v>
      </c>
      <c r="Z169" s="1587">
        <f t="shared" si="109"/>
        <v>0.33333333333333331</v>
      </c>
      <c r="AA169" s="1585">
        <f t="shared" si="110"/>
        <v>0.33333333333333331</v>
      </c>
      <c r="AB169" s="1585">
        <f t="shared" si="111"/>
        <v>0.33333333333333331</v>
      </c>
      <c r="AC169" s="1606">
        <f t="shared" si="112"/>
        <v>0</v>
      </c>
      <c r="AD169" s="1590">
        <f t="shared" si="113"/>
        <v>0</v>
      </c>
      <c r="AE169" s="1590">
        <f t="shared" si="114"/>
        <v>0</v>
      </c>
      <c r="AG169" s="1157" t="s">
        <v>1173</v>
      </c>
      <c r="AH169" s="1161" t="s">
        <v>2079</v>
      </c>
      <c r="AI169" s="1158" t="s">
        <v>1174</v>
      </c>
      <c r="AJ169" s="1163">
        <v>0.33333333333333331</v>
      </c>
      <c r="AK169" s="1163">
        <v>0.33333333333333331</v>
      </c>
      <c r="AL169" s="1163">
        <v>0.33333333333333331</v>
      </c>
      <c r="AM169" s="1163">
        <v>0.33333333333333331</v>
      </c>
      <c r="AN169" s="1163">
        <v>0.33333333333333331</v>
      </c>
      <c r="AO169" s="1163">
        <v>0.33333333333333331</v>
      </c>
      <c r="AP169" s="1163">
        <v>0.33333333333333331</v>
      </c>
      <c r="AQ169" s="1163">
        <v>0.33333333333333331</v>
      </c>
      <c r="AR169" s="1163">
        <v>0.33333333333333331</v>
      </c>
      <c r="AS169" s="1163">
        <v>0.33333333333333331</v>
      </c>
      <c r="AT169" s="1223">
        <v>0</v>
      </c>
      <c r="AU169" s="1175">
        <v>0</v>
      </c>
      <c r="AV169" s="1175">
        <v>0</v>
      </c>
      <c r="AX169" s="1157" t="s">
        <v>1173</v>
      </c>
      <c r="AY169" s="1161" t="s">
        <v>2079</v>
      </c>
      <c r="AZ169" s="1158" t="s">
        <v>1174</v>
      </c>
      <c r="BA169" s="1163">
        <v>0.33333333333333331</v>
      </c>
      <c r="BB169" s="1163">
        <v>0.33333333333333331</v>
      </c>
      <c r="BC169" s="1163">
        <v>0.33333333333333331</v>
      </c>
      <c r="BD169" s="1163">
        <v>0.33333333333333331</v>
      </c>
      <c r="BE169" s="1163">
        <v>0.33333333333333331</v>
      </c>
      <c r="BF169" s="1163">
        <v>0.33333333333333331</v>
      </c>
      <c r="BG169" s="1163">
        <v>0.33333333333333331</v>
      </c>
      <c r="BH169" s="1163">
        <v>0.33333333333333331</v>
      </c>
      <c r="BI169" s="1163">
        <v>0.33333333333333331</v>
      </c>
      <c r="BJ169" s="1163">
        <v>0.33333333333333331</v>
      </c>
      <c r="BK169" s="1223"/>
      <c r="BL169" s="1175"/>
      <c r="BM169" s="1175"/>
      <c r="BO169" s="1157" t="s">
        <v>1173</v>
      </c>
      <c r="BP169" s="1161" t="s">
        <v>2079</v>
      </c>
      <c r="BQ169" s="1158" t="s">
        <v>1174</v>
      </c>
      <c r="BR169" s="1163">
        <v>0.33333333333333331</v>
      </c>
      <c r="BS169" s="1163">
        <v>0.33333333333333331</v>
      </c>
      <c r="BT169" s="1163">
        <v>0.33333333333333331</v>
      </c>
      <c r="BU169" s="1163">
        <v>0.33333333333333331</v>
      </c>
      <c r="BV169" s="1163">
        <v>0.33333333333333331</v>
      </c>
      <c r="BW169" s="1163">
        <v>0.33333333333333331</v>
      </c>
      <c r="BX169" s="1163">
        <v>0.33333333333333331</v>
      </c>
      <c r="BY169" s="1163">
        <v>0.33333333333333331</v>
      </c>
      <c r="BZ169" s="1163">
        <v>0.33333333333333331</v>
      </c>
      <c r="CA169" s="1163">
        <v>0.33333333333333331</v>
      </c>
      <c r="CB169" s="1223"/>
      <c r="CC169" s="1175"/>
      <c r="CD169" s="1175"/>
      <c r="CE169" s="1376"/>
      <c r="CG169" s="1157" t="s">
        <v>931</v>
      </c>
      <c r="CH169" s="1161" t="s">
        <v>2079</v>
      </c>
      <c r="CI169" s="1158" t="s">
        <v>1174</v>
      </c>
      <c r="CJ169" s="1531">
        <f t="shared" si="135"/>
        <v>0.33333333333333331</v>
      </c>
      <c r="CK169" s="1531">
        <f t="shared" si="123"/>
        <v>0.33333333333333331</v>
      </c>
      <c r="CL169" s="1531">
        <f t="shared" si="124"/>
        <v>0.33333333333333331</v>
      </c>
      <c r="CM169" s="1531">
        <f t="shared" si="125"/>
        <v>0.33333333333333331</v>
      </c>
      <c r="CN169" s="1531">
        <f t="shared" si="126"/>
        <v>0.33333333333333331</v>
      </c>
      <c r="CO169" s="1531">
        <f t="shared" si="127"/>
        <v>0.33333333333333331</v>
      </c>
      <c r="CP169" s="1531">
        <f t="shared" si="128"/>
        <v>0.33333333333333331</v>
      </c>
      <c r="CQ169" s="1531">
        <f t="shared" si="129"/>
        <v>0.33333333333333331</v>
      </c>
      <c r="CR169" s="1531">
        <f t="shared" si="130"/>
        <v>0.33333333333333331</v>
      </c>
      <c r="CS169" s="1531">
        <f t="shared" si="131"/>
        <v>0.33333333333333331</v>
      </c>
      <c r="CT169" s="1556">
        <f t="shared" si="132"/>
        <v>0</v>
      </c>
      <c r="CU169" s="1537">
        <f t="shared" si="133"/>
        <v>0</v>
      </c>
      <c r="CV169" s="1537">
        <f t="shared" si="134"/>
        <v>0</v>
      </c>
      <c r="CX169" s="1157" t="s">
        <v>931</v>
      </c>
      <c r="CY169" s="1161" t="s">
        <v>2079</v>
      </c>
      <c r="CZ169" s="1158" t="s">
        <v>1174</v>
      </c>
      <c r="DA169" s="1642">
        <v>0</v>
      </c>
      <c r="DB169" s="1520"/>
      <c r="DC169" s="1520"/>
      <c r="DD169" s="1520"/>
      <c r="DE169" s="1520"/>
      <c r="DF169" s="1520"/>
      <c r="DG169" s="1520"/>
      <c r="DH169" s="1520"/>
      <c r="DI169" s="1520"/>
      <c r="DJ169" s="1520"/>
      <c r="DK169" s="1640"/>
      <c r="DL169" s="1626"/>
      <c r="DM169" s="1626"/>
    </row>
    <row r="170" spans="2:117">
      <c r="B170" s="1136" t="str">
        <f t="shared" si="140"/>
        <v>3.2.2</v>
      </c>
      <c r="C170" s="1158" t="str">
        <f t="shared" si="116"/>
        <v>発泡剤（断熱材等）</v>
      </c>
      <c r="D170" s="1146">
        <f t="shared" si="149"/>
        <v>0.5</v>
      </c>
      <c r="E170" s="1156">
        <f t="shared" si="149"/>
        <v>0</v>
      </c>
      <c r="G170" s="1156">
        <f t="shared" si="136"/>
        <v>0.33333333333333331</v>
      </c>
      <c r="H170" s="1156">
        <f t="shared" si="137"/>
        <v>0</v>
      </c>
      <c r="I170" s="1156"/>
      <c r="J170" s="1156"/>
      <c r="K170" s="1156">
        <f>IF(スコア!Q170=0,0,1)</f>
        <v>1</v>
      </c>
      <c r="L170" s="1156">
        <f>IF(スコア!S170=0,0,1)</f>
        <v>0</v>
      </c>
      <c r="M170" s="1156">
        <f t="shared" si="138"/>
        <v>0.33333333333333331</v>
      </c>
      <c r="N170" s="1156">
        <f t="shared" si="142"/>
        <v>0</v>
      </c>
      <c r="P170" s="1157" t="str">
        <f t="shared" si="118"/>
        <v>3.2.2</v>
      </c>
      <c r="Q170" s="1157" t="str">
        <f t="shared" si="119"/>
        <v>LR2 3.2</v>
      </c>
      <c r="R170" s="1158" t="str">
        <f t="shared" si="120"/>
        <v>発泡剤（断熱材等）</v>
      </c>
      <c r="S170" s="1585">
        <f t="shared" si="102"/>
        <v>0.33333333333333331</v>
      </c>
      <c r="T170" s="1585">
        <f t="shared" si="103"/>
        <v>0.33333333333333331</v>
      </c>
      <c r="U170" s="1585">
        <f t="shared" si="104"/>
        <v>0.33333333333333331</v>
      </c>
      <c r="V170" s="1585">
        <f t="shared" si="105"/>
        <v>0.33333333333333331</v>
      </c>
      <c r="W170" s="1585">
        <f t="shared" si="106"/>
        <v>0.33333333333333331</v>
      </c>
      <c r="X170" s="1585">
        <f t="shared" si="107"/>
        <v>0.33333333333333331</v>
      </c>
      <c r="Y170" s="1585">
        <f t="shared" si="108"/>
        <v>0.33333333333333331</v>
      </c>
      <c r="Z170" s="1587">
        <f t="shared" si="109"/>
        <v>0.33333333333333331</v>
      </c>
      <c r="AA170" s="1585">
        <f t="shared" si="110"/>
        <v>0.33333333333333331</v>
      </c>
      <c r="AB170" s="1585">
        <f t="shared" si="111"/>
        <v>0.33333333333333331</v>
      </c>
      <c r="AC170" s="1606">
        <f t="shared" si="112"/>
        <v>0</v>
      </c>
      <c r="AD170" s="1590">
        <f t="shared" si="113"/>
        <v>0</v>
      </c>
      <c r="AE170" s="1590">
        <f t="shared" si="114"/>
        <v>0</v>
      </c>
      <c r="AG170" s="1157" t="s">
        <v>1175</v>
      </c>
      <c r="AH170" s="1161" t="s">
        <v>2079</v>
      </c>
      <c r="AI170" s="1158" t="s">
        <v>2080</v>
      </c>
      <c r="AJ170" s="1163">
        <v>0.33333333333333331</v>
      </c>
      <c r="AK170" s="1163">
        <v>0.33333333333333331</v>
      </c>
      <c r="AL170" s="1163">
        <v>0.33333333333333331</v>
      </c>
      <c r="AM170" s="1163">
        <v>0.33333333333333331</v>
      </c>
      <c r="AN170" s="1163">
        <v>0.33333333333333331</v>
      </c>
      <c r="AO170" s="1163">
        <v>0.33333333333333331</v>
      </c>
      <c r="AP170" s="1163">
        <v>0.33333333333333331</v>
      </c>
      <c r="AQ170" s="1163">
        <v>0.33333333333333331</v>
      </c>
      <c r="AR170" s="1163">
        <v>0.33333333333333331</v>
      </c>
      <c r="AS170" s="1163">
        <v>0.33333333333333331</v>
      </c>
      <c r="AT170" s="1223">
        <v>0</v>
      </c>
      <c r="AU170" s="1175">
        <v>0</v>
      </c>
      <c r="AV170" s="1175">
        <v>0</v>
      </c>
      <c r="AX170" s="1157" t="s">
        <v>1175</v>
      </c>
      <c r="AY170" s="1161" t="s">
        <v>2079</v>
      </c>
      <c r="AZ170" s="1158" t="s">
        <v>2080</v>
      </c>
      <c r="BA170" s="1163">
        <v>0.33333333333333331</v>
      </c>
      <c r="BB170" s="1163">
        <v>0.33333333333333331</v>
      </c>
      <c r="BC170" s="1163">
        <v>0.33333333333333331</v>
      </c>
      <c r="BD170" s="1163">
        <v>0.33333333333333331</v>
      </c>
      <c r="BE170" s="1163">
        <v>0.33333333333333331</v>
      </c>
      <c r="BF170" s="1163">
        <v>0.33333333333333331</v>
      </c>
      <c r="BG170" s="1163">
        <v>0.33333333333333331</v>
      </c>
      <c r="BH170" s="1163">
        <v>0.33333333333333331</v>
      </c>
      <c r="BI170" s="1163">
        <v>0.33333333333333331</v>
      </c>
      <c r="BJ170" s="1163">
        <v>0.33333333333333331</v>
      </c>
      <c r="BK170" s="1223"/>
      <c r="BL170" s="1175"/>
      <c r="BM170" s="1175"/>
      <c r="BO170" s="1157" t="s">
        <v>1175</v>
      </c>
      <c r="BP170" s="1161" t="s">
        <v>2079</v>
      </c>
      <c r="BQ170" s="1158" t="s">
        <v>1176</v>
      </c>
      <c r="BR170" s="1163">
        <v>0.33333333333333331</v>
      </c>
      <c r="BS170" s="1163">
        <v>0.33333333333333331</v>
      </c>
      <c r="BT170" s="1163">
        <v>0.33333333333333331</v>
      </c>
      <c r="BU170" s="1163">
        <v>0.33333333333333331</v>
      </c>
      <c r="BV170" s="1163">
        <v>0.33333333333333331</v>
      </c>
      <c r="BW170" s="1163">
        <v>0.33333333333333331</v>
      </c>
      <c r="BX170" s="1163">
        <v>0.33333333333333331</v>
      </c>
      <c r="BY170" s="1163">
        <v>0.33333333333333331</v>
      </c>
      <c r="BZ170" s="1163">
        <v>0.33333333333333331</v>
      </c>
      <c r="CA170" s="1163">
        <v>0.33333333333333331</v>
      </c>
      <c r="CB170" s="1223"/>
      <c r="CC170" s="1175"/>
      <c r="CD170" s="1175"/>
      <c r="CE170" s="1376"/>
      <c r="CG170" s="1157" t="s">
        <v>932</v>
      </c>
      <c r="CH170" s="1161" t="s">
        <v>2079</v>
      </c>
      <c r="CI170" s="1158" t="s">
        <v>1176</v>
      </c>
      <c r="CJ170" s="1531">
        <f t="shared" si="135"/>
        <v>0.33333333333333331</v>
      </c>
      <c r="CK170" s="1531">
        <f t="shared" si="123"/>
        <v>0.33333333333333331</v>
      </c>
      <c r="CL170" s="1531">
        <f t="shared" si="124"/>
        <v>0.33333333333333331</v>
      </c>
      <c r="CM170" s="1531">
        <f t="shared" si="125"/>
        <v>0.33333333333333331</v>
      </c>
      <c r="CN170" s="1531">
        <f t="shared" si="126"/>
        <v>0.33333333333333331</v>
      </c>
      <c r="CO170" s="1531">
        <f t="shared" si="127"/>
        <v>0.33333333333333331</v>
      </c>
      <c r="CP170" s="1531">
        <f t="shared" si="128"/>
        <v>0.33333333333333331</v>
      </c>
      <c r="CQ170" s="1531">
        <f t="shared" si="129"/>
        <v>0.33333333333333331</v>
      </c>
      <c r="CR170" s="1531">
        <f t="shared" si="130"/>
        <v>0.33333333333333331</v>
      </c>
      <c r="CS170" s="1531">
        <f t="shared" si="131"/>
        <v>0.33333333333333331</v>
      </c>
      <c r="CT170" s="1556">
        <f t="shared" si="132"/>
        <v>0</v>
      </c>
      <c r="CU170" s="1537">
        <f t="shared" si="133"/>
        <v>0</v>
      </c>
      <c r="CV170" s="1537">
        <f t="shared" si="134"/>
        <v>0</v>
      </c>
      <c r="CX170" s="1157" t="s">
        <v>932</v>
      </c>
      <c r="CY170" s="1161" t="s">
        <v>2079</v>
      </c>
      <c r="CZ170" s="1158" t="s">
        <v>1176</v>
      </c>
      <c r="DA170" s="1642">
        <v>0</v>
      </c>
      <c r="DB170" s="1520"/>
      <c r="DC170" s="1520"/>
      <c r="DD170" s="1520"/>
      <c r="DE170" s="1520"/>
      <c r="DF170" s="1520"/>
      <c r="DG170" s="1520"/>
      <c r="DH170" s="1520"/>
      <c r="DI170" s="1520"/>
      <c r="DJ170" s="1520"/>
      <c r="DK170" s="1640"/>
      <c r="DL170" s="1626"/>
      <c r="DM170" s="1626"/>
    </row>
    <row r="171" spans="2:117">
      <c r="B171" s="1136" t="str">
        <f t="shared" si="140"/>
        <v>3.2.3</v>
      </c>
      <c r="C171" s="1158" t="str">
        <f t="shared" si="116"/>
        <v>冷媒</v>
      </c>
      <c r="D171" s="1146">
        <f>IF(I$168&gt;0,G171/I$168,0)</f>
        <v>0.5</v>
      </c>
      <c r="E171" s="1156">
        <f t="shared" si="149"/>
        <v>0</v>
      </c>
      <c r="G171" s="1156">
        <f t="shared" si="136"/>
        <v>0.33333333333333331</v>
      </c>
      <c r="H171" s="1156">
        <f t="shared" si="137"/>
        <v>0</v>
      </c>
      <c r="I171" s="1156"/>
      <c r="J171" s="1156"/>
      <c r="K171" s="1156">
        <f>IF(スコア!Q171=0,0,1)</f>
        <v>1</v>
      </c>
      <c r="L171" s="1156">
        <f>IF(スコア!S171=0,0,1)</f>
        <v>0</v>
      </c>
      <c r="M171" s="1156">
        <f t="shared" si="138"/>
        <v>0.33333333333333331</v>
      </c>
      <c r="N171" s="1156">
        <f t="shared" si="142"/>
        <v>0</v>
      </c>
      <c r="P171" s="1157" t="str">
        <f t="shared" si="118"/>
        <v>3.2.3</v>
      </c>
      <c r="Q171" s="1157" t="str">
        <f t="shared" si="119"/>
        <v>LR2 3.2</v>
      </c>
      <c r="R171" s="1158" t="str">
        <f t="shared" si="120"/>
        <v>冷媒</v>
      </c>
      <c r="S171" s="1585">
        <f t="shared" si="102"/>
        <v>0.33333333333333331</v>
      </c>
      <c r="T171" s="1585">
        <f t="shared" si="103"/>
        <v>0.33333333333333331</v>
      </c>
      <c r="U171" s="1585">
        <f t="shared" si="104"/>
        <v>0.33333333333333331</v>
      </c>
      <c r="V171" s="1585">
        <f t="shared" si="105"/>
        <v>0.33333333333333331</v>
      </c>
      <c r="W171" s="1585">
        <f t="shared" si="106"/>
        <v>0.33333333333333331</v>
      </c>
      <c r="X171" s="1585">
        <f t="shared" si="107"/>
        <v>0.33333333333333331</v>
      </c>
      <c r="Y171" s="1585">
        <f t="shared" si="108"/>
        <v>0.33333333333333331</v>
      </c>
      <c r="Z171" s="1587">
        <f t="shared" si="109"/>
        <v>0.33333333333333331</v>
      </c>
      <c r="AA171" s="1585">
        <f t="shared" si="110"/>
        <v>0.33333333333333331</v>
      </c>
      <c r="AB171" s="1585">
        <f t="shared" si="111"/>
        <v>0.33333333333333331</v>
      </c>
      <c r="AC171" s="1606">
        <f t="shared" si="112"/>
        <v>0</v>
      </c>
      <c r="AD171" s="1590">
        <f t="shared" si="113"/>
        <v>0</v>
      </c>
      <c r="AE171" s="1590">
        <f t="shared" si="114"/>
        <v>0</v>
      </c>
      <c r="AG171" s="1157" t="s">
        <v>1388</v>
      </c>
      <c r="AH171" s="1161" t="s">
        <v>2079</v>
      </c>
      <c r="AI171" s="1158" t="s">
        <v>2081</v>
      </c>
      <c r="AJ171" s="1163">
        <v>0.33333333333333331</v>
      </c>
      <c r="AK171" s="1163">
        <v>0.33333333333333331</v>
      </c>
      <c r="AL171" s="1163">
        <v>0.33333333333333331</v>
      </c>
      <c r="AM171" s="1163">
        <v>0.33333333333333331</v>
      </c>
      <c r="AN171" s="1163">
        <v>0.33333333333333331</v>
      </c>
      <c r="AO171" s="1163">
        <v>0.33333333333333331</v>
      </c>
      <c r="AP171" s="1163">
        <v>0.33333333333333331</v>
      </c>
      <c r="AQ171" s="1163">
        <v>0.33333333333333331</v>
      </c>
      <c r="AR171" s="1163">
        <v>0.33333333333333331</v>
      </c>
      <c r="AS171" s="1163">
        <v>0.33333333333333331</v>
      </c>
      <c r="AT171" s="1223">
        <v>0</v>
      </c>
      <c r="AU171" s="1175">
        <v>0</v>
      </c>
      <c r="AV171" s="1175">
        <v>0</v>
      </c>
      <c r="AX171" s="1157" t="s">
        <v>1388</v>
      </c>
      <c r="AY171" s="1161" t="s">
        <v>2079</v>
      </c>
      <c r="AZ171" s="1158" t="s">
        <v>2081</v>
      </c>
      <c r="BA171" s="1163">
        <v>0.33333333333333331</v>
      </c>
      <c r="BB171" s="1163">
        <v>0.33333333333333331</v>
      </c>
      <c r="BC171" s="1163">
        <v>0.33333333333333331</v>
      </c>
      <c r="BD171" s="1163">
        <v>0.33333333333333331</v>
      </c>
      <c r="BE171" s="1163">
        <v>0.33333333333333331</v>
      </c>
      <c r="BF171" s="1163">
        <v>0.33333333333333331</v>
      </c>
      <c r="BG171" s="1163">
        <v>0.33333333333333331</v>
      </c>
      <c r="BH171" s="1163">
        <v>0.33333333333333331</v>
      </c>
      <c r="BI171" s="1163">
        <v>0.33333333333333331</v>
      </c>
      <c r="BJ171" s="1163">
        <v>0.33333333333333331</v>
      </c>
      <c r="BK171" s="1223"/>
      <c r="BL171" s="1175"/>
      <c r="BM171" s="1175"/>
      <c r="BO171" s="1157" t="s">
        <v>1388</v>
      </c>
      <c r="BP171" s="1161" t="s">
        <v>2079</v>
      </c>
      <c r="BQ171" s="1158" t="s">
        <v>2081</v>
      </c>
      <c r="BR171" s="1163">
        <v>0.33333333333333331</v>
      </c>
      <c r="BS171" s="1163">
        <v>0.33333333333333331</v>
      </c>
      <c r="BT171" s="1163">
        <v>0.33333333333333331</v>
      </c>
      <c r="BU171" s="1163">
        <v>0.33333333333333331</v>
      </c>
      <c r="BV171" s="1163">
        <v>0.33333333333333331</v>
      </c>
      <c r="BW171" s="1163">
        <v>0.33333333333333331</v>
      </c>
      <c r="BX171" s="1163">
        <v>0.33333333333333331</v>
      </c>
      <c r="BY171" s="1163">
        <v>0.33333333333333331</v>
      </c>
      <c r="BZ171" s="1163">
        <v>0.33333333333333331</v>
      </c>
      <c r="CA171" s="1163">
        <v>0.33333333333333331</v>
      </c>
      <c r="CB171" s="1223"/>
      <c r="CC171" s="1175"/>
      <c r="CD171" s="1175"/>
      <c r="CE171" s="1376"/>
      <c r="CG171" s="1157" t="s">
        <v>933</v>
      </c>
      <c r="CH171" s="1161" t="s">
        <v>2079</v>
      </c>
      <c r="CI171" s="1158" t="s">
        <v>2081</v>
      </c>
      <c r="CJ171" s="1531">
        <f t="shared" si="135"/>
        <v>0.33333333333333331</v>
      </c>
      <c r="CK171" s="1531">
        <f t="shared" si="123"/>
        <v>0.33333333333333331</v>
      </c>
      <c r="CL171" s="1531">
        <f t="shared" si="124"/>
        <v>0.33333333333333331</v>
      </c>
      <c r="CM171" s="1531">
        <f t="shared" si="125"/>
        <v>0.33333333333333331</v>
      </c>
      <c r="CN171" s="1531">
        <f t="shared" si="126"/>
        <v>0.33333333333333331</v>
      </c>
      <c r="CO171" s="1531">
        <f t="shared" si="127"/>
        <v>0.33333333333333331</v>
      </c>
      <c r="CP171" s="1531">
        <f t="shared" si="128"/>
        <v>0.33333333333333331</v>
      </c>
      <c r="CQ171" s="1531">
        <f t="shared" si="129"/>
        <v>0.33333333333333331</v>
      </c>
      <c r="CR171" s="1531">
        <f t="shared" si="130"/>
        <v>0.33333333333333331</v>
      </c>
      <c r="CS171" s="1531">
        <f t="shared" si="131"/>
        <v>0.33333333333333331</v>
      </c>
      <c r="CT171" s="1556">
        <f t="shared" si="132"/>
        <v>0</v>
      </c>
      <c r="CU171" s="1537">
        <f t="shared" si="133"/>
        <v>0</v>
      </c>
      <c r="CV171" s="1537">
        <f t="shared" si="134"/>
        <v>0</v>
      </c>
      <c r="CX171" s="1157" t="s">
        <v>933</v>
      </c>
      <c r="CY171" s="1161" t="s">
        <v>2079</v>
      </c>
      <c r="CZ171" s="1158" t="s">
        <v>2081</v>
      </c>
      <c r="DA171" s="1642">
        <v>1</v>
      </c>
      <c r="DB171" s="1520"/>
      <c r="DC171" s="1520"/>
      <c r="DD171" s="1520"/>
      <c r="DE171" s="1520"/>
      <c r="DF171" s="1520"/>
      <c r="DG171" s="1520"/>
      <c r="DH171" s="1520"/>
      <c r="DI171" s="1520"/>
      <c r="DJ171" s="1520"/>
      <c r="DK171" s="1640"/>
      <c r="DL171" s="1626"/>
      <c r="DM171" s="1626"/>
    </row>
    <row r="172" spans="2:117">
      <c r="B172" s="1136" t="str">
        <f t="shared" si="140"/>
        <v>LR3</v>
      </c>
      <c r="C172" s="1139" t="str">
        <f t="shared" si="116"/>
        <v>敷地外環境</v>
      </c>
      <c r="D172" s="1211">
        <f>IF(I$121=0,0,G172/I$121)</f>
        <v>0.3</v>
      </c>
      <c r="E172" s="1138">
        <f>IF(J$121=0,0,H172/J$121)</f>
        <v>0</v>
      </c>
      <c r="G172" s="1138">
        <f t="shared" si="136"/>
        <v>0.3</v>
      </c>
      <c r="H172" s="1138">
        <f t="shared" si="137"/>
        <v>0</v>
      </c>
      <c r="I172" s="1138">
        <f>G173+G174+G183</f>
        <v>1</v>
      </c>
      <c r="J172" s="1138">
        <f>H173+H174+H183</f>
        <v>0</v>
      </c>
      <c r="K172" s="1138">
        <f>IF(スコア!U172=0,0,1)</f>
        <v>1</v>
      </c>
      <c r="L172" s="1138">
        <f>IF(スコア!S172=0,0,1)</f>
        <v>0</v>
      </c>
      <c r="M172" s="1138">
        <f t="shared" si="138"/>
        <v>0.3</v>
      </c>
      <c r="N172" s="1138">
        <f t="shared" si="142"/>
        <v>0</v>
      </c>
      <c r="P172" s="1216" t="str">
        <f t="shared" si="118"/>
        <v>LR3</v>
      </c>
      <c r="Q172" s="1216" t="str">
        <f t="shared" si="119"/>
        <v>LR</v>
      </c>
      <c r="R172" s="1139" t="str">
        <f t="shared" si="120"/>
        <v>敷地外環境</v>
      </c>
      <c r="S172" s="1579">
        <f t="shared" si="102"/>
        <v>0.3</v>
      </c>
      <c r="T172" s="1579">
        <f t="shared" si="103"/>
        <v>0.3</v>
      </c>
      <c r="U172" s="1579">
        <f t="shared" si="104"/>
        <v>0.3</v>
      </c>
      <c r="V172" s="1579">
        <f t="shared" si="105"/>
        <v>0.3</v>
      </c>
      <c r="W172" s="1579">
        <f t="shared" si="106"/>
        <v>0.3</v>
      </c>
      <c r="X172" s="1579">
        <f t="shared" si="107"/>
        <v>0.3</v>
      </c>
      <c r="Y172" s="1579">
        <f t="shared" si="108"/>
        <v>0.3</v>
      </c>
      <c r="Z172" s="1579">
        <f t="shared" si="109"/>
        <v>0.3</v>
      </c>
      <c r="AA172" s="1579">
        <f t="shared" si="110"/>
        <v>0.3</v>
      </c>
      <c r="AB172" s="1579">
        <f t="shared" si="111"/>
        <v>0.3</v>
      </c>
      <c r="AC172" s="1602">
        <f t="shared" si="112"/>
        <v>0</v>
      </c>
      <c r="AD172" s="1603">
        <f t="shared" si="113"/>
        <v>0</v>
      </c>
      <c r="AE172" s="1603">
        <f t="shared" si="114"/>
        <v>0</v>
      </c>
      <c r="AG172" s="1216" t="s">
        <v>1389</v>
      </c>
      <c r="AH172" s="1217" t="s">
        <v>1390</v>
      </c>
      <c r="AI172" s="1139" t="s">
        <v>1391</v>
      </c>
      <c r="AJ172" s="1142">
        <v>0.3</v>
      </c>
      <c r="AK172" s="1142">
        <v>0.3</v>
      </c>
      <c r="AL172" s="1142">
        <v>0.3</v>
      </c>
      <c r="AM172" s="1142">
        <v>0.3</v>
      </c>
      <c r="AN172" s="1142">
        <v>0.3</v>
      </c>
      <c r="AO172" s="1142">
        <v>0.3</v>
      </c>
      <c r="AP172" s="1142">
        <v>0.3</v>
      </c>
      <c r="AQ172" s="1142">
        <v>0.3</v>
      </c>
      <c r="AR172" s="1142">
        <v>0.3</v>
      </c>
      <c r="AS172" s="1142">
        <v>0.3</v>
      </c>
      <c r="AT172" s="1219">
        <v>0</v>
      </c>
      <c r="AU172" s="1220">
        <v>0</v>
      </c>
      <c r="AV172" s="1220">
        <v>0</v>
      </c>
      <c r="AX172" s="1216" t="s">
        <v>1389</v>
      </c>
      <c r="AY172" s="1217" t="s">
        <v>1390</v>
      </c>
      <c r="AZ172" s="1139" t="s">
        <v>1391</v>
      </c>
      <c r="BA172" s="1142">
        <v>0.3</v>
      </c>
      <c r="BB172" s="1142">
        <v>0.3</v>
      </c>
      <c r="BC172" s="1142">
        <v>0.3</v>
      </c>
      <c r="BD172" s="1142">
        <v>0.3</v>
      </c>
      <c r="BE172" s="1142">
        <v>0.3</v>
      </c>
      <c r="BF172" s="1142">
        <v>0.3</v>
      </c>
      <c r="BG172" s="1142">
        <v>0.3</v>
      </c>
      <c r="BH172" s="1142">
        <v>0.3</v>
      </c>
      <c r="BI172" s="1142">
        <v>0.3</v>
      </c>
      <c r="BJ172" s="1142">
        <v>0.3</v>
      </c>
      <c r="BK172" s="1219"/>
      <c r="BL172" s="1220"/>
      <c r="BM172" s="1220"/>
      <c r="BO172" s="1216" t="s">
        <v>1389</v>
      </c>
      <c r="BP172" s="1217" t="s">
        <v>1390</v>
      </c>
      <c r="BQ172" s="1139" t="s">
        <v>1391</v>
      </c>
      <c r="BR172" s="1142">
        <v>0.3</v>
      </c>
      <c r="BS172" s="1142">
        <v>0.3</v>
      </c>
      <c r="BT172" s="1142">
        <v>0.3</v>
      </c>
      <c r="BU172" s="1142">
        <v>0.3</v>
      </c>
      <c r="BV172" s="1142">
        <v>0.3</v>
      </c>
      <c r="BW172" s="1142">
        <v>0.3</v>
      </c>
      <c r="BX172" s="1142">
        <v>0.3</v>
      </c>
      <c r="BY172" s="1142">
        <v>0.3</v>
      </c>
      <c r="BZ172" s="1142">
        <v>0.3</v>
      </c>
      <c r="CA172" s="1142">
        <v>0.3</v>
      </c>
      <c r="CB172" s="1219"/>
      <c r="CC172" s="1220"/>
      <c r="CD172" s="1220"/>
      <c r="CE172" s="1386"/>
      <c r="CG172" s="1216" t="s">
        <v>1389</v>
      </c>
      <c r="CH172" s="1217" t="s">
        <v>1160</v>
      </c>
      <c r="CI172" s="1139" t="s">
        <v>1391</v>
      </c>
      <c r="CJ172" s="1526">
        <f>BR172</f>
        <v>0.3</v>
      </c>
      <c r="CK172" s="1526">
        <f t="shared" si="123"/>
        <v>0.3</v>
      </c>
      <c r="CL172" s="1526">
        <f t="shared" si="124"/>
        <v>0.3</v>
      </c>
      <c r="CM172" s="1526">
        <f t="shared" si="125"/>
        <v>0.3</v>
      </c>
      <c r="CN172" s="1526">
        <f t="shared" si="126"/>
        <v>0.3</v>
      </c>
      <c r="CO172" s="1526">
        <f t="shared" si="127"/>
        <v>0.3</v>
      </c>
      <c r="CP172" s="1526">
        <f t="shared" si="128"/>
        <v>0.3</v>
      </c>
      <c r="CQ172" s="1526">
        <f t="shared" si="129"/>
        <v>0.3</v>
      </c>
      <c r="CR172" s="1526">
        <f t="shared" si="130"/>
        <v>0.3</v>
      </c>
      <c r="CS172" s="1526">
        <f t="shared" si="131"/>
        <v>0.3</v>
      </c>
      <c r="CT172" s="1552">
        <f t="shared" si="132"/>
        <v>0</v>
      </c>
      <c r="CU172" s="1553">
        <f t="shared" si="133"/>
        <v>0</v>
      </c>
      <c r="CV172" s="1553">
        <f t="shared" si="134"/>
        <v>0</v>
      </c>
      <c r="CX172" s="1216" t="s">
        <v>1389</v>
      </c>
      <c r="CY172" s="1217" t="s">
        <v>1160</v>
      </c>
      <c r="CZ172" s="1139" t="s">
        <v>1391</v>
      </c>
      <c r="DA172" s="1641">
        <v>0.1</v>
      </c>
      <c r="DB172" s="1516"/>
      <c r="DC172" s="1516"/>
      <c r="DD172" s="1516"/>
      <c r="DE172" s="1516"/>
      <c r="DF172" s="1516"/>
      <c r="DG172" s="1516"/>
      <c r="DH172" s="1516"/>
      <c r="DI172" s="1516"/>
      <c r="DJ172" s="1516"/>
      <c r="DK172" s="1524"/>
      <c r="DL172" s="1525"/>
      <c r="DM172" s="1525"/>
    </row>
    <row r="173" spans="2:117">
      <c r="B173" s="1141">
        <f t="shared" si="140"/>
        <v>1</v>
      </c>
      <c r="C173" s="1148" t="str">
        <f t="shared" si="116"/>
        <v>地球温暖化への配慮</v>
      </c>
      <c r="D173" s="1144">
        <f>IF(I$172=0,0,G173/I$172)</f>
        <v>0.33333333333333331</v>
      </c>
      <c r="E173" s="1144">
        <f>IF(J$172=0,0,H173/J$172)</f>
        <v>0</v>
      </c>
      <c r="G173" s="1145">
        <f t="shared" si="136"/>
        <v>0.33333333333333331</v>
      </c>
      <c r="H173" s="1145">
        <f t="shared" si="137"/>
        <v>0</v>
      </c>
      <c r="I173" s="1145"/>
      <c r="J173" s="1145"/>
      <c r="K173" s="1145">
        <f>IF(スコア!Q173=0,0,1)</f>
        <v>1</v>
      </c>
      <c r="L173" s="1145">
        <f>IF(スコア!S173=0,0,1)</f>
        <v>0</v>
      </c>
      <c r="M173" s="1145">
        <f t="shared" si="138"/>
        <v>0.33333333333333331</v>
      </c>
      <c r="N173" s="1145">
        <f t="shared" si="142"/>
        <v>0</v>
      </c>
      <c r="P173" s="1225">
        <f t="shared" si="118"/>
        <v>1</v>
      </c>
      <c r="Q173" s="1151" t="str">
        <f t="shared" si="119"/>
        <v>LR3</v>
      </c>
      <c r="R173" s="1148" t="str">
        <f t="shared" si="120"/>
        <v>地球温暖化への配慮</v>
      </c>
      <c r="S173" s="1582">
        <f t="shared" si="102"/>
        <v>0.33333333333333331</v>
      </c>
      <c r="T173" s="1582">
        <f t="shared" si="103"/>
        <v>0.33333333333333331</v>
      </c>
      <c r="U173" s="1582">
        <f t="shared" si="104"/>
        <v>0.33333333333333331</v>
      </c>
      <c r="V173" s="1582">
        <f t="shared" si="105"/>
        <v>0.33333333333333331</v>
      </c>
      <c r="W173" s="1582">
        <f t="shared" si="106"/>
        <v>0.33333333333333331</v>
      </c>
      <c r="X173" s="1582">
        <f t="shared" si="107"/>
        <v>0.33333333333333331</v>
      </c>
      <c r="Y173" s="1582">
        <f t="shared" si="108"/>
        <v>0.33333333333333331</v>
      </c>
      <c r="Z173" s="1582">
        <f t="shared" si="109"/>
        <v>0.33333333333333331</v>
      </c>
      <c r="AA173" s="1582">
        <f t="shared" si="110"/>
        <v>0.33333333333333331</v>
      </c>
      <c r="AB173" s="1582">
        <f t="shared" si="111"/>
        <v>0.33333333333333331</v>
      </c>
      <c r="AC173" s="1584">
        <f t="shared" si="112"/>
        <v>0</v>
      </c>
      <c r="AD173" s="1582">
        <f t="shared" si="113"/>
        <v>0</v>
      </c>
      <c r="AE173" s="1582">
        <f t="shared" si="114"/>
        <v>0</v>
      </c>
      <c r="AG173" s="1147">
        <v>1</v>
      </c>
      <c r="AH173" s="1151" t="s">
        <v>1303</v>
      </c>
      <c r="AI173" s="1148" t="s">
        <v>552</v>
      </c>
      <c r="AJ173" s="1152">
        <v>0.33333333333333331</v>
      </c>
      <c r="AK173" s="1152">
        <v>0.33333333333333331</v>
      </c>
      <c r="AL173" s="1152">
        <v>0.33333333333333331</v>
      </c>
      <c r="AM173" s="1152">
        <v>0.33333333333333331</v>
      </c>
      <c r="AN173" s="1152">
        <v>0.33333333333333331</v>
      </c>
      <c r="AO173" s="1152">
        <v>0.33333333333333331</v>
      </c>
      <c r="AP173" s="1152">
        <v>0.33333333333333331</v>
      </c>
      <c r="AQ173" s="1152">
        <v>0.33333333333333331</v>
      </c>
      <c r="AR173" s="1152">
        <v>0.33333333333333331</v>
      </c>
      <c r="AS173" s="1152">
        <v>0.33333333333333331</v>
      </c>
      <c r="AT173" s="1153">
        <v>0</v>
      </c>
      <c r="AU173" s="1152">
        <v>0</v>
      </c>
      <c r="AV173" s="1152">
        <v>0</v>
      </c>
      <c r="AX173" s="1147">
        <v>1</v>
      </c>
      <c r="AY173" s="1151" t="s">
        <v>1303</v>
      </c>
      <c r="AZ173" s="1148" t="s">
        <v>552</v>
      </c>
      <c r="BA173" s="1152">
        <f t="shared" ref="BA173:BJ174" si="150">1/3</f>
        <v>0.33333333333333331</v>
      </c>
      <c r="BB173" s="1152">
        <f t="shared" si="150"/>
        <v>0.33333333333333331</v>
      </c>
      <c r="BC173" s="1152">
        <f t="shared" si="150"/>
        <v>0.33333333333333331</v>
      </c>
      <c r="BD173" s="1152">
        <f t="shared" si="150"/>
        <v>0.33333333333333331</v>
      </c>
      <c r="BE173" s="1152">
        <f t="shared" si="150"/>
        <v>0.33333333333333331</v>
      </c>
      <c r="BF173" s="1152">
        <f t="shared" si="150"/>
        <v>0.33333333333333331</v>
      </c>
      <c r="BG173" s="1152">
        <f t="shared" si="150"/>
        <v>0.33333333333333331</v>
      </c>
      <c r="BH173" s="1152">
        <f t="shared" si="150"/>
        <v>0.33333333333333331</v>
      </c>
      <c r="BI173" s="1152">
        <f t="shared" si="150"/>
        <v>0.33333333333333331</v>
      </c>
      <c r="BJ173" s="1152">
        <f t="shared" si="150"/>
        <v>0.33333333333333331</v>
      </c>
      <c r="BK173" s="1153"/>
      <c r="BL173" s="1152"/>
      <c r="BM173" s="1152"/>
      <c r="BO173" s="1147">
        <v>1</v>
      </c>
      <c r="BP173" s="1151" t="s">
        <v>1303</v>
      </c>
      <c r="BQ173" s="1148" t="s">
        <v>552</v>
      </c>
      <c r="BR173" s="1152">
        <f t="shared" ref="BR173:CA174" si="151">1/3</f>
        <v>0.33333333333333331</v>
      </c>
      <c r="BS173" s="1152">
        <f t="shared" si="151"/>
        <v>0.33333333333333331</v>
      </c>
      <c r="BT173" s="1152">
        <f t="shared" si="151"/>
        <v>0.33333333333333331</v>
      </c>
      <c r="BU173" s="1152">
        <f t="shared" si="151"/>
        <v>0.33333333333333331</v>
      </c>
      <c r="BV173" s="1152">
        <f t="shared" si="151"/>
        <v>0.33333333333333331</v>
      </c>
      <c r="BW173" s="1152">
        <f t="shared" si="151"/>
        <v>0.33333333333333331</v>
      </c>
      <c r="BX173" s="1152">
        <f t="shared" si="151"/>
        <v>0.33333333333333331</v>
      </c>
      <c r="BY173" s="1152">
        <f t="shared" si="151"/>
        <v>0.33333333333333331</v>
      </c>
      <c r="BZ173" s="1152">
        <f t="shared" si="151"/>
        <v>0.33333333333333331</v>
      </c>
      <c r="CA173" s="1152">
        <f t="shared" si="151"/>
        <v>0.33333333333333331</v>
      </c>
      <c r="CB173" s="1153"/>
      <c r="CC173" s="1152"/>
      <c r="CD173" s="1152"/>
      <c r="CE173" s="1381"/>
      <c r="CG173" s="1147">
        <v>1</v>
      </c>
      <c r="CH173" s="1151" t="s">
        <v>1303</v>
      </c>
      <c r="CI173" s="1148" t="s">
        <v>552</v>
      </c>
      <c r="CJ173" s="1528">
        <f t="shared" si="135"/>
        <v>0.33333333333333331</v>
      </c>
      <c r="CK173" s="1528">
        <f t="shared" si="123"/>
        <v>0.33333333333333331</v>
      </c>
      <c r="CL173" s="1528">
        <f t="shared" si="124"/>
        <v>0.33333333333333331</v>
      </c>
      <c r="CM173" s="1528">
        <f t="shared" si="125"/>
        <v>0.33333333333333331</v>
      </c>
      <c r="CN173" s="1528">
        <f t="shared" si="126"/>
        <v>0.33333333333333331</v>
      </c>
      <c r="CO173" s="1528">
        <f t="shared" si="127"/>
        <v>0.33333333333333331</v>
      </c>
      <c r="CP173" s="1528">
        <f t="shared" si="128"/>
        <v>0.33333333333333331</v>
      </c>
      <c r="CQ173" s="1528">
        <f t="shared" si="129"/>
        <v>0.33333333333333331</v>
      </c>
      <c r="CR173" s="1528">
        <f t="shared" si="130"/>
        <v>0.33333333333333331</v>
      </c>
      <c r="CS173" s="1528">
        <f t="shared" si="131"/>
        <v>0.33333333333333331</v>
      </c>
      <c r="CT173" s="1530">
        <f t="shared" si="132"/>
        <v>0</v>
      </c>
      <c r="CU173" s="1528">
        <f t="shared" si="133"/>
        <v>0</v>
      </c>
      <c r="CV173" s="1528">
        <f t="shared" si="134"/>
        <v>0</v>
      </c>
      <c r="CX173" s="1147">
        <v>1</v>
      </c>
      <c r="CY173" s="1151" t="s">
        <v>1303</v>
      </c>
      <c r="CZ173" s="1148" t="s">
        <v>552</v>
      </c>
      <c r="DA173" s="1649">
        <v>0</v>
      </c>
      <c r="DB173" s="1518"/>
      <c r="DC173" s="1518"/>
      <c r="DD173" s="1518"/>
      <c r="DE173" s="1518"/>
      <c r="DF173" s="1518"/>
      <c r="DG173" s="1518"/>
      <c r="DH173" s="1518"/>
      <c r="DI173" s="1518"/>
      <c r="DJ173" s="1518"/>
      <c r="DK173" s="1519"/>
      <c r="DL173" s="1518"/>
      <c r="DM173" s="1518"/>
    </row>
    <row r="174" spans="2:117">
      <c r="B174" s="1136">
        <f t="shared" si="140"/>
        <v>2</v>
      </c>
      <c r="C174" s="1148" t="str">
        <f t="shared" si="116"/>
        <v>地域環境への配慮</v>
      </c>
      <c r="D174" s="1144">
        <f>IF(I$172=0,0,G174/I$172)</f>
        <v>0.33333333333333331</v>
      </c>
      <c r="E174" s="1144">
        <f>IF(J$172=0,0,H174/J$172)</f>
        <v>0</v>
      </c>
      <c r="G174" s="1145">
        <f t="shared" si="136"/>
        <v>0.33333333333333331</v>
      </c>
      <c r="H174" s="1145">
        <f t="shared" si="137"/>
        <v>0</v>
      </c>
      <c r="I174" s="1145">
        <f>G175+G176+G177+G182</f>
        <v>1</v>
      </c>
      <c r="J174" s="1145">
        <f>H175+H176+H177+H182</f>
        <v>0</v>
      </c>
      <c r="K174" s="1145">
        <f>IF(スコア!Q174=0,0,1)</f>
        <v>1</v>
      </c>
      <c r="L174" s="1145">
        <f>IF(スコア!S174=0,0,1)</f>
        <v>0</v>
      </c>
      <c r="M174" s="1145">
        <f t="shared" si="138"/>
        <v>0.33333333333333331</v>
      </c>
      <c r="N174" s="1145">
        <f t="shared" si="142"/>
        <v>0</v>
      </c>
      <c r="P174" s="1225">
        <f t="shared" si="118"/>
        <v>2</v>
      </c>
      <c r="Q174" s="1151" t="str">
        <f t="shared" si="119"/>
        <v>LR3</v>
      </c>
      <c r="R174" s="1148" t="str">
        <f t="shared" si="120"/>
        <v>地域環境への配慮</v>
      </c>
      <c r="S174" s="1582">
        <f t="shared" si="102"/>
        <v>0.33333333333333331</v>
      </c>
      <c r="T174" s="1582">
        <f t="shared" si="103"/>
        <v>0.33333333333333331</v>
      </c>
      <c r="U174" s="1582">
        <f t="shared" si="104"/>
        <v>0.33333333333333331</v>
      </c>
      <c r="V174" s="1582">
        <f t="shared" si="105"/>
        <v>0.33333333333333331</v>
      </c>
      <c r="W174" s="1582">
        <f t="shared" si="106"/>
        <v>0.33333333333333331</v>
      </c>
      <c r="X174" s="1582">
        <f t="shared" si="107"/>
        <v>0.33333333333333331</v>
      </c>
      <c r="Y174" s="1582">
        <f t="shared" si="108"/>
        <v>0.33333333333333331</v>
      </c>
      <c r="Z174" s="1582">
        <f t="shared" si="109"/>
        <v>0.33333333333333331</v>
      </c>
      <c r="AA174" s="1582">
        <f t="shared" si="110"/>
        <v>0.33333333333333331</v>
      </c>
      <c r="AB174" s="1582">
        <f t="shared" si="111"/>
        <v>0.33333333333333331</v>
      </c>
      <c r="AC174" s="1584">
        <f t="shared" si="112"/>
        <v>0</v>
      </c>
      <c r="AD174" s="1582">
        <f t="shared" si="113"/>
        <v>0</v>
      </c>
      <c r="AE174" s="1582">
        <f t="shared" si="114"/>
        <v>0</v>
      </c>
      <c r="AG174" s="1147">
        <v>2</v>
      </c>
      <c r="AH174" s="1151" t="s">
        <v>1303</v>
      </c>
      <c r="AI174" s="1148" t="s">
        <v>553</v>
      </c>
      <c r="AJ174" s="1152">
        <v>0.33333333333333331</v>
      </c>
      <c r="AK174" s="1152">
        <v>0.33333333333333331</v>
      </c>
      <c r="AL174" s="1152">
        <v>0.33333333333333331</v>
      </c>
      <c r="AM174" s="1152">
        <v>0.33333333333333331</v>
      </c>
      <c r="AN174" s="1152">
        <v>0.33333333333333331</v>
      </c>
      <c r="AO174" s="1152">
        <v>0.33333333333333331</v>
      </c>
      <c r="AP174" s="1152">
        <v>0.33333333333333331</v>
      </c>
      <c r="AQ174" s="1152">
        <v>0.33333333333333331</v>
      </c>
      <c r="AR174" s="1152">
        <v>0.33333333333333331</v>
      </c>
      <c r="AS174" s="1152">
        <v>0.33333333333333331</v>
      </c>
      <c r="AT174" s="1153">
        <v>0</v>
      </c>
      <c r="AU174" s="1152">
        <v>0</v>
      </c>
      <c r="AV174" s="1152">
        <v>0</v>
      </c>
      <c r="AX174" s="1147">
        <v>2</v>
      </c>
      <c r="AY174" s="1151" t="s">
        <v>1303</v>
      </c>
      <c r="AZ174" s="1148" t="s">
        <v>553</v>
      </c>
      <c r="BA174" s="1152">
        <f t="shared" si="150"/>
        <v>0.33333333333333331</v>
      </c>
      <c r="BB174" s="1152">
        <f t="shared" si="150"/>
        <v>0.33333333333333331</v>
      </c>
      <c r="BC174" s="1152">
        <f t="shared" si="150"/>
        <v>0.33333333333333331</v>
      </c>
      <c r="BD174" s="1152">
        <f t="shared" si="150"/>
        <v>0.33333333333333331</v>
      </c>
      <c r="BE174" s="1152">
        <f t="shared" si="150"/>
        <v>0.33333333333333331</v>
      </c>
      <c r="BF174" s="1152">
        <f t="shared" si="150"/>
        <v>0.33333333333333331</v>
      </c>
      <c r="BG174" s="1152">
        <f t="shared" si="150"/>
        <v>0.33333333333333331</v>
      </c>
      <c r="BH174" s="1152">
        <f t="shared" si="150"/>
        <v>0.33333333333333331</v>
      </c>
      <c r="BI174" s="1152">
        <f t="shared" si="150"/>
        <v>0.33333333333333331</v>
      </c>
      <c r="BJ174" s="1152">
        <f t="shared" si="150"/>
        <v>0.33333333333333331</v>
      </c>
      <c r="BK174" s="1153"/>
      <c r="BL174" s="1152"/>
      <c r="BM174" s="1152"/>
      <c r="BO174" s="1147">
        <v>2</v>
      </c>
      <c r="BP174" s="1151" t="s">
        <v>1303</v>
      </c>
      <c r="BQ174" s="1148" t="s">
        <v>553</v>
      </c>
      <c r="BR174" s="1152">
        <f t="shared" si="151"/>
        <v>0.33333333333333331</v>
      </c>
      <c r="BS174" s="1152">
        <f t="shared" si="151"/>
        <v>0.33333333333333331</v>
      </c>
      <c r="BT174" s="1152">
        <f t="shared" si="151"/>
        <v>0.33333333333333331</v>
      </c>
      <c r="BU174" s="1152">
        <f t="shared" si="151"/>
        <v>0.33333333333333331</v>
      </c>
      <c r="BV174" s="1152">
        <f t="shared" si="151"/>
        <v>0.33333333333333331</v>
      </c>
      <c r="BW174" s="1152">
        <f t="shared" si="151"/>
        <v>0.33333333333333331</v>
      </c>
      <c r="BX174" s="1152">
        <f t="shared" si="151"/>
        <v>0.33333333333333331</v>
      </c>
      <c r="BY174" s="1152">
        <f t="shared" si="151"/>
        <v>0.33333333333333331</v>
      </c>
      <c r="BZ174" s="1152">
        <f t="shared" si="151"/>
        <v>0.33333333333333331</v>
      </c>
      <c r="CA174" s="1152">
        <f t="shared" si="151"/>
        <v>0.33333333333333331</v>
      </c>
      <c r="CB174" s="1153"/>
      <c r="CC174" s="1152"/>
      <c r="CD174" s="1152"/>
      <c r="CE174" s="1381"/>
      <c r="CG174" s="1147">
        <v>2</v>
      </c>
      <c r="CH174" s="1151" t="s">
        <v>1303</v>
      </c>
      <c r="CI174" s="1148" t="s">
        <v>553</v>
      </c>
      <c r="CJ174" s="1528">
        <f t="shared" si="135"/>
        <v>0.33333333333333331</v>
      </c>
      <c r="CK174" s="1528">
        <f t="shared" si="123"/>
        <v>0.33333333333333331</v>
      </c>
      <c r="CL174" s="1528">
        <f t="shared" si="124"/>
        <v>0.33333333333333331</v>
      </c>
      <c r="CM174" s="1528">
        <f t="shared" si="125"/>
        <v>0.33333333333333331</v>
      </c>
      <c r="CN174" s="1528">
        <f t="shared" si="126"/>
        <v>0.33333333333333331</v>
      </c>
      <c r="CO174" s="1528">
        <f t="shared" si="127"/>
        <v>0.33333333333333331</v>
      </c>
      <c r="CP174" s="1528">
        <f t="shared" si="128"/>
        <v>0.33333333333333331</v>
      </c>
      <c r="CQ174" s="1528">
        <f t="shared" si="129"/>
        <v>0.33333333333333331</v>
      </c>
      <c r="CR174" s="1528">
        <f t="shared" si="130"/>
        <v>0.33333333333333331</v>
      </c>
      <c r="CS174" s="1528">
        <f t="shared" si="131"/>
        <v>0.33333333333333331</v>
      </c>
      <c r="CT174" s="1530">
        <f t="shared" si="132"/>
        <v>0</v>
      </c>
      <c r="CU174" s="1528">
        <f t="shared" si="133"/>
        <v>0</v>
      </c>
      <c r="CV174" s="1528">
        <f t="shared" si="134"/>
        <v>0</v>
      </c>
      <c r="CX174" s="1147">
        <v>2</v>
      </c>
      <c r="CY174" s="1151" t="s">
        <v>1303</v>
      </c>
      <c r="CZ174" s="1148" t="s">
        <v>553</v>
      </c>
      <c r="DA174" s="1649">
        <v>1</v>
      </c>
      <c r="DB174" s="1518"/>
      <c r="DC174" s="1518"/>
      <c r="DD174" s="1518"/>
      <c r="DE174" s="1518"/>
      <c r="DF174" s="1518"/>
      <c r="DG174" s="1518"/>
      <c r="DH174" s="1518"/>
      <c r="DI174" s="1518"/>
      <c r="DJ174" s="1518"/>
      <c r="DK174" s="1519"/>
      <c r="DL174" s="1518"/>
      <c r="DM174" s="1518"/>
    </row>
    <row r="175" spans="2:117">
      <c r="B175" s="1136" t="str">
        <f t="shared" si="140"/>
        <v>2.1</v>
      </c>
      <c r="C175" s="1158" t="str">
        <f t="shared" si="116"/>
        <v>大気汚染防止</v>
      </c>
      <c r="D175" s="1155">
        <f>IF(I$174=0,0,G175/I$174)</f>
        <v>0.25</v>
      </c>
      <c r="E175" s="1155">
        <f t="shared" ref="D175:E177" si="152">IF(J$174=0,0,H175/J$174)</f>
        <v>0</v>
      </c>
      <c r="G175" s="1156">
        <f t="shared" si="136"/>
        <v>0.25</v>
      </c>
      <c r="H175" s="1156">
        <f t="shared" si="137"/>
        <v>0</v>
      </c>
      <c r="I175" s="1156"/>
      <c r="J175" s="1156"/>
      <c r="K175" s="1156">
        <f>IF(スコア!Q175=0,0,1)</f>
        <v>1</v>
      </c>
      <c r="L175" s="1156">
        <f>IF(スコア!S175=0,0,1)</f>
        <v>0</v>
      </c>
      <c r="M175" s="1156">
        <f t="shared" si="138"/>
        <v>0.25</v>
      </c>
      <c r="N175" s="1156">
        <f t="shared" si="142"/>
        <v>0</v>
      </c>
      <c r="P175" s="1226" t="str">
        <f t="shared" si="118"/>
        <v>2.1</v>
      </c>
      <c r="Q175" s="1161" t="str">
        <f t="shared" si="119"/>
        <v>LR3 2</v>
      </c>
      <c r="R175" s="1158" t="str">
        <f t="shared" si="120"/>
        <v>大気汚染防止</v>
      </c>
      <c r="S175" s="1585">
        <f t="shared" si="102"/>
        <v>0.25</v>
      </c>
      <c r="T175" s="1585">
        <f t="shared" si="103"/>
        <v>0.25</v>
      </c>
      <c r="U175" s="1585">
        <f t="shared" si="104"/>
        <v>0.25</v>
      </c>
      <c r="V175" s="1585">
        <f t="shared" si="105"/>
        <v>0.25</v>
      </c>
      <c r="W175" s="1585">
        <f t="shared" si="106"/>
        <v>0.25</v>
      </c>
      <c r="X175" s="1585">
        <f t="shared" si="107"/>
        <v>0.25</v>
      </c>
      <c r="Y175" s="1585">
        <f t="shared" si="108"/>
        <v>0.25</v>
      </c>
      <c r="Z175" s="1585">
        <f t="shared" si="109"/>
        <v>0.25</v>
      </c>
      <c r="AA175" s="1585">
        <f t="shared" si="110"/>
        <v>0.25</v>
      </c>
      <c r="AB175" s="1585">
        <f t="shared" si="111"/>
        <v>0.25</v>
      </c>
      <c r="AC175" s="1586">
        <f t="shared" si="112"/>
        <v>0</v>
      </c>
      <c r="AD175" s="1585">
        <f t="shared" si="113"/>
        <v>0</v>
      </c>
      <c r="AE175" s="1585">
        <f t="shared" si="114"/>
        <v>0</v>
      </c>
      <c r="AG175" s="1227" t="s">
        <v>1392</v>
      </c>
      <c r="AH175" s="1161" t="s">
        <v>2082</v>
      </c>
      <c r="AI175" s="1158" t="s">
        <v>554</v>
      </c>
      <c r="AJ175" s="1163">
        <v>0.25</v>
      </c>
      <c r="AK175" s="1163">
        <v>0.25</v>
      </c>
      <c r="AL175" s="1163">
        <v>0.25</v>
      </c>
      <c r="AM175" s="1163">
        <v>0.25</v>
      </c>
      <c r="AN175" s="1163">
        <v>0.25</v>
      </c>
      <c r="AO175" s="1163">
        <v>0.25</v>
      </c>
      <c r="AP175" s="1163">
        <v>0.25</v>
      </c>
      <c r="AQ175" s="1163">
        <v>0.25</v>
      </c>
      <c r="AR175" s="1163">
        <v>0.25</v>
      </c>
      <c r="AS175" s="1163">
        <v>0.25</v>
      </c>
      <c r="AT175" s="1164"/>
      <c r="AU175" s="1163"/>
      <c r="AV175" s="1163"/>
      <c r="AX175" s="1227" t="s">
        <v>1393</v>
      </c>
      <c r="AY175" s="1161" t="s">
        <v>2082</v>
      </c>
      <c r="AZ175" s="1158" t="s">
        <v>554</v>
      </c>
      <c r="BA175" s="1163">
        <v>0.25</v>
      </c>
      <c r="BB175" s="1163">
        <v>0.25</v>
      </c>
      <c r="BC175" s="1163">
        <v>0.25</v>
      </c>
      <c r="BD175" s="1163">
        <v>0.25</v>
      </c>
      <c r="BE175" s="1163">
        <v>0.25</v>
      </c>
      <c r="BF175" s="1163">
        <v>0.25</v>
      </c>
      <c r="BG175" s="1163">
        <v>0.25</v>
      </c>
      <c r="BH175" s="1163">
        <v>0.25</v>
      </c>
      <c r="BI175" s="1163">
        <v>0.25</v>
      </c>
      <c r="BJ175" s="1163">
        <v>0.25</v>
      </c>
      <c r="BK175" s="1164"/>
      <c r="BL175" s="1163"/>
      <c r="BM175" s="1163"/>
      <c r="BO175" s="1227" t="s">
        <v>1393</v>
      </c>
      <c r="BP175" s="1161" t="s">
        <v>2082</v>
      </c>
      <c r="BQ175" s="1158" t="s">
        <v>554</v>
      </c>
      <c r="BR175" s="1163">
        <v>0.25</v>
      </c>
      <c r="BS175" s="1163">
        <v>0.25</v>
      </c>
      <c r="BT175" s="1163">
        <v>0.25</v>
      </c>
      <c r="BU175" s="1163">
        <v>0.25</v>
      </c>
      <c r="BV175" s="1163">
        <v>0.25</v>
      </c>
      <c r="BW175" s="1163">
        <v>0.25</v>
      </c>
      <c r="BX175" s="1163">
        <v>0.25</v>
      </c>
      <c r="BY175" s="1163">
        <v>0.25</v>
      </c>
      <c r="BZ175" s="1163">
        <v>0.25</v>
      </c>
      <c r="CA175" s="1163">
        <v>0.25</v>
      </c>
      <c r="CB175" s="1164"/>
      <c r="CC175" s="1163"/>
      <c r="CD175" s="1163"/>
      <c r="CE175" s="1382"/>
      <c r="CG175" s="1227" t="s">
        <v>1162</v>
      </c>
      <c r="CH175" s="1161" t="s">
        <v>2082</v>
      </c>
      <c r="CI175" s="1158" t="s">
        <v>554</v>
      </c>
      <c r="CJ175" s="1531">
        <f t="shared" si="135"/>
        <v>0.25</v>
      </c>
      <c r="CK175" s="1531">
        <f t="shared" si="123"/>
        <v>0.25</v>
      </c>
      <c r="CL175" s="1531">
        <f t="shared" si="124"/>
        <v>0.25</v>
      </c>
      <c r="CM175" s="1531">
        <f t="shared" si="125"/>
        <v>0.25</v>
      </c>
      <c r="CN175" s="1531">
        <f t="shared" si="126"/>
        <v>0.25</v>
      </c>
      <c r="CO175" s="1531">
        <f t="shared" si="127"/>
        <v>0.25</v>
      </c>
      <c r="CP175" s="1531">
        <f t="shared" si="128"/>
        <v>0.25</v>
      </c>
      <c r="CQ175" s="1531">
        <f t="shared" si="129"/>
        <v>0.25</v>
      </c>
      <c r="CR175" s="1531">
        <f t="shared" si="130"/>
        <v>0.25</v>
      </c>
      <c r="CS175" s="1531">
        <f t="shared" si="131"/>
        <v>0.25</v>
      </c>
      <c r="CT175" s="1533">
        <f t="shared" si="132"/>
        <v>0</v>
      </c>
      <c r="CU175" s="1531">
        <f t="shared" si="133"/>
        <v>0</v>
      </c>
      <c r="CV175" s="1531">
        <f t="shared" si="134"/>
        <v>0</v>
      </c>
      <c r="CX175" s="1227" t="s">
        <v>1162</v>
      </c>
      <c r="CY175" s="1161" t="s">
        <v>2082</v>
      </c>
      <c r="CZ175" s="1158"/>
      <c r="DA175" s="1642">
        <v>0</v>
      </c>
      <c r="DB175" s="1520"/>
      <c r="DC175" s="1520"/>
      <c r="DD175" s="1520"/>
      <c r="DE175" s="1520"/>
      <c r="DF175" s="1520"/>
      <c r="DG175" s="1520"/>
      <c r="DH175" s="1520"/>
      <c r="DI175" s="1520"/>
      <c r="DJ175" s="1520"/>
      <c r="DK175" s="1623"/>
      <c r="DL175" s="1520"/>
      <c r="DM175" s="1520"/>
    </row>
    <row r="176" spans="2:117">
      <c r="B176" s="1136" t="str">
        <f t="shared" si="140"/>
        <v>2.2</v>
      </c>
      <c r="C176" s="1158" t="str">
        <f t="shared" si="116"/>
        <v>温熱環境悪化の改善</v>
      </c>
      <c r="D176" s="1155">
        <f t="shared" si="152"/>
        <v>0.5</v>
      </c>
      <c r="E176" s="1155">
        <f t="shared" si="152"/>
        <v>0</v>
      </c>
      <c r="G176" s="1156">
        <f t="shared" si="136"/>
        <v>0.5</v>
      </c>
      <c r="H176" s="1156">
        <f t="shared" si="137"/>
        <v>0</v>
      </c>
      <c r="I176" s="1156"/>
      <c r="J176" s="1156"/>
      <c r="K176" s="1156">
        <f>IF(スコア!Q176=0,0,1)</f>
        <v>1</v>
      </c>
      <c r="L176" s="1156">
        <f>IF(スコア!S176=0,0,1)</f>
        <v>0</v>
      </c>
      <c r="M176" s="1156">
        <f t="shared" si="138"/>
        <v>0.5</v>
      </c>
      <c r="N176" s="1156">
        <f t="shared" si="142"/>
        <v>0</v>
      </c>
      <c r="P176" s="1226" t="str">
        <f t="shared" si="118"/>
        <v>2.2</v>
      </c>
      <c r="Q176" s="1161" t="str">
        <f t="shared" si="119"/>
        <v>LR3 2</v>
      </c>
      <c r="R176" s="1158" t="str">
        <f t="shared" si="120"/>
        <v>温熱環境悪化の改善</v>
      </c>
      <c r="S176" s="1597">
        <f t="shared" si="102"/>
        <v>0.5</v>
      </c>
      <c r="T176" s="1597">
        <f t="shared" si="103"/>
        <v>0.5</v>
      </c>
      <c r="U176" s="1597">
        <f t="shared" si="104"/>
        <v>0.5</v>
      </c>
      <c r="V176" s="1597">
        <f t="shared" si="105"/>
        <v>0.5</v>
      </c>
      <c r="W176" s="1597">
        <f t="shared" si="106"/>
        <v>0.5</v>
      </c>
      <c r="X176" s="1597">
        <f t="shared" si="107"/>
        <v>0.5</v>
      </c>
      <c r="Y176" s="1597">
        <f t="shared" si="108"/>
        <v>0.5</v>
      </c>
      <c r="Z176" s="1597">
        <f t="shared" si="109"/>
        <v>0.5</v>
      </c>
      <c r="AA176" s="1597">
        <f t="shared" si="110"/>
        <v>0.5</v>
      </c>
      <c r="AB176" s="1597">
        <f t="shared" si="111"/>
        <v>0.5</v>
      </c>
      <c r="AC176" s="1598">
        <f t="shared" si="112"/>
        <v>0</v>
      </c>
      <c r="AD176" s="1597">
        <f t="shared" si="113"/>
        <v>0</v>
      </c>
      <c r="AE176" s="1597">
        <f t="shared" si="114"/>
        <v>0</v>
      </c>
      <c r="AG176" s="1227" t="s">
        <v>1394</v>
      </c>
      <c r="AH176" s="1161" t="s">
        <v>2082</v>
      </c>
      <c r="AI176" s="1158" t="s">
        <v>1591</v>
      </c>
      <c r="AJ176" s="1207">
        <v>0.5</v>
      </c>
      <c r="AK176" s="1207">
        <v>0.5</v>
      </c>
      <c r="AL176" s="1207">
        <v>0.5</v>
      </c>
      <c r="AM176" s="1207">
        <v>0.5</v>
      </c>
      <c r="AN176" s="1207">
        <v>0.5</v>
      </c>
      <c r="AO176" s="1207">
        <v>0.5</v>
      </c>
      <c r="AP176" s="1207">
        <v>0.5</v>
      </c>
      <c r="AQ176" s="1207">
        <v>0.5</v>
      </c>
      <c r="AR176" s="1207">
        <v>0.5</v>
      </c>
      <c r="AS176" s="1207">
        <v>0.5</v>
      </c>
      <c r="AT176" s="1208"/>
      <c r="AU176" s="1207"/>
      <c r="AV176" s="1207"/>
      <c r="AX176" s="1227" t="s">
        <v>1394</v>
      </c>
      <c r="AY176" s="1161" t="s">
        <v>2082</v>
      </c>
      <c r="AZ176" s="1158" t="s">
        <v>1591</v>
      </c>
      <c r="BA176" s="1207">
        <v>0.5</v>
      </c>
      <c r="BB176" s="1207">
        <v>0.5</v>
      </c>
      <c r="BC176" s="1207">
        <v>0.5</v>
      </c>
      <c r="BD176" s="1207">
        <v>0.5</v>
      </c>
      <c r="BE176" s="1207">
        <v>0.5</v>
      </c>
      <c r="BF176" s="1207">
        <v>0.5</v>
      </c>
      <c r="BG176" s="1207">
        <v>0.5</v>
      </c>
      <c r="BH176" s="1207">
        <v>0.5</v>
      </c>
      <c r="BI176" s="1207">
        <v>0.5</v>
      </c>
      <c r="BJ176" s="1207">
        <v>0.5</v>
      </c>
      <c r="BK176" s="1208"/>
      <c r="BL176" s="1207"/>
      <c r="BM176" s="1207"/>
      <c r="BO176" s="1227" t="s">
        <v>1394</v>
      </c>
      <c r="BP176" s="1161" t="s">
        <v>2082</v>
      </c>
      <c r="BQ176" s="1158" t="s">
        <v>1591</v>
      </c>
      <c r="BR176" s="1207">
        <v>0.5</v>
      </c>
      <c r="BS176" s="1207">
        <v>0.5</v>
      </c>
      <c r="BT176" s="1207">
        <v>0.5</v>
      </c>
      <c r="BU176" s="1207">
        <v>0.5</v>
      </c>
      <c r="BV176" s="1207">
        <v>0.5</v>
      </c>
      <c r="BW176" s="1207">
        <v>0.5</v>
      </c>
      <c r="BX176" s="1207">
        <v>0.5</v>
      </c>
      <c r="BY176" s="1207">
        <v>0.5</v>
      </c>
      <c r="BZ176" s="1207">
        <v>0.5</v>
      </c>
      <c r="CA176" s="1207">
        <v>0.5</v>
      </c>
      <c r="CB176" s="1208"/>
      <c r="CC176" s="1207"/>
      <c r="CD176" s="1207"/>
      <c r="CE176" s="1385"/>
      <c r="CG176" s="1227" t="s">
        <v>1163</v>
      </c>
      <c r="CH176" s="1161" t="s">
        <v>2082</v>
      </c>
      <c r="CI176" s="1158" t="s">
        <v>1591</v>
      </c>
      <c r="CJ176" s="1546">
        <f t="shared" si="135"/>
        <v>0.5</v>
      </c>
      <c r="CK176" s="1546">
        <f t="shared" si="123"/>
        <v>0.5</v>
      </c>
      <c r="CL176" s="1546">
        <f t="shared" si="124"/>
        <v>0.5</v>
      </c>
      <c r="CM176" s="1546">
        <f t="shared" si="125"/>
        <v>0.5</v>
      </c>
      <c r="CN176" s="1546">
        <f t="shared" si="126"/>
        <v>0.5</v>
      </c>
      <c r="CO176" s="1546">
        <f t="shared" si="127"/>
        <v>0.5</v>
      </c>
      <c r="CP176" s="1546">
        <f t="shared" si="128"/>
        <v>0.5</v>
      </c>
      <c r="CQ176" s="1546">
        <f t="shared" si="129"/>
        <v>0.5</v>
      </c>
      <c r="CR176" s="1546">
        <f t="shared" si="130"/>
        <v>0.5</v>
      </c>
      <c r="CS176" s="1546">
        <f t="shared" si="131"/>
        <v>0.5</v>
      </c>
      <c r="CT176" s="1547">
        <f t="shared" si="132"/>
        <v>0</v>
      </c>
      <c r="CU176" s="1546">
        <f t="shared" si="133"/>
        <v>0</v>
      </c>
      <c r="CV176" s="1546">
        <f t="shared" si="134"/>
        <v>0</v>
      </c>
      <c r="CX176" s="1227" t="s">
        <v>1163</v>
      </c>
      <c r="CY176" s="1161" t="s">
        <v>2082</v>
      </c>
      <c r="CZ176" s="1158"/>
      <c r="DA176" s="1642">
        <v>0</v>
      </c>
      <c r="DB176" s="1523"/>
      <c r="DC176" s="1523"/>
      <c r="DD176" s="1523"/>
      <c r="DE176" s="1523"/>
      <c r="DF176" s="1523"/>
      <c r="DG176" s="1523"/>
      <c r="DH176" s="1523"/>
      <c r="DI176" s="1523"/>
      <c r="DJ176" s="1523"/>
      <c r="DK176" s="1633"/>
      <c r="DL176" s="1523"/>
      <c r="DM176" s="1523"/>
    </row>
    <row r="177" spans="2:117">
      <c r="B177" s="1136" t="str">
        <f t="shared" si="140"/>
        <v>2.3</v>
      </c>
      <c r="C177" s="1158" t="str">
        <f t="shared" si="116"/>
        <v>地域インフラへの負荷抑制</v>
      </c>
      <c r="D177" s="1155">
        <f t="shared" si="152"/>
        <v>0.25</v>
      </c>
      <c r="E177" s="1155">
        <f t="shared" si="152"/>
        <v>0</v>
      </c>
      <c r="G177" s="1156">
        <f t="shared" si="136"/>
        <v>0.25</v>
      </c>
      <c r="H177" s="1156">
        <f t="shared" si="137"/>
        <v>0</v>
      </c>
      <c r="I177" s="1156">
        <f>SUM(G178:G181)</f>
        <v>1</v>
      </c>
      <c r="J177" s="1156">
        <f>SUM(H178:H181)</f>
        <v>0</v>
      </c>
      <c r="K177" s="1156">
        <f>IF(スコア!Q177=0,0,1)</f>
        <v>1</v>
      </c>
      <c r="L177" s="1156">
        <f>IF(スコア!S177=0,0,1)</f>
        <v>0</v>
      </c>
      <c r="M177" s="1156">
        <f t="shared" si="138"/>
        <v>0.25</v>
      </c>
      <c r="N177" s="1156">
        <f t="shared" si="142"/>
        <v>0</v>
      </c>
      <c r="P177" s="1226" t="str">
        <f t="shared" si="118"/>
        <v>2.3</v>
      </c>
      <c r="Q177" s="1161" t="str">
        <f t="shared" si="119"/>
        <v>LR3 2</v>
      </c>
      <c r="R177" s="1158" t="str">
        <f t="shared" si="120"/>
        <v>地域インフラへの負荷抑制</v>
      </c>
      <c r="S177" s="1597">
        <f t="shared" si="102"/>
        <v>0.25</v>
      </c>
      <c r="T177" s="1597">
        <f t="shared" si="103"/>
        <v>0.25</v>
      </c>
      <c r="U177" s="1597">
        <f t="shared" si="104"/>
        <v>0.25</v>
      </c>
      <c r="V177" s="1597">
        <f t="shared" si="105"/>
        <v>0.25</v>
      </c>
      <c r="W177" s="1597">
        <f t="shared" si="106"/>
        <v>0.25</v>
      </c>
      <c r="X177" s="1597">
        <f t="shared" si="107"/>
        <v>0.25</v>
      </c>
      <c r="Y177" s="1597">
        <f t="shared" si="108"/>
        <v>0.25</v>
      </c>
      <c r="Z177" s="1597">
        <f t="shared" si="109"/>
        <v>0.25</v>
      </c>
      <c r="AA177" s="1597">
        <f t="shared" si="110"/>
        <v>0.25</v>
      </c>
      <c r="AB177" s="1597">
        <f t="shared" si="111"/>
        <v>0.25</v>
      </c>
      <c r="AC177" s="1598">
        <f t="shared" si="112"/>
        <v>0</v>
      </c>
      <c r="AD177" s="1597">
        <f t="shared" si="113"/>
        <v>0</v>
      </c>
      <c r="AE177" s="1597">
        <f t="shared" si="114"/>
        <v>0</v>
      </c>
      <c r="AG177" s="1227" t="s">
        <v>1395</v>
      </c>
      <c r="AH177" s="1161" t="s">
        <v>2082</v>
      </c>
      <c r="AI177" s="1158" t="s">
        <v>555</v>
      </c>
      <c r="AJ177" s="1207">
        <v>0.25</v>
      </c>
      <c r="AK177" s="1207">
        <v>0.25</v>
      </c>
      <c r="AL177" s="1207">
        <v>0.25</v>
      </c>
      <c r="AM177" s="1207">
        <v>0.25</v>
      </c>
      <c r="AN177" s="1207">
        <v>0.25</v>
      </c>
      <c r="AO177" s="1207">
        <v>0.25</v>
      </c>
      <c r="AP177" s="1207">
        <v>0.25</v>
      </c>
      <c r="AQ177" s="1207">
        <v>0.25</v>
      </c>
      <c r="AR177" s="1207">
        <v>0.25</v>
      </c>
      <c r="AS177" s="1207">
        <v>0.25</v>
      </c>
      <c r="AT177" s="1208"/>
      <c r="AU177" s="1207"/>
      <c r="AV177" s="1207"/>
      <c r="AX177" s="1227" t="s">
        <v>1396</v>
      </c>
      <c r="AY177" s="1161" t="s">
        <v>2082</v>
      </c>
      <c r="AZ177" s="1158" t="s">
        <v>555</v>
      </c>
      <c r="BA177" s="1207">
        <v>0.25</v>
      </c>
      <c r="BB177" s="1207">
        <v>0.25</v>
      </c>
      <c r="BC177" s="1207">
        <v>0.25</v>
      </c>
      <c r="BD177" s="1207">
        <v>0.25</v>
      </c>
      <c r="BE177" s="1207">
        <v>0.25</v>
      </c>
      <c r="BF177" s="1207">
        <v>0.25</v>
      </c>
      <c r="BG177" s="1207">
        <v>0.25</v>
      </c>
      <c r="BH177" s="1207">
        <v>0.25</v>
      </c>
      <c r="BI177" s="1207">
        <v>0.25</v>
      </c>
      <c r="BJ177" s="1207">
        <v>0.25</v>
      </c>
      <c r="BK177" s="1208"/>
      <c r="BL177" s="1207"/>
      <c r="BM177" s="1207"/>
      <c r="BO177" s="1227" t="s">
        <v>1396</v>
      </c>
      <c r="BP177" s="1161" t="s">
        <v>2082</v>
      </c>
      <c r="BQ177" s="1158" t="s">
        <v>555</v>
      </c>
      <c r="BR177" s="1207">
        <v>0.25</v>
      </c>
      <c r="BS177" s="1207">
        <v>0.25</v>
      </c>
      <c r="BT177" s="1207">
        <v>0.25</v>
      </c>
      <c r="BU177" s="1207">
        <v>0.25</v>
      </c>
      <c r="BV177" s="1207">
        <v>0.25</v>
      </c>
      <c r="BW177" s="1207">
        <v>0.25</v>
      </c>
      <c r="BX177" s="1207">
        <v>0.25</v>
      </c>
      <c r="BY177" s="1207">
        <v>0.25</v>
      </c>
      <c r="BZ177" s="1207">
        <v>0.25</v>
      </c>
      <c r="CA177" s="1207">
        <v>0.25</v>
      </c>
      <c r="CB177" s="1208"/>
      <c r="CC177" s="1207"/>
      <c r="CD177" s="1207"/>
      <c r="CE177" s="1385"/>
      <c r="CG177" s="1227" t="s">
        <v>1395</v>
      </c>
      <c r="CH177" s="1161" t="s">
        <v>2082</v>
      </c>
      <c r="CI177" s="1158" t="s">
        <v>555</v>
      </c>
      <c r="CJ177" s="1546">
        <f t="shared" si="135"/>
        <v>0.25</v>
      </c>
      <c r="CK177" s="1546">
        <f t="shared" si="123"/>
        <v>0.25</v>
      </c>
      <c r="CL177" s="1546">
        <f t="shared" si="124"/>
        <v>0.25</v>
      </c>
      <c r="CM177" s="1546">
        <f t="shared" si="125"/>
        <v>0.25</v>
      </c>
      <c r="CN177" s="1546">
        <f t="shared" si="126"/>
        <v>0.25</v>
      </c>
      <c r="CO177" s="1546">
        <f t="shared" si="127"/>
        <v>0.25</v>
      </c>
      <c r="CP177" s="1546">
        <f t="shared" si="128"/>
        <v>0.25</v>
      </c>
      <c r="CQ177" s="1546">
        <f t="shared" si="129"/>
        <v>0.25</v>
      </c>
      <c r="CR177" s="1546">
        <f t="shared" si="130"/>
        <v>0.25</v>
      </c>
      <c r="CS177" s="1546">
        <f t="shared" si="131"/>
        <v>0.25</v>
      </c>
      <c r="CT177" s="1547">
        <f t="shared" si="132"/>
        <v>0</v>
      </c>
      <c r="CU177" s="1546">
        <f t="shared" si="133"/>
        <v>0</v>
      </c>
      <c r="CV177" s="1546">
        <f t="shared" si="134"/>
        <v>0</v>
      </c>
      <c r="CX177" s="1227" t="s">
        <v>1395</v>
      </c>
      <c r="CY177" s="1161" t="s">
        <v>2082</v>
      </c>
      <c r="CZ177" s="1158"/>
      <c r="DA177" s="1642">
        <v>0</v>
      </c>
      <c r="DB177" s="1523"/>
      <c r="DC177" s="1523"/>
      <c r="DD177" s="1523"/>
      <c r="DE177" s="1523"/>
      <c r="DF177" s="1523"/>
      <c r="DG177" s="1523"/>
      <c r="DH177" s="1523"/>
      <c r="DI177" s="1523"/>
      <c r="DJ177" s="1523"/>
      <c r="DK177" s="1633"/>
      <c r="DL177" s="1523"/>
      <c r="DM177" s="1523"/>
    </row>
    <row r="178" spans="2:117">
      <c r="B178" s="1136" t="str">
        <f t="shared" si="140"/>
        <v>2.3.1</v>
      </c>
      <c r="C178" s="1228" t="str">
        <f t="shared" si="116"/>
        <v>雨水排水負荷低減</v>
      </c>
      <c r="D178" s="1155">
        <f t="shared" ref="D178:E181" si="153">IF(I$177=0,0,G178/I$177)</f>
        <v>0.25</v>
      </c>
      <c r="E178" s="1155">
        <f t="shared" si="153"/>
        <v>0</v>
      </c>
      <c r="G178" s="1156">
        <f t="shared" si="136"/>
        <v>0.25</v>
      </c>
      <c r="H178" s="1156">
        <f t="shared" si="137"/>
        <v>0</v>
      </c>
      <c r="I178" s="1156"/>
      <c r="J178" s="1156"/>
      <c r="K178" s="1156">
        <f>IF(スコア!Q178=0,0,1)</f>
        <v>1</v>
      </c>
      <c r="L178" s="1156">
        <f>IF(スコア!S178=0,0,1)</f>
        <v>0</v>
      </c>
      <c r="M178" s="1156">
        <f t="shared" si="138"/>
        <v>0.25</v>
      </c>
      <c r="N178" s="1156">
        <f t="shared" si="142"/>
        <v>0</v>
      </c>
      <c r="P178" s="1227" t="str">
        <f t="shared" si="118"/>
        <v>2.3.1</v>
      </c>
      <c r="Q178" s="1161" t="str">
        <f t="shared" si="119"/>
        <v>LR3 2.3</v>
      </c>
      <c r="R178" s="1228" t="str">
        <f t="shared" si="120"/>
        <v>雨水排水負荷低減</v>
      </c>
      <c r="S178" s="1585">
        <f t="shared" si="102"/>
        <v>0.25</v>
      </c>
      <c r="T178" s="1585">
        <f t="shared" si="103"/>
        <v>0.25</v>
      </c>
      <c r="U178" s="1585">
        <f t="shared" si="104"/>
        <v>0.25</v>
      </c>
      <c r="V178" s="1585">
        <f t="shared" si="105"/>
        <v>0.25</v>
      </c>
      <c r="W178" s="1585">
        <f t="shared" si="106"/>
        <v>0.25</v>
      </c>
      <c r="X178" s="1585">
        <f t="shared" si="107"/>
        <v>0.25</v>
      </c>
      <c r="Y178" s="1585">
        <f t="shared" si="108"/>
        <v>0.25</v>
      </c>
      <c r="Z178" s="1585">
        <f t="shared" si="109"/>
        <v>0.25</v>
      </c>
      <c r="AA178" s="1585">
        <f t="shared" si="110"/>
        <v>0.25</v>
      </c>
      <c r="AB178" s="1585">
        <f t="shared" si="111"/>
        <v>0.25</v>
      </c>
      <c r="AC178" s="1598">
        <f t="shared" si="112"/>
        <v>0</v>
      </c>
      <c r="AD178" s="1597">
        <f t="shared" si="113"/>
        <v>0</v>
      </c>
      <c r="AE178" s="1597">
        <f t="shared" si="114"/>
        <v>0</v>
      </c>
      <c r="AG178" s="1227" t="s">
        <v>1397</v>
      </c>
      <c r="AH178" s="1161" t="s">
        <v>2083</v>
      </c>
      <c r="AI178" s="1228" t="s">
        <v>1592</v>
      </c>
      <c r="AJ178" s="1163">
        <v>0.25</v>
      </c>
      <c r="AK178" s="1163">
        <v>0.25</v>
      </c>
      <c r="AL178" s="1163">
        <v>0.25</v>
      </c>
      <c r="AM178" s="1163">
        <v>0.25</v>
      </c>
      <c r="AN178" s="1163">
        <v>0.25</v>
      </c>
      <c r="AO178" s="1163">
        <v>0.25</v>
      </c>
      <c r="AP178" s="1163">
        <v>0.25</v>
      </c>
      <c r="AQ178" s="1163">
        <v>0.25</v>
      </c>
      <c r="AR178" s="1163">
        <v>0.25</v>
      </c>
      <c r="AS178" s="1163">
        <v>0.25</v>
      </c>
      <c r="AT178" s="1208"/>
      <c r="AU178" s="1207"/>
      <c r="AV178" s="1207"/>
      <c r="AX178" s="1227" t="s">
        <v>1397</v>
      </c>
      <c r="AY178" s="1161" t="s">
        <v>2083</v>
      </c>
      <c r="AZ178" s="1228" t="s">
        <v>1592</v>
      </c>
      <c r="BA178" s="1163">
        <v>0.25</v>
      </c>
      <c r="BB178" s="1163">
        <v>0.25</v>
      </c>
      <c r="BC178" s="1163">
        <v>0.25</v>
      </c>
      <c r="BD178" s="1163">
        <v>0.25</v>
      </c>
      <c r="BE178" s="1163">
        <v>0.25</v>
      </c>
      <c r="BF178" s="1163">
        <v>0.25</v>
      </c>
      <c r="BG178" s="1163">
        <v>0.25</v>
      </c>
      <c r="BH178" s="1163">
        <v>0.25</v>
      </c>
      <c r="BI178" s="1163">
        <v>0.25</v>
      </c>
      <c r="BJ178" s="1163">
        <v>0.25</v>
      </c>
      <c r="BK178" s="1208"/>
      <c r="BL178" s="1207"/>
      <c r="BM178" s="1207"/>
      <c r="BO178" s="1227" t="s">
        <v>1397</v>
      </c>
      <c r="BP178" s="1161" t="s">
        <v>2083</v>
      </c>
      <c r="BQ178" s="1228" t="s">
        <v>1592</v>
      </c>
      <c r="BR178" s="1163">
        <v>0.25</v>
      </c>
      <c r="BS178" s="1163">
        <v>0.25</v>
      </c>
      <c r="BT178" s="1163">
        <v>0.25</v>
      </c>
      <c r="BU178" s="1163">
        <v>0.25</v>
      </c>
      <c r="BV178" s="1163">
        <v>0.25</v>
      </c>
      <c r="BW178" s="1163">
        <v>0.25</v>
      </c>
      <c r="BX178" s="1163">
        <v>0.25</v>
      </c>
      <c r="BY178" s="1163">
        <v>0.25</v>
      </c>
      <c r="BZ178" s="1163">
        <v>0.25</v>
      </c>
      <c r="CA178" s="1163">
        <v>0.25</v>
      </c>
      <c r="CB178" s="1208"/>
      <c r="CC178" s="1207"/>
      <c r="CD178" s="1207"/>
      <c r="CE178" s="1385"/>
      <c r="CG178" s="1227" t="s">
        <v>213</v>
      </c>
      <c r="CH178" s="1161" t="s">
        <v>2083</v>
      </c>
      <c r="CI178" s="1228" t="s">
        <v>1592</v>
      </c>
      <c r="CJ178" s="1531">
        <f t="shared" si="135"/>
        <v>0.25</v>
      </c>
      <c r="CK178" s="1531">
        <f t="shared" si="123"/>
        <v>0.25</v>
      </c>
      <c r="CL178" s="1531">
        <f t="shared" si="124"/>
        <v>0.25</v>
      </c>
      <c r="CM178" s="1531">
        <f t="shared" si="125"/>
        <v>0.25</v>
      </c>
      <c r="CN178" s="1531">
        <f t="shared" si="126"/>
        <v>0.25</v>
      </c>
      <c r="CO178" s="1531">
        <f t="shared" si="127"/>
        <v>0.25</v>
      </c>
      <c r="CP178" s="1531">
        <f t="shared" si="128"/>
        <v>0.25</v>
      </c>
      <c r="CQ178" s="1531">
        <f t="shared" si="129"/>
        <v>0.25</v>
      </c>
      <c r="CR178" s="1531">
        <f t="shared" si="130"/>
        <v>0.25</v>
      </c>
      <c r="CS178" s="1531">
        <f t="shared" si="131"/>
        <v>0.25</v>
      </c>
      <c r="CT178" s="1547">
        <f t="shared" si="132"/>
        <v>0</v>
      </c>
      <c r="CU178" s="1546">
        <f t="shared" si="133"/>
        <v>0</v>
      </c>
      <c r="CV178" s="1546">
        <f t="shared" si="134"/>
        <v>0</v>
      </c>
      <c r="CX178" s="1227" t="s">
        <v>213</v>
      </c>
      <c r="CY178" s="1161" t="s">
        <v>2083</v>
      </c>
      <c r="CZ178" s="1228"/>
      <c r="DA178" s="1642">
        <v>0</v>
      </c>
      <c r="DB178" s="1520"/>
      <c r="DC178" s="1520"/>
      <c r="DD178" s="1520"/>
      <c r="DE178" s="1520"/>
      <c r="DF178" s="1520"/>
      <c r="DG178" s="1520"/>
      <c r="DH178" s="1520"/>
      <c r="DI178" s="1520"/>
      <c r="DJ178" s="1520"/>
      <c r="DK178" s="1633"/>
      <c r="DL178" s="1523"/>
      <c r="DM178" s="1523"/>
    </row>
    <row r="179" spans="2:117">
      <c r="B179" s="1136" t="str">
        <f t="shared" si="140"/>
        <v>2.3.2</v>
      </c>
      <c r="C179" s="1228" t="str">
        <f t="shared" si="116"/>
        <v>汚水処理負荷抑制</v>
      </c>
      <c r="D179" s="1155">
        <f t="shared" si="153"/>
        <v>0.25</v>
      </c>
      <c r="E179" s="1155">
        <f t="shared" si="153"/>
        <v>0</v>
      </c>
      <c r="G179" s="1156">
        <f t="shared" si="136"/>
        <v>0.25</v>
      </c>
      <c r="H179" s="1156">
        <f t="shared" si="137"/>
        <v>0</v>
      </c>
      <c r="I179" s="1156"/>
      <c r="J179" s="1156"/>
      <c r="K179" s="1156">
        <f>IF(スコア!Q179=0,0,1)</f>
        <v>1</v>
      </c>
      <c r="L179" s="1156">
        <f>IF(スコア!S179=0,0,1)</f>
        <v>0</v>
      </c>
      <c r="M179" s="1156">
        <f t="shared" si="138"/>
        <v>0.25</v>
      </c>
      <c r="N179" s="1156">
        <f t="shared" si="142"/>
        <v>0</v>
      </c>
      <c r="P179" s="1227" t="str">
        <f t="shared" si="118"/>
        <v>2.3.2</v>
      </c>
      <c r="Q179" s="1161" t="str">
        <f t="shared" si="119"/>
        <v>LR3 2.3</v>
      </c>
      <c r="R179" s="1228" t="str">
        <f t="shared" si="120"/>
        <v>汚水処理負荷抑制</v>
      </c>
      <c r="S179" s="1585">
        <f t="shared" si="102"/>
        <v>0.25</v>
      </c>
      <c r="T179" s="1585">
        <f t="shared" si="103"/>
        <v>0.25</v>
      </c>
      <c r="U179" s="1585">
        <f t="shared" si="104"/>
        <v>0.25</v>
      </c>
      <c r="V179" s="1585">
        <f t="shared" si="105"/>
        <v>0.25</v>
      </c>
      <c r="W179" s="1585">
        <f t="shared" si="106"/>
        <v>0.25</v>
      </c>
      <c r="X179" s="1585">
        <f t="shared" si="107"/>
        <v>0.25</v>
      </c>
      <c r="Y179" s="1585">
        <f t="shared" si="108"/>
        <v>0.25</v>
      </c>
      <c r="Z179" s="1585">
        <f t="shared" si="109"/>
        <v>0.25</v>
      </c>
      <c r="AA179" s="1585">
        <f t="shared" si="110"/>
        <v>0.25</v>
      </c>
      <c r="AB179" s="1585">
        <f t="shared" si="111"/>
        <v>0.25</v>
      </c>
      <c r="AC179" s="1598">
        <f t="shared" si="112"/>
        <v>0</v>
      </c>
      <c r="AD179" s="1597">
        <f t="shared" si="113"/>
        <v>0</v>
      </c>
      <c r="AE179" s="1597">
        <f t="shared" si="114"/>
        <v>0</v>
      </c>
      <c r="AG179" s="1227" t="s">
        <v>1398</v>
      </c>
      <c r="AH179" s="1161" t="s">
        <v>2083</v>
      </c>
      <c r="AI179" s="1228" t="s">
        <v>1593</v>
      </c>
      <c r="AJ179" s="1163">
        <v>0.25</v>
      </c>
      <c r="AK179" s="1163">
        <v>0.25</v>
      </c>
      <c r="AL179" s="1163">
        <v>0.25</v>
      </c>
      <c r="AM179" s="1163">
        <v>0.25</v>
      </c>
      <c r="AN179" s="1163">
        <v>0.25</v>
      </c>
      <c r="AO179" s="1163">
        <v>0.25</v>
      </c>
      <c r="AP179" s="1163">
        <v>0.25</v>
      </c>
      <c r="AQ179" s="1163">
        <v>0.25</v>
      </c>
      <c r="AR179" s="1163">
        <v>0.25</v>
      </c>
      <c r="AS179" s="1163">
        <v>0.25</v>
      </c>
      <c r="AT179" s="1208"/>
      <c r="AU179" s="1207"/>
      <c r="AV179" s="1207"/>
      <c r="AX179" s="1227" t="s">
        <v>1398</v>
      </c>
      <c r="AY179" s="1161" t="s">
        <v>2083</v>
      </c>
      <c r="AZ179" s="1228" t="s">
        <v>1593</v>
      </c>
      <c r="BA179" s="1163">
        <v>0.25</v>
      </c>
      <c r="BB179" s="1163">
        <v>0.25</v>
      </c>
      <c r="BC179" s="1163">
        <v>0.25</v>
      </c>
      <c r="BD179" s="1163">
        <v>0.25</v>
      </c>
      <c r="BE179" s="1163">
        <v>0.25</v>
      </c>
      <c r="BF179" s="1163">
        <v>0.25</v>
      </c>
      <c r="BG179" s="1163">
        <v>0.25</v>
      </c>
      <c r="BH179" s="1163">
        <v>0.25</v>
      </c>
      <c r="BI179" s="1163">
        <v>0.25</v>
      </c>
      <c r="BJ179" s="1163">
        <v>0.25</v>
      </c>
      <c r="BK179" s="1208"/>
      <c r="BL179" s="1207"/>
      <c r="BM179" s="1207"/>
      <c r="BO179" s="1227" t="s">
        <v>1398</v>
      </c>
      <c r="BP179" s="1161" t="s">
        <v>2083</v>
      </c>
      <c r="BQ179" s="1228" t="s">
        <v>1593</v>
      </c>
      <c r="BR179" s="1163">
        <v>0.25</v>
      </c>
      <c r="BS179" s="1163">
        <v>0.25</v>
      </c>
      <c r="BT179" s="1163">
        <v>0.25</v>
      </c>
      <c r="BU179" s="1163">
        <v>0.25</v>
      </c>
      <c r="BV179" s="1163">
        <v>0.25</v>
      </c>
      <c r="BW179" s="1163">
        <v>0.25</v>
      </c>
      <c r="BX179" s="1163">
        <v>0.25</v>
      </c>
      <c r="BY179" s="1163">
        <v>0.25</v>
      </c>
      <c r="BZ179" s="1163">
        <v>0.25</v>
      </c>
      <c r="CA179" s="1163">
        <v>0.25</v>
      </c>
      <c r="CB179" s="1208"/>
      <c r="CC179" s="1207"/>
      <c r="CD179" s="1207"/>
      <c r="CE179" s="1385"/>
      <c r="CG179" s="1227" t="s">
        <v>215</v>
      </c>
      <c r="CH179" s="1161" t="s">
        <v>2083</v>
      </c>
      <c r="CI179" s="1228" t="s">
        <v>1593</v>
      </c>
      <c r="CJ179" s="1531">
        <f t="shared" si="135"/>
        <v>0.25</v>
      </c>
      <c r="CK179" s="1531">
        <f t="shared" si="123"/>
        <v>0.25</v>
      </c>
      <c r="CL179" s="1531">
        <f t="shared" si="124"/>
        <v>0.25</v>
      </c>
      <c r="CM179" s="1531">
        <f t="shared" si="125"/>
        <v>0.25</v>
      </c>
      <c r="CN179" s="1531">
        <f t="shared" si="126"/>
        <v>0.25</v>
      </c>
      <c r="CO179" s="1531">
        <f t="shared" si="127"/>
        <v>0.25</v>
      </c>
      <c r="CP179" s="1531">
        <f t="shared" si="128"/>
        <v>0.25</v>
      </c>
      <c r="CQ179" s="1531">
        <f t="shared" si="129"/>
        <v>0.25</v>
      </c>
      <c r="CR179" s="1531">
        <f t="shared" si="130"/>
        <v>0.25</v>
      </c>
      <c r="CS179" s="1531">
        <f t="shared" si="131"/>
        <v>0.25</v>
      </c>
      <c r="CT179" s="1547">
        <f t="shared" si="132"/>
        <v>0</v>
      </c>
      <c r="CU179" s="1546">
        <f t="shared" si="133"/>
        <v>0</v>
      </c>
      <c r="CV179" s="1546">
        <f t="shared" si="134"/>
        <v>0</v>
      </c>
      <c r="CX179" s="1227" t="s">
        <v>215</v>
      </c>
      <c r="CY179" s="1161" t="s">
        <v>2083</v>
      </c>
      <c r="CZ179" s="1228"/>
      <c r="DA179" s="1642">
        <v>0</v>
      </c>
      <c r="DB179" s="1520"/>
      <c r="DC179" s="1520"/>
      <c r="DD179" s="1520"/>
      <c r="DE179" s="1520"/>
      <c r="DF179" s="1520"/>
      <c r="DG179" s="1520"/>
      <c r="DH179" s="1520"/>
      <c r="DI179" s="1520"/>
      <c r="DJ179" s="1520"/>
      <c r="DK179" s="1633"/>
      <c r="DL179" s="1523"/>
      <c r="DM179" s="1523"/>
    </row>
    <row r="180" spans="2:117">
      <c r="B180" s="1136" t="str">
        <f t="shared" si="140"/>
        <v>2.3.3</v>
      </c>
      <c r="C180" s="1228" t="str">
        <f t="shared" si="116"/>
        <v>交通負荷抑制</v>
      </c>
      <c r="D180" s="1155">
        <f t="shared" si="153"/>
        <v>0.25</v>
      </c>
      <c r="E180" s="1155">
        <f t="shared" si="153"/>
        <v>0</v>
      </c>
      <c r="G180" s="1156">
        <f t="shared" si="136"/>
        <v>0.25</v>
      </c>
      <c r="H180" s="1156">
        <f t="shared" si="137"/>
        <v>0</v>
      </c>
      <c r="I180" s="1156"/>
      <c r="J180" s="1156"/>
      <c r="K180" s="1156">
        <f>IF(スコア!Q180=0,0,1)</f>
        <v>1</v>
      </c>
      <c r="L180" s="1156">
        <f>IF(スコア!S180=0,0,1)</f>
        <v>0</v>
      </c>
      <c r="M180" s="1156">
        <f t="shared" si="138"/>
        <v>0.25</v>
      </c>
      <c r="N180" s="1156">
        <f t="shared" si="142"/>
        <v>0</v>
      </c>
      <c r="P180" s="1227" t="str">
        <f t="shared" si="118"/>
        <v>2.3.3</v>
      </c>
      <c r="Q180" s="1161" t="str">
        <f t="shared" si="119"/>
        <v>LR3 2.3</v>
      </c>
      <c r="R180" s="1228" t="str">
        <f t="shared" si="120"/>
        <v>交通負荷抑制</v>
      </c>
      <c r="S180" s="1585">
        <f t="shared" si="102"/>
        <v>0.25</v>
      </c>
      <c r="T180" s="1585">
        <f t="shared" si="103"/>
        <v>0.25</v>
      </c>
      <c r="U180" s="1585">
        <f t="shared" si="104"/>
        <v>0.25</v>
      </c>
      <c r="V180" s="1585">
        <f t="shared" si="105"/>
        <v>0.25</v>
      </c>
      <c r="W180" s="1585">
        <f t="shared" si="106"/>
        <v>0.25</v>
      </c>
      <c r="X180" s="1585">
        <f t="shared" si="107"/>
        <v>0.25</v>
      </c>
      <c r="Y180" s="1585">
        <f t="shared" si="108"/>
        <v>0.25</v>
      </c>
      <c r="Z180" s="1585">
        <f t="shared" si="109"/>
        <v>0.25</v>
      </c>
      <c r="AA180" s="1585">
        <f t="shared" si="110"/>
        <v>0.25</v>
      </c>
      <c r="AB180" s="1585">
        <f t="shared" si="111"/>
        <v>0.25</v>
      </c>
      <c r="AC180" s="1598">
        <f t="shared" si="112"/>
        <v>0</v>
      </c>
      <c r="AD180" s="1597">
        <f t="shared" si="113"/>
        <v>0</v>
      </c>
      <c r="AE180" s="1597">
        <f t="shared" si="114"/>
        <v>0</v>
      </c>
      <c r="AG180" s="1227" t="s">
        <v>1399</v>
      </c>
      <c r="AH180" s="1161" t="s">
        <v>2083</v>
      </c>
      <c r="AI180" s="1228" t="s">
        <v>556</v>
      </c>
      <c r="AJ180" s="1163">
        <v>0.25</v>
      </c>
      <c r="AK180" s="1163">
        <v>0.25</v>
      </c>
      <c r="AL180" s="1163">
        <v>0.25</v>
      </c>
      <c r="AM180" s="1163">
        <v>0.25</v>
      </c>
      <c r="AN180" s="1163">
        <v>0.25</v>
      </c>
      <c r="AO180" s="1163">
        <v>0.25</v>
      </c>
      <c r="AP180" s="1163">
        <v>0.25</v>
      </c>
      <c r="AQ180" s="1163">
        <v>0.25</v>
      </c>
      <c r="AR180" s="1163">
        <v>0.25</v>
      </c>
      <c r="AS180" s="1163">
        <v>0.25</v>
      </c>
      <c r="AT180" s="1208"/>
      <c r="AU180" s="1207"/>
      <c r="AV180" s="1207"/>
      <c r="AX180" s="1227" t="s">
        <v>1400</v>
      </c>
      <c r="AY180" s="1161" t="s">
        <v>2083</v>
      </c>
      <c r="AZ180" s="1228" t="s">
        <v>556</v>
      </c>
      <c r="BA180" s="1163">
        <v>0.25</v>
      </c>
      <c r="BB180" s="1163">
        <v>0.25</v>
      </c>
      <c r="BC180" s="1163">
        <v>0.25</v>
      </c>
      <c r="BD180" s="1163">
        <v>0.25</v>
      </c>
      <c r="BE180" s="1163">
        <v>0.25</v>
      </c>
      <c r="BF180" s="1163">
        <v>0.25</v>
      </c>
      <c r="BG180" s="1163">
        <v>0.25</v>
      </c>
      <c r="BH180" s="1163">
        <v>0.25</v>
      </c>
      <c r="BI180" s="1163">
        <v>0.25</v>
      </c>
      <c r="BJ180" s="1163">
        <v>0.25</v>
      </c>
      <c r="BK180" s="1208"/>
      <c r="BL180" s="1207"/>
      <c r="BM180" s="1207"/>
      <c r="BO180" s="1227" t="s">
        <v>1400</v>
      </c>
      <c r="BP180" s="1161" t="s">
        <v>2083</v>
      </c>
      <c r="BQ180" s="1228" t="s">
        <v>556</v>
      </c>
      <c r="BR180" s="1163">
        <v>0.25</v>
      </c>
      <c r="BS180" s="1163">
        <v>0.25</v>
      </c>
      <c r="BT180" s="1163">
        <v>0.25</v>
      </c>
      <c r="BU180" s="1163">
        <v>0.25</v>
      </c>
      <c r="BV180" s="1163">
        <v>0.25</v>
      </c>
      <c r="BW180" s="1163">
        <v>0.25</v>
      </c>
      <c r="BX180" s="1163">
        <v>0.25</v>
      </c>
      <c r="BY180" s="1163">
        <v>0.25</v>
      </c>
      <c r="BZ180" s="1163">
        <v>0.25</v>
      </c>
      <c r="CA180" s="1163">
        <v>0.25</v>
      </c>
      <c r="CB180" s="1208"/>
      <c r="CC180" s="1207"/>
      <c r="CD180" s="1207"/>
      <c r="CE180" s="1385"/>
      <c r="CG180" s="1227" t="s">
        <v>1137</v>
      </c>
      <c r="CH180" s="1161" t="s">
        <v>2083</v>
      </c>
      <c r="CI180" s="1228" t="s">
        <v>556</v>
      </c>
      <c r="CJ180" s="1531">
        <f t="shared" si="135"/>
        <v>0.25</v>
      </c>
      <c r="CK180" s="1531">
        <f t="shared" si="123"/>
        <v>0.25</v>
      </c>
      <c r="CL180" s="1531">
        <f t="shared" si="124"/>
        <v>0.25</v>
      </c>
      <c r="CM180" s="1531">
        <f t="shared" si="125"/>
        <v>0.25</v>
      </c>
      <c r="CN180" s="1531">
        <f t="shared" si="126"/>
        <v>0.25</v>
      </c>
      <c r="CO180" s="1531">
        <f t="shared" si="127"/>
        <v>0.25</v>
      </c>
      <c r="CP180" s="1531">
        <f t="shared" si="128"/>
        <v>0.25</v>
      </c>
      <c r="CQ180" s="1531">
        <f t="shared" si="129"/>
        <v>0.25</v>
      </c>
      <c r="CR180" s="1531">
        <f t="shared" si="130"/>
        <v>0.25</v>
      </c>
      <c r="CS180" s="1531">
        <f t="shared" si="131"/>
        <v>0.25</v>
      </c>
      <c r="CT180" s="1547">
        <f t="shared" si="132"/>
        <v>0</v>
      </c>
      <c r="CU180" s="1546">
        <f t="shared" si="133"/>
        <v>0</v>
      </c>
      <c r="CV180" s="1546">
        <f t="shared" si="134"/>
        <v>0</v>
      </c>
      <c r="CX180" s="1227" t="s">
        <v>1137</v>
      </c>
      <c r="CY180" s="1161" t="s">
        <v>2083</v>
      </c>
      <c r="CZ180" s="1228"/>
      <c r="DA180" s="1642">
        <v>0</v>
      </c>
      <c r="DB180" s="1520"/>
      <c r="DC180" s="1520"/>
      <c r="DD180" s="1520"/>
      <c r="DE180" s="1520"/>
      <c r="DF180" s="1520"/>
      <c r="DG180" s="1520"/>
      <c r="DH180" s="1520"/>
      <c r="DI180" s="1520"/>
      <c r="DJ180" s="1520"/>
      <c r="DK180" s="1633"/>
      <c r="DL180" s="1523"/>
      <c r="DM180" s="1523"/>
    </row>
    <row r="181" spans="2:117">
      <c r="B181" s="1136" t="str">
        <f t="shared" si="140"/>
        <v>2.3.4</v>
      </c>
      <c r="C181" s="439" t="str">
        <f t="shared" si="116"/>
        <v>廃棄物処理負荷抑制</v>
      </c>
      <c r="D181" s="1155">
        <f t="shared" si="153"/>
        <v>0.25</v>
      </c>
      <c r="E181" s="1155">
        <f t="shared" si="153"/>
        <v>0</v>
      </c>
      <c r="G181" s="1156">
        <f t="shared" si="136"/>
        <v>0.25</v>
      </c>
      <c r="H181" s="1156">
        <f t="shared" si="137"/>
        <v>0</v>
      </c>
      <c r="I181" s="1156"/>
      <c r="J181" s="1156"/>
      <c r="K181" s="1156">
        <f>IF(スコア!Q181=0,0,1)</f>
        <v>1</v>
      </c>
      <c r="L181" s="1156">
        <f>IF(スコア!S181=0,0,1)</f>
        <v>0</v>
      </c>
      <c r="M181" s="1156">
        <f t="shared" si="138"/>
        <v>0.25</v>
      </c>
      <c r="N181" s="1156">
        <f t="shared" si="142"/>
        <v>0</v>
      </c>
      <c r="P181" s="1227" t="str">
        <f t="shared" si="118"/>
        <v>2.3.4</v>
      </c>
      <c r="Q181" s="1161" t="str">
        <f t="shared" si="119"/>
        <v>LR3 2.3</v>
      </c>
      <c r="R181" s="439" t="str">
        <f t="shared" si="120"/>
        <v>廃棄物処理負荷抑制</v>
      </c>
      <c r="S181" s="1585">
        <f t="shared" si="102"/>
        <v>0.25</v>
      </c>
      <c r="T181" s="1585">
        <f t="shared" si="103"/>
        <v>0.25</v>
      </c>
      <c r="U181" s="1585">
        <f t="shared" si="104"/>
        <v>0.25</v>
      </c>
      <c r="V181" s="1585">
        <f t="shared" si="105"/>
        <v>0.25</v>
      </c>
      <c r="W181" s="1585">
        <f t="shared" si="106"/>
        <v>0.25</v>
      </c>
      <c r="X181" s="1585">
        <f t="shared" si="107"/>
        <v>0.25</v>
      </c>
      <c r="Y181" s="1585">
        <f t="shared" si="108"/>
        <v>0.25</v>
      </c>
      <c r="Z181" s="1585">
        <f t="shared" si="109"/>
        <v>0.25</v>
      </c>
      <c r="AA181" s="1585">
        <f t="shared" si="110"/>
        <v>0.25</v>
      </c>
      <c r="AB181" s="1585">
        <f t="shared" si="111"/>
        <v>0.25</v>
      </c>
      <c r="AC181" s="1598">
        <f t="shared" si="112"/>
        <v>0</v>
      </c>
      <c r="AD181" s="1597">
        <f t="shared" si="113"/>
        <v>0</v>
      </c>
      <c r="AE181" s="1597">
        <f t="shared" si="114"/>
        <v>0</v>
      </c>
      <c r="AG181" s="1227" t="s">
        <v>1401</v>
      </c>
      <c r="AH181" s="1161" t="s">
        <v>2083</v>
      </c>
      <c r="AI181" s="439" t="s">
        <v>827</v>
      </c>
      <c r="AJ181" s="1163">
        <v>0.25</v>
      </c>
      <c r="AK181" s="1163">
        <v>0.25</v>
      </c>
      <c r="AL181" s="1163">
        <v>0.25</v>
      </c>
      <c r="AM181" s="1163">
        <v>0.25</v>
      </c>
      <c r="AN181" s="1163">
        <v>0.25</v>
      </c>
      <c r="AO181" s="1163">
        <v>0.25</v>
      </c>
      <c r="AP181" s="1163">
        <v>0.25</v>
      </c>
      <c r="AQ181" s="1163">
        <v>0.25</v>
      </c>
      <c r="AR181" s="1163">
        <v>0.25</v>
      </c>
      <c r="AS181" s="1163">
        <v>0.25</v>
      </c>
      <c r="AT181" s="1208"/>
      <c r="AU181" s="1207"/>
      <c r="AV181" s="1207"/>
      <c r="AX181" s="1227" t="s">
        <v>1402</v>
      </c>
      <c r="AY181" s="1161" t="s">
        <v>2083</v>
      </c>
      <c r="AZ181" s="439" t="s">
        <v>827</v>
      </c>
      <c r="BA181" s="1163">
        <v>0.25</v>
      </c>
      <c r="BB181" s="1163">
        <v>0.25</v>
      </c>
      <c r="BC181" s="1163">
        <v>0.25</v>
      </c>
      <c r="BD181" s="1163">
        <v>0.25</v>
      </c>
      <c r="BE181" s="1163">
        <v>0.25</v>
      </c>
      <c r="BF181" s="1163">
        <v>0.25</v>
      </c>
      <c r="BG181" s="1163">
        <v>0.25</v>
      </c>
      <c r="BH181" s="1163">
        <v>0.25</v>
      </c>
      <c r="BI181" s="1163">
        <v>0.25</v>
      </c>
      <c r="BJ181" s="1163">
        <v>0.25</v>
      </c>
      <c r="BK181" s="1208"/>
      <c r="BL181" s="1207"/>
      <c r="BM181" s="1207"/>
      <c r="BO181" s="1227" t="s">
        <v>1402</v>
      </c>
      <c r="BP181" s="1161" t="s">
        <v>2083</v>
      </c>
      <c r="BQ181" s="439" t="s">
        <v>827</v>
      </c>
      <c r="BR181" s="1163">
        <v>0.25</v>
      </c>
      <c r="BS181" s="1163">
        <v>0.25</v>
      </c>
      <c r="BT181" s="1163">
        <v>0.25</v>
      </c>
      <c r="BU181" s="1163">
        <v>0.25</v>
      </c>
      <c r="BV181" s="1163">
        <v>0.25</v>
      </c>
      <c r="BW181" s="1163">
        <v>0.25</v>
      </c>
      <c r="BX181" s="1163">
        <v>0.25</v>
      </c>
      <c r="BY181" s="1163">
        <v>0.25</v>
      </c>
      <c r="BZ181" s="1163">
        <v>0.25</v>
      </c>
      <c r="CA181" s="1163">
        <v>0.25</v>
      </c>
      <c r="CB181" s="1208"/>
      <c r="CC181" s="1207"/>
      <c r="CD181" s="1207"/>
      <c r="CE181" s="1385"/>
      <c r="CG181" s="1227" t="s">
        <v>1401</v>
      </c>
      <c r="CH181" s="1161" t="s">
        <v>2083</v>
      </c>
      <c r="CI181" s="439" t="s">
        <v>827</v>
      </c>
      <c r="CJ181" s="1531">
        <f t="shared" si="135"/>
        <v>0.25</v>
      </c>
      <c r="CK181" s="1531">
        <f t="shared" si="123"/>
        <v>0.25</v>
      </c>
      <c r="CL181" s="1531">
        <f t="shared" si="124"/>
        <v>0.25</v>
      </c>
      <c r="CM181" s="1531">
        <f t="shared" si="125"/>
        <v>0.25</v>
      </c>
      <c r="CN181" s="1531">
        <f t="shared" si="126"/>
        <v>0.25</v>
      </c>
      <c r="CO181" s="1531">
        <f t="shared" si="127"/>
        <v>0.25</v>
      </c>
      <c r="CP181" s="1531">
        <f t="shared" si="128"/>
        <v>0.25</v>
      </c>
      <c r="CQ181" s="1531">
        <f t="shared" si="129"/>
        <v>0.25</v>
      </c>
      <c r="CR181" s="1531">
        <f t="shared" si="130"/>
        <v>0.25</v>
      </c>
      <c r="CS181" s="1531">
        <f t="shared" si="131"/>
        <v>0.25</v>
      </c>
      <c r="CT181" s="1547">
        <f t="shared" si="132"/>
        <v>0</v>
      </c>
      <c r="CU181" s="1546">
        <f t="shared" si="133"/>
        <v>0</v>
      </c>
      <c r="CV181" s="1546">
        <f t="shared" si="134"/>
        <v>0</v>
      </c>
      <c r="CX181" s="1227" t="s">
        <v>1401</v>
      </c>
      <c r="CY181" s="1161" t="s">
        <v>2083</v>
      </c>
      <c r="CZ181" s="439"/>
      <c r="DA181" s="1642">
        <v>0</v>
      </c>
      <c r="DB181" s="1520"/>
      <c r="DC181" s="1520"/>
      <c r="DD181" s="1520"/>
      <c r="DE181" s="1520"/>
      <c r="DF181" s="1520"/>
      <c r="DG181" s="1520"/>
      <c r="DH181" s="1520"/>
      <c r="DI181" s="1520"/>
      <c r="DJ181" s="1520"/>
      <c r="DK181" s="1633"/>
      <c r="DL181" s="1523"/>
      <c r="DM181" s="1523"/>
    </row>
    <row r="182" spans="2:117" hidden="1">
      <c r="B182" s="1136">
        <f t="shared" si="140"/>
        <v>0</v>
      </c>
      <c r="C182" s="439">
        <f t="shared" si="116"/>
        <v>0</v>
      </c>
      <c r="D182" s="1155">
        <f>IF(I$174=0,0,G182/I$174)</f>
        <v>0</v>
      </c>
      <c r="E182" s="1155">
        <f>IF(J$174=0,0,H182/J$174)</f>
        <v>0</v>
      </c>
      <c r="G182" s="1156">
        <f>K182*M182</f>
        <v>0</v>
      </c>
      <c r="H182" s="1156">
        <f>L182*N182</f>
        <v>0</v>
      </c>
      <c r="I182" s="1156"/>
      <c r="J182" s="1156"/>
      <c r="K182" s="1156">
        <f>IF(スコア!Q182=0,0,1)</f>
        <v>1</v>
      </c>
      <c r="L182" s="1156">
        <f>IF(スコア!S182=0,0,1)</f>
        <v>0</v>
      </c>
      <c r="M182" s="1156">
        <f>SUMPRODUCT($S$7:$AB$7,S182:AB182)</f>
        <v>0</v>
      </c>
      <c r="N182" s="1156">
        <f>(AC$7*AC182)+(AD$7*AD182)+(AE$7*AE182)</f>
        <v>0</v>
      </c>
      <c r="P182" s="1227">
        <f>IF($P$3=1,AX182,IF($P$3=2,BO182,IF($P$3=3,CG182,IF($P$3=4,CX182,AG182))))</f>
        <v>0</v>
      </c>
      <c r="Q182" s="1161">
        <f t="shared" si="119"/>
        <v>0</v>
      </c>
      <c r="R182" s="439">
        <f t="shared" si="120"/>
        <v>0</v>
      </c>
      <c r="S182" s="1585">
        <f t="shared" si="102"/>
        <v>0</v>
      </c>
      <c r="T182" s="1585">
        <f t="shared" si="103"/>
        <v>0</v>
      </c>
      <c r="U182" s="1585">
        <f t="shared" si="104"/>
        <v>0</v>
      </c>
      <c r="V182" s="1585">
        <f t="shared" si="105"/>
        <v>0</v>
      </c>
      <c r="W182" s="1585">
        <f t="shared" si="106"/>
        <v>0</v>
      </c>
      <c r="X182" s="1585">
        <f t="shared" si="107"/>
        <v>0</v>
      </c>
      <c r="Y182" s="1585">
        <f t="shared" si="108"/>
        <v>0</v>
      </c>
      <c r="Z182" s="1585">
        <f t="shared" si="109"/>
        <v>0</v>
      </c>
      <c r="AA182" s="1585">
        <f t="shared" si="110"/>
        <v>0</v>
      </c>
      <c r="AB182" s="1585">
        <f t="shared" si="111"/>
        <v>0</v>
      </c>
      <c r="AC182" s="1598">
        <f t="shared" si="112"/>
        <v>0</v>
      </c>
      <c r="AD182" s="1597">
        <f t="shared" si="113"/>
        <v>0</v>
      </c>
      <c r="AE182" s="1597">
        <f t="shared" si="114"/>
        <v>0</v>
      </c>
      <c r="AG182" s="1227"/>
      <c r="AH182" s="1161"/>
      <c r="AI182" s="439"/>
      <c r="AJ182" s="1163"/>
      <c r="AK182" s="1163"/>
      <c r="AL182" s="1163"/>
      <c r="AM182" s="1163"/>
      <c r="AN182" s="1163"/>
      <c r="AO182" s="1163"/>
      <c r="AP182" s="1163"/>
      <c r="AQ182" s="1163"/>
      <c r="AR182" s="1163"/>
      <c r="AS182" s="1163"/>
      <c r="AT182" s="1208"/>
      <c r="AU182" s="1207"/>
      <c r="AV182" s="1207"/>
      <c r="AX182" s="1227"/>
      <c r="AY182" s="1161"/>
      <c r="AZ182" s="439"/>
      <c r="BA182" s="1163"/>
      <c r="BB182" s="1163"/>
      <c r="BC182" s="1163"/>
      <c r="BD182" s="1163"/>
      <c r="BE182" s="1163"/>
      <c r="BF182" s="1163"/>
      <c r="BG182" s="1163"/>
      <c r="BH182" s="1163"/>
      <c r="BI182" s="1163"/>
      <c r="BJ182" s="1163"/>
      <c r="BK182" s="1208"/>
      <c r="BL182" s="1207"/>
      <c r="BM182" s="1207"/>
      <c r="BO182" s="1227"/>
      <c r="BP182" s="1161"/>
      <c r="BQ182" s="439"/>
      <c r="BR182" s="1163"/>
      <c r="BS182" s="1163"/>
      <c r="BT182" s="1163"/>
      <c r="BU182" s="1163"/>
      <c r="BV182" s="1163"/>
      <c r="BW182" s="1163"/>
      <c r="BX182" s="1163"/>
      <c r="BY182" s="1163"/>
      <c r="BZ182" s="1163"/>
      <c r="CA182" s="1163"/>
      <c r="CB182" s="1208"/>
      <c r="CC182" s="1207"/>
      <c r="CD182" s="1207"/>
      <c r="CE182" s="1385"/>
      <c r="CG182" s="1227"/>
      <c r="CH182" s="1161"/>
      <c r="CI182" s="439"/>
      <c r="CJ182" s="1531"/>
      <c r="CK182" s="1531"/>
      <c r="CL182" s="1531"/>
      <c r="CM182" s="1531"/>
      <c r="CN182" s="1531"/>
      <c r="CO182" s="1531"/>
      <c r="CP182" s="1531"/>
      <c r="CQ182" s="1531"/>
      <c r="CR182" s="1531"/>
      <c r="CS182" s="1531"/>
      <c r="CT182" s="1547"/>
      <c r="CU182" s="1546"/>
      <c r="CV182" s="1546"/>
      <c r="CX182" s="1227" t="s">
        <v>2773</v>
      </c>
      <c r="CY182" s="1161" t="s">
        <v>2083</v>
      </c>
      <c r="CZ182" s="1653" t="s">
        <v>827</v>
      </c>
      <c r="DA182" s="1642">
        <v>1</v>
      </c>
      <c r="DB182" s="1520"/>
      <c r="DC182" s="1520"/>
      <c r="DD182" s="1520"/>
      <c r="DE182" s="1520"/>
      <c r="DF182" s="1520"/>
      <c r="DG182" s="1520"/>
      <c r="DH182" s="1520"/>
      <c r="DI182" s="1520"/>
      <c r="DJ182" s="1520"/>
      <c r="DK182" s="1633"/>
      <c r="DL182" s="1523"/>
      <c r="DM182" s="1523"/>
    </row>
    <row r="183" spans="2:117">
      <c r="B183" s="1136">
        <f t="shared" si="140"/>
        <v>3</v>
      </c>
      <c r="C183" s="1148" t="str">
        <f t="shared" si="116"/>
        <v>周辺環境への配慮</v>
      </c>
      <c r="D183" s="1144">
        <f>IF(I$172=0,0,G183/I$172)</f>
        <v>0.33333333333333331</v>
      </c>
      <c r="E183" s="1144">
        <f>IF(J$172=0,0,H183/J$172)</f>
        <v>0</v>
      </c>
      <c r="G183" s="1145">
        <f t="shared" si="136"/>
        <v>0.33333333333333331</v>
      </c>
      <c r="H183" s="1145">
        <f t="shared" si="137"/>
        <v>0</v>
      </c>
      <c r="I183" s="1145">
        <f>G184+G188+G192</f>
        <v>0.60000000000000009</v>
      </c>
      <c r="J183" s="1145">
        <f>H184+H188+H192</f>
        <v>0</v>
      </c>
      <c r="K183" s="1145">
        <f>IF(スコア!Q183=0,0,1)</f>
        <v>1</v>
      </c>
      <c r="L183" s="1145">
        <f>IF(スコア!S183=0,0,1)</f>
        <v>0</v>
      </c>
      <c r="M183" s="1145">
        <f t="shared" si="138"/>
        <v>0.33333333333333331</v>
      </c>
      <c r="N183" s="1145">
        <f t="shared" si="142"/>
        <v>0</v>
      </c>
      <c r="P183" s="1225">
        <f t="shared" si="118"/>
        <v>3</v>
      </c>
      <c r="Q183" s="1151" t="str">
        <f t="shared" si="119"/>
        <v>LR3</v>
      </c>
      <c r="R183" s="1148" t="str">
        <f t="shared" si="120"/>
        <v>周辺環境への配慮</v>
      </c>
      <c r="S183" s="1582">
        <f t="shared" si="102"/>
        <v>0.33333333333333331</v>
      </c>
      <c r="T183" s="1582">
        <f t="shared" si="103"/>
        <v>0.33333333333333331</v>
      </c>
      <c r="U183" s="1582">
        <f t="shared" si="104"/>
        <v>0.33333333333333331</v>
      </c>
      <c r="V183" s="1582">
        <f t="shared" si="105"/>
        <v>0.33333333333333331</v>
      </c>
      <c r="W183" s="1582">
        <f t="shared" si="106"/>
        <v>0.33333333333333331</v>
      </c>
      <c r="X183" s="1582">
        <f t="shared" si="107"/>
        <v>0.33333333333333331</v>
      </c>
      <c r="Y183" s="1582">
        <f t="shared" si="108"/>
        <v>0.33333333333333331</v>
      </c>
      <c r="Z183" s="1582">
        <f t="shared" si="109"/>
        <v>0.33333333333333331</v>
      </c>
      <c r="AA183" s="1582">
        <f t="shared" si="110"/>
        <v>0.33333333333333331</v>
      </c>
      <c r="AB183" s="1582">
        <f t="shared" si="111"/>
        <v>0.33333333333333331</v>
      </c>
      <c r="AC183" s="1584">
        <f t="shared" si="112"/>
        <v>0</v>
      </c>
      <c r="AD183" s="1582">
        <f t="shared" si="113"/>
        <v>0</v>
      </c>
      <c r="AE183" s="1582">
        <f t="shared" si="114"/>
        <v>0</v>
      </c>
      <c r="AG183" s="1147">
        <v>3</v>
      </c>
      <c r="AH183" s="1151" t="s">
        <v>1303</v>
      </c>
      <c r="AI183" s="1148" t="s">
        <v>828</v>
      </c>
      <c r="AJ183" s="1152">
        <v>0.33333333333333331</v>
      </c>
      <c r="AK183" s="1152">
        <v>0.33333333333333331</v>
      </c>
      <c r="AL183" s="1152">
        <v>0.33333333333333331</v>
      </c>
      <c r="AM183" s="1152">
        <v>0.33333333333333331</v>
      </c>
      <c r="AN183" s="1152">
        <v>0.33333333333333331</v>
      </c>
      <c r="AO183" s="1152">
        <v>0.33333333333333331</v>
      </c>
      <c r="AP183" s="1152">
        <v>0.33333333333333331</v>
      </c>
      <c r="AQ183" s="1152">
        <v>0.33333333333333331</v>
      </c>
      <c r="AR183" s="1152">
        <v>0.33333333333333331</v>
      </c>
      <c r="AS183" s="1152">
        <v>0.33333333333333331</v>
      </c>
      <c r="AT183" s="1153">
        <v>0</v>
      </c>
      <c r="AU183" s="1152">
        <v>0</v>
      </c>
      <c r="AV183" s="1152">
        <v>0</v>
      </c>
      <c r="AX183" s="1147">
        <v>3</v>
      </c>
      <c r="AY183" s="1151" t="s">
        <v>1303</v>
      </c>
      <c r="AZ183" s="1148" t="s">
        <v>828</v>
      </c>
      <c r="BA183" s="1152">
        <f t="shared" ref="BA183:BJ183" si="154">1/3</f>
        <v>0.33333333333333331</v>
      </c>
      <c r="BB183" s="1152">
        <f t="shared" si="154"/>
        <v>0.33333333333333331</v>
      </c>
      <c r="BC183" s="1152">
        <f t="shared" si="154"/>
        <v>0.33333333333333331</v>
      </c>
      <c r="BD183" s="1152">
        <f t="shared" si="154"/>
        <v>0.33333333333333331</v>
      </c>
      <c r="BE183" s="1152">
        <f t="shared" si="154"/>
        <v>0.33333333333333331</v>
      </c>
      <c r="BF183" s="1152">
        <f t="shared" si="154"/>
        <v>0.33333333333333331</v>
      </c>
      <c r="BG183" s="1152">
        <f t="shared" si="154"/>
        <v>0.33333333333333331</v>
      </c>
      <c r="BH183" s="1152">
        <f t="shared" si="154"/>
        <v>0.33333333333333331</v>
      </c>
      <c r="BI183" s="1152">
        <f t="shared" si="154"/>
        <v>0.33333333333333331</v>
      </c>
      <c r="BJ183" s="1152">
        <f t="shared" si="154"/>
        <v>0.33333333333333331</v>
      </c>
      <c r="BK183" s="1153"/>
      <c r="BL183" s="1152"/>
      <c r="BM183" s="1152"/>
      <c r="BO183" s="1147">
        <v>3</v>
      </c>
      <c r="BP183" s="1151" t="s">
        <v>1303</v>
      </c>
      <c r="BQ183" s="1148" t="s">
        <v>828</v>
      </c>
      <c r="BR183" s="1152">
        <f t="shared" ref="BR183:CA183" si="155">1/3</f>
        <v>0.33333333333333331</v>
      </c>
      <c r="BS183" s="1152">
        <f t="shared" si="155"/>
        <v>0.33333333333333331</v>
      </c>
      <c r="BT183" s="1152">
        <f t="shared" si="155"/>
        <v>0.33333333333333331</v>
      </c>
      <c r="BU183" s="1152">
        <f t="shared" si="155"/>
        <v>0.33333333333333331</v>
      </c>
      <c r="BV183" s="1152">
        <f t="shared" si="155"/>
        <v>0.33333333333333331</v>
      </c>
      <c r="BW183" s="1152">
        <f t="shared" si="155"/>
        <v>0.33333333333333331</v>
      </c>
      <c r="BX183" s="1152">
        <f t="shared" si="155"/>
        <v>0.33333333333333331</v>
      </c>
      <c r="BY183" s="1152">
        <f t="shared" si="155"/>
        <v>0.33333333333333331</v>
      </c>
      <c r="BZ183" s="1152">
        <f t="shared" si="155"/>
        <v>0.33333333333333331</v>
      </c>
      <c r="CA183" s="1152">
        <f t="shared" si="155"/>
        <v>0.33333333333333331</v>
      </c>
      <c r="CB183" s="1153"/>
      <c r="CC183" s="1152"/>
      <c r="CD183" s="1152"/>
      <c r="CE183" s="1381"/>
      <c r="CG183" s="1147">
        <v>3</v>
      </c>
      <c r="CH183" s="1151" t="s">
        <v>1303</v>
      </c>
      <c r="CI183" s="1148" t="s">
        <v>828</v>
      </c>
      <c r="CJ183" s="1528">
        <f t="shared" si="135"/>
        <v>0.33333333333333331</v>
      </c>
      <c r="CK183" s="1528">
        <f t="shared" si="123"/>
        <v>0.33333333333333331</v>
      </c>
      <c r="CL183" s="1528">
        <f t="shared" si="124"/>
        <v>0.33333333333333331</v>
      </c>
      <c r="CM183" s="1528">
        <f t="shared" si="125"/>
        <v>0.33333333333333331</v>
      </c>
      <c r="CN183" s="1528">
        <f t="shared" si="126"/>
        <v>0.33333333333333331</v>
      </c>
      <c r="CO183" s="1528">
        <f t="shared" si="127"/>
        <v>0.33333333333333331</v>
      </c>
      <c r="CP183" s="1528">
        <f t="shared" si="128"/>
        <v>0.33333333333333331</v>
      </c>
      <c r="CQ183" s="1528">
        <f t="shared" si="129"/>
        <v>0.33333333333333331</v>
      </c>
      <c r="CR183" s="1528">
        <f t="shared" si="130"/>
        <v>0.33333333333333331</v>
      </c>
      <c r="CS183" s="1528">
        <f t="shared" si="131"/>
        <v>0.33333333333333331</v>
      </c>
      <c r="CT183" s="1530">
        <f t="shared" si="132"/>
        <v>0</v>
      </c>
      <c r="CU183" s="1528">
        <f t="shared" si="133"/>
        <v>0</v>
      </c>
      <c r="CV183" s="1528">
        <f t="shared" si="134"/>
        <v>0</v>
      </c>
      <c r="CX183" s="1147">
        <v>3</v>
      </c>
      <c r="CY183" s="1151" t="s">
        <v>1303</v>
      </c>
      <c r="CZ183" s="1148" t="s">
        <v>828</v>
      </c>
      <c r="DA183" s="1649">
        <v>0</v>
      </c>
      <c r="DB183" s="1518"/>
      <c r="DC183" s="1518"/>
      <c r="DD183" s="1518"/>
      <c r="DE183" s="1518"/>
      <c r="DF183" s="1518"/>
      <c r="DG183" s="1518"/>
      <c r="DH183" s="1518"/>
      <c r="DI183" s="1518"/>
      <c r="DJ183" s="1518"/>
      <c r="DK183" s="1519"/>
      <c r="DL183" s="1518"/>
      <c r="DM183" s="1518"/>
    </row>
    <row r="184" spans="2:117">
      <c r="B184" s="1136" t="str">
        <f t="shared" si="140"/>
        <v>3.1</v>
      </c>
      <c r="C184" s="1158" t="str">
        <f t="shared" si="116"/>
        <v>騒音・振動・悪臭の防止</v>
      </c>
      <c r="D184" s="1155">
        <f>IF(I$183=0,0,G184/I$183)</f>
        <v>0</v>
      </c>
      <c r="E184" s="1155">
        <f>IF(J$183=0,0,H184/J$183)</f>
        <v>0</v>
      </c>
      <c r="G184" s="1156">
        <f t="shared" si="136"/>
        <v>0</v>
      </c>
      <c r="H184" s="1156">
        <f t="shared" si="137"/>
        <v>0</v>
      </c>
      <c r="I184" s="1156">
        <f>SUM(G185:G187)</f>
        <v>0</v>
      </c>
      <c r="J184" s="1156">
        <f>SUM(H185:H187)</f>
        <v>0</v>
      </c>
      <c r="K184" s="1156">
        <f>IF(スコア!Q184=0,0,1)</f>
        <v>0</v>
      </c>
      <c r="L184" s="1156">
        <f>IF(スコア!S184=0,0,1)</f>
        <v>0</v>
      </c>
      <c r="M184" s="1156">
        <f t="shared" si="138"/>
        <v>0.4</v>
      </c>
      <c r="N184" s="1156">
        <f t="shared" si="142"/>
        <v>0</v>
      </c>
      <c r="P184" s="1226" t="str">
        <f t="shared" si="118"/>
        <v>3.1</v>
      </c>
      <c r="Q184" s="1161" t="str">
        <f t="shared" si="119"/>
        <v>LR3 3</v>
      </c>
      <c r="R184" s="1158" t="str">
        <f t="shared" si="120"/>
        <v>騒音・振動・悪臭の防止</v>
      </c>
      <c r="S184" s="1597">
        <f t="shared" si="102"/>
        <v>0.4</v>
      </c>
      <c r="T184" s="1597">
        <f t="shared" si="103"/>
        <v>0.4</v>
      </c>
      <c r="U184" s="1597">
        <f t="shared" si="104"/>
        <v>0.4</v>
      </c>
      <c r="V184" s="1597">
        <f t="shared" si="105"/>
        <v>0.4</v>
      </c>
      <c r="W184" s="1597">
        <f t="shared" si="106"/>
        <v>0.4</v>
      </c>
      <c r="X184" s="1597">
        <f t="shared" si="107"/>
        <v>0.4</v>
      </c>
      <c r="Y184" s="1597">
        <f t="shared" si="108"/>
        <v>0.4</v>
      </c>
      <c r="Z184" s="1597">
        <f t="shared" si="109"/>
        <v>0.4</v>
      </c>
      <c r="AA184" s="1597">
        <f t="shared" si="110"/>
        <v>0.4</v>
      </c>
      <c r="AB184" s="1597">
        <f t="shared" si="111"/>
        <v>0.4</v>
      </c>
      <c r="AC184" s="1598">
        <f t="shared" si="112"/>
        <v>0</v>
      </c>
      <c r="AD184" s="1597">
        <f t="shared" si="113"/>
        <v>0</v>
      </c>
      <c r="AE184" s="1597">
        <f t="shared" si="114"/>
        <v>0</v>
      </c>
      <c r="AG184" s="1227" t="s">
        <v>1403</v>
      </c>
      <c r="AH184" s="1161" t="s">
        <v>2084</v>
      </c>
      <c r="AI184" s="1158" t="s">
        <v>829</v>
      </c>
      <c r="AJ184" s="1207">
        <v>0.4</v>
      </c>
      <c r="AK184" s="1207">
        <v>0.4</v>
      </c>
      <c r="AL184" s="1207">
        <v>0.4</v>
      </c>
      <c r="AM184" s="1207">
        <v>0.4</v>
      </c>
      <c r="AN184" s="1207">
        <v>0.4</v>
      </c>
      <c r="AO184" s="1207">
        <v>0.4</v>
      </c>
      <c r="AP184" s="1207">
        <v>0.4</v>
      </c>
      <c r="AQ184" s="1207">
        <v>0.4</v>
      </c>
      <c r="AR184" s="1207">
        <v>0.4</v>
      </c>
      <c r="AS184" s="1207">
        <v>0.4</v>
      </c>
      <c r="AT184" s="1208"/>
      <c r="AU184" s="1207"/>
      <c r="AV184" s="1207"/>
      <c r="AX184" s="1227" t="s">
        <v>1404</v>
      </c>
      <c r="AY184" s="1161" t="s">
        <v>2084</v>
      </c>
      <c r="AZ184" s="1158" t="s">
        <v>829</v>
      </c>
      <c r="BA184" s="1207">
        <v>0.4</v>
      </c>
      <c r="BB184" s="1207">
        <v>0.4</v>
      </c>
      <c r="BC184" s="1207">
        <v>0.4</v>
      </c>
      <c r="BD184" s="1207">
        <v>0.4</v>
      </c>
      <c r="BE184" s="1207">
        <v>0.4</v>
      </c>
      <c r="BF184" s="1207">
        <v>0.4</v>
      </c>
      <c r="BG184" s="1207">
        <v>0.4</v>
      </c>
      <c r="BH184" s="1207">
        <v>0.4</v>
      </c>
      <c r="BI184" s="1207">
        <v>0.4</v>
      </c>
      <c r="BJ184" s="1207">
        <v>0.4</v>
      </c>
      <c r="BK184" s="1208"/>
      <c r="BL184" s="1207"/>
      <c r="BM184" s="1207"/>
      <c r="BO184" s="1227" t="s">
        <v>1404</v>
      </c>
      <c r="BP184" s="1161" t="s">
        <v>2084</v>
      </c>
      <c r="BQ184" s="1158" t="s">
        <v>829</v>
      </c>
      <c r="BR184" s="1207">
        <v>0.4</v>
      </c>
      <c r="BS184" s="1207">
        <v>0.4</v>
      </c>
      <c r="BT184" s="1207">
        <v>0.4</v>
      </c>
      <c r="BU184" s="1207">
        <v>0.4</v>
      </c>
      <c r="BV184" s="1207">
        <v>0.4</v>
      </c>
      <c r="BW184" s="1207">
        <v>0.4</v>
      </c>
      <c r="BX184" s="1207">
        <v>0.4</v>
      </c>
      <c r="BY184" s="1207">
        <v>0.4</v>
      </c>
      <c r="BZ184" s="1207">
        <v>0.4</v>
      </c>
      <c r="CA184" s="1207">
        <v>0.4</v>
      </c>
      <c r="CB184" s="1208"/>
      <c r="CC184" s="1207"/>
      <c r="CD184" s="1207"/>
      <c r="CE184" s="1385"/>
      <c r="CG184" s="1227" t="s">
        <v>1153</v>
      </c>
      <c r="CH184" s="1161" t="s">
        <v>2084</v>
      </c>
      <c r="CI184" s="1158" t="s">
        <v>829</v>
      </c>
      <c r="CJ184" s="1546">
        <f t="shared" si="135"/>
        <v>0.4</v>
      </c>
      <c r="CK184" s="1546">
        <f t="shared" si="123"/>
        <v>0.4</v>
      </c>
      <c r="CL184" s="1546">
        <f t="shared" si="124"/>
        <v>0.4</v>
      </c>
      <c r="CM184" s="1546">
        <f t="shared" si="125"/>
        <v>0.4</v>
      </c>
      <c r="CN184" s="1546">
        <f t="shared" si="126"/>
        <v>0.4</v>
      </c>
      <c r="CO184" s="1546">
        <f t="shared" si="127"/>
        <v>0.4</v>
      </c>
      <c r="CP184" s="1546">
        <f t="shared" si="128"/>
        <v>0.4</v>
      </c>
      <c r="CQ184" s="1546">
        <f t="shared" si="129"/>
        <v>0.4</v>
      </c>
      <c r="CR184" s="1546">
        <f t="shared" si="130"/>
        <v>0.4</v>
      </c>
      <c r="CS184" s="1546">
        <f t="shared" si="131"/>
        <v>0.4</v>
      </c>
      <c r="CT184" s="1547">
        <f t="shared" si="132"/>
        <v>0</v>
      </c>
      <c r="CU184" s="1546">
        <f t="shared" si="133"/>
        <v>0</v>
      </c>
      <c r="CV184" s="1546">
        <f t="shared" si="134"/>
        <v>0</v>
      </c>
      <c r="CX184" s="1227" t="s">
        <v>1153</v>
      </c>
      <c r="CY184" s="1161" t="s">
        <v>2084</v>
      </c>
      <c r="CZ184" s="1158"/>
      <c r="DA184" s="1642">
        <v>0</v>
      </c>
      <c r="DB184" s="1523"/>
      <c r="DC184" s="1523"/>
      <c r="DD184" s="1523"/>
      <c r="DE184" s="1523"/>
      <c r="DF184" s="1523"/>
      <c r="DG184" s="1523"/>
      <c r="DH184" s="1523"/>
      <c r="DI184" s="1523"/>
      <c r="DJ184" s="1523"/>
      <c r="DK184" s="1633"/>
      <c r="DL184" s="1523"/>
      <c r="DM184" s="1523"/>
    </row>
    <row r="185" spans="2:117">
      <c r="B185" s="1136" t="str">
        <f t="shared" si="140"/>
        <v>3.1.1</v>
      </c>
      <c r="C185" s="1158" t="str">
        <f t="shared" si="116"/>
        <v>騒音</v>
      </c>
      <c r="D185" s="1155">
        <f t="shared" ref="D185:E187" si="156">IF(I$184=0,0,G185/I$184)</f>
        <v>0</v>
      </c>
      <c r="E185" s="1155">
        <f t="shared" si="156"/>
        <v>0</v>
      </c>
      <c r="G185" s="1156">
        <f t="shared" si="136"/>
        <v>0</v>
      </c>
      <c r="H185" s="1156">
        <f t="shared" si="137"/>
        <v>0</v>
      </c>
      <c r="I185" s="1156"/>
      <c r="J185" s="1156"/>
      <c r="K185" s="1156">
        <f>IF(スコア!Q185=0,0,1)</f>
        <v>0</v>
      </c>
      <c r="L185" s="1156">
        <f>IF(スコア!S185=0,0,1)</f>
        <v>0</v>
      </c>
      <c r="M185" s="1156">
        <f t="shared" si="138"/>
        <v>0.33333333333333331</v>
      </c>
      <c r="N185" s="1156">
        <f t="shared" si="142"/>
        <v>0</v>
      </c>
      <c r="P185" s="1227" t="str">
        <f t="shared" si="118"/>
        <v>3.1.1</v>
      </c>
      <c r="Q185" s="1157" t="str">
        <f t="shared" si="119"/>
        <v>LR3 3.1</v>
      </c>
      <c r="R185" s="1158" t="str">
        <f t="shared" si="120"/>
        <v>騒音</v>
      </c>
      <c r="S185" s="1585">
        <f t="shared" si="102"/>
        <v>0.33333333333333331</v>
      </c>
      <c r="T185" s="1585">
        <f t="shared" si="103"/>
        <v>0.33333333333333331</v>
      </c>
      <c r="U185" s="1585">
        <f t="shared" si="104"/>
        <v>0.33333333333333331</v>
      </c>
      <c r="V185" s="1585">
        <f t="shared" si="105"/>
        <v>0.33333333333333331</v>
      </c>
      <c r="W185" s="1585">
        <f t="shared" si="106"/>
        <v>0.33333333333333331</v>
      </c>
      <c r="X185" s="1585">
        <f t="shared" si="107"/>
        <v>0.33333333333333331</v>
      </c>
      <c r="Y185" s="1585">
        <f t="shared" si="108"/>
        <v>0.33333333333333331</v>
      </c>
      <c r="Z185" s="1585">
        <f t="shared" si="109"/>
        <v>0.33333333333333331</v>
      </c>
      <c r="AA185" s="1585">
        <f t="shared" si="110"/>
        <v>0.33333333333333331</v>
      </c>
      <c r="AB185" s="1585">
        <f t="shared" si="111"/>
        <v>0.33333333333333331</v>
      </c>
      <c r="AC185" s="1586">
        <f t="shared" si="112"/>
        <v>0</v>
      </c>
      <c r="AD185" s="1585">
        <f t="shared" si="113"/>
        <v>0</v>
      </c>
      <c r="AE185" s="1585">
        <f t="shared" si="114"/>
        <v>0</v>
      </c>
      <c r="AG185" s="1227" t="s">
        <v>1405</v>
      </c>
      <c r="AH185" s="1157" t="s">
        <v>2085</v>
      </c>
      <c r="AI185" s="1158" t="s">
        <v>830</v>
      </c>
      <c r="AJ185" s="1163">
        <v>0.33333333333333331</v>
      </c>
      <c r="AK185" s="1163">
        <v>0.33333333333333331</v>
      </c>
      <c r="AL185" s="1163">
        <v>0.33333333333333331</v>
      </c>
      <c r="AM185" s="1163">
        <v>0.33333333333333331</v>
      </c>
      <c r="AN185" s="1163">
        <v>0.33333333333333331</v>
      </c>
      <c r="AO185" s="1163">
        <v>0.33333333333333331</v>
      </c>
      <c r="AP185" s="1163">
        <v>0.33333333333333331</v>
      </c>
      <c r="AQ185" s="1163">
        <v>0.33333333333333331</v>
      </c>
      <c r="AR185" s="1163">
        <v>0.33333333333333331</v>
      </c>
      <c r="AS185" s="1163">
        <v>0.33333333333333331</v>
      </c>
      <c r="AT185" s="1164"/>
      <c r="AU185" s="1163"/>
      <c r="AV185" s="1163"/>
      <c r="AX185" s="1227" t="s">
        <v>1406</v>
      </c>
      <c r="AY185" s="1157" t="s">
        <v>2085</v>
      </c>
      <c r="AZ185" s="1158" t="s">
        <v>830</v>
      </c>
      <c r="BA185" s="1163">
        <v>0.33333333333333331</v>
      </c>
      <c r="BB185" s="1163">
        <v>0.33333333333333331</v>
      </c>
      <c r="BC185" s="1163">
        <v>0.33333333333333331</v>
      </c>
      <c r="BD185" s="1163">
        <v>0.33333333333333331</v>
      </c>
      <c r="BE185" s="1163">
        <v>0.33333333333333331</v>
      </c>
      <c r="BF185" s="1163">
        <v>0.33333333333333331</v>
      </c>
      <c r="BG185" s="1163">
        <v>0.33333333333333331</v>
      </c>
      <c r="BH185" s="1163">
        <v>0.33333333333333331</v>
      </c>
      <c r="BI185" s="1163">
        <v>0.33333333333333331</v>
      </c>
      <c r="BJ185" s="1163">
        <v>0.33333333333333331</v>
      </c>
      <c r="BK185" s="1164"/>
      <c r="BL185" s="1163"/>
      <c r="BM185" s="1163"/>
      <c r="BO185" s="1227" t="s">
        <v>1406</v>
      </c>
      <c r="BP185" s="1157" t="s">
        <v>2085</v>
      </c>
      <c r="BQ185" s="1158" t="s">
        <v>830</v>
      </c>
      <c r="BR185" s="1163">
        <v>0.33333333333333331</v>
      </c>
      <c r="BS185" s="1163">
        <v>0.33333333333333331</v>
      </c>
      <c r="BT185" s="1163">
        <v>0.33333333333333331</v>
      </c>
      <c r="BU185" s="1163">
        <v>0.33333333333333331</v>
      </c>
      <c r="BV185" s="1163">
        <v>0.33333333333333331</v>
      </c>
      <c r="BW185" s="1163">
        <v>0.33333333333333331</v>
      </c>
      <c r="BX185" s="1163">
        <v>0.33333333333333331</v>
      </c>
      <c r="BY185" s="1163">
        <v>0.33333333333333331</v>
      </c>
      <c r="BZ185" s="1163">
        <v>0.33333333333333331</v>
      </c>
      <c r="CA185" s="1163">
        <v>0.33333333333333331</v>
      </c>
      <c r="CB185" s="1163"/>
      <c r="CC185" s="1163"/>
      <c r="CD185" s="1163"/>
      <c r="CE185" s="1382"/>
      <c r="CG185" s="1227" t="s">
        <v>928</v>
      </c>
      <c r="CH185" s="1157" t="s">
        <v>2085</v>
      </c>
      <c r="CI185" s="1158" t="s">
        <v>830</v>
      </c>
      <c r="CJ185" s="1531">
        <f t="shared" si="135"/>
        <v>0.33333333333333331</v>
      </c>
      <c r="CK185" s="1531">
        <f t="shared" si="123"/>
        <v>0.33333333333333331</v>
      </c>
      <c r="CL185" s="1531">
        <f t="shared" si="124"/>
        <v>0.33333333333333331</v>
      </c>
      <c r="CM185" s="1531">
        <f t="shared" si="125"/>
        <v>0.33333333333333331</v>
      </c>
      <c r="CN185" s="1531">
        <f t="shared" si="126"/>
        <v>0.33333333333333331</v>
      </c>
      <c r="CO185" s="1531">
        <f t="shared" si="127"/>
        <v>0.33333333333333331</v>
      </c>
      <c r="CP185" s="1531">
        <f t="shared" si="128"/>
        <v>0.33333333333333331</v>
      </c>
      <c r="CQ185" s="1531">
        <f t="shared" si="129"/>
        <v>0.33333333333333331</v>
      </c>
      <c r="CR185" s="1531">
        <f t="shared" si="130"/>
        <v>0.33333333333333331</v>
      </c>
      <c r="CS185" s="1531">
        <f t="shared" si="131"/>
        <v>0.33333333333333331</v>
      </c>
      <c r="CT185" s="1531">
        <f t="shared" si="132"/>
        <v>0</v>
      </c>
      <c r="CU185" s="1531">
        <f t="shared" si="133"/>
        <v>0</v>
      </c>
      <c r="CV185" s="1531">
        <f t="shared" si="134"/>
        <v>0</v>
      </c>
      <c r="CX185" s="1227" t="s">
        <v>928</v>
      </c>
      <c r="CY185" s="1157" t="s">
        <v>2085</v>
      </c>
      <c r="CZ185" s="1158"/>
      <c r="DA185" s="1642">
        <v>0</v>
      </c>
      <c r="DB185" s="1520"/>
      <c r="DC185" s="1520"/>
      <c r="DD185" s="1520"/>
      <c r="DE185" s="1520"/>
      <c r="DF185" s="1520"/>
      <c r="DG185" s="1520"/>
      <c r="DH185" s="1520"/>
      <c r="DI185" s="1520"/>
      <c r="DJ185" s="1520"/>
      <c r="DK185" s="1520"/>
      <c r="DL185" s="1520"/>
      <c r="DM185" s="1520"/>
    </row>
    <row r="186" spans="2:117">
      <c r="B186" s="1136" t="str">
        <f t="shared" si="140"/>
        <v>3.1.2</v>
      </c>
      <c r="C186" s="1158" t="str">
        <f t="shared" si="116"/>
        <v>振動</v>
      </c>
      <c r="D186" s="1155">
        <f t="shared" si="156"/>
        <v>0</v>
      </c>
      <c r="E186" s="1155">
        <f t="shared" si="156"/>
        <v>0</v>
      </c>
      <c r="G186" s="1156">
        <f t="shared" si="136"/>
        <v>0</v>
      </c>
      <c r="H186" s="1156">
        <f t="shared" si="137"/>
        <v>0</v>
      </c>
      <c r="I186" s="1156"/>
      <c r="J186" s="1156"/>
      <c r="K186" s="1156">
        <f>IF(スコア!Q186=0,0,1)</f>
        <v>0</v>
      </c>
      <c r="L186" s="1156">
        <f>IF(スコア!S186=0,0,1)</f>
        <v>0</v>
      </c>
      <c r="M186" s="1156">
        <f t="shared" si="138"/>
        <v>0.33333333333333331</v>
      </c>
      <c r="N186" s="1156">
        <f t="shared" si="142"/>
        <v>0</v>
      </c>
      <c r="P186" s="1227" t="str">
        <f t="shared" si="118"/>
        <v>3.1.2</v>
      </c>
      <c r="Q186" s="1157" t="str">
        <f t="shared" si="119"/>
        <v>LR3 3.1</v>
      </c>
      <c r="R186" s="1158" t="str">
        <f t="shared" si="120"/>
        <v>振動</v>
      </c>
      <c r="S186" s="1585">
        <f t="shared" si="102"/>
        <v>0.33333333333333331</v>
      </c>
      <c r="T186" s="1585">
        <f t="shared" si="103"/>
        <v>0.33333333333333331</v>
      </c>
      <c r="U186" s="1585">
        <f t="shared" si="104"/>
        <v>0.33333333333333331</v>
      </c>
      <c r="V186" s="1585">
        <f t="shared" si="105"/>
        <v>0.33333333333333331</v>
      </c>
      <c r="W186" s="1585">
        <f t="shared" si="106"/>
        <v>0.33333333333333331</v>
      </c>
      <c r="X186" s="1585">
        <f t="shared" si="107"/>
        <v>0.33333333333333331</v>
      </c>
      <c r="Y186" s="1585">
        <f t="shared" si="108"/>
        <v>0.33333333333333331</v>
      </c>
      <c r="Z186" s="1585">
        <f t="shared" si="109"/>
        <v>0.33333333333333331</v>
      </c>
      <c r="AA186" s="1585">
        <f t="shared" si="110"/>
        <v>0.33333333333333331</v>
      </c>
      <c r="AB186" s="1585">
        <f t="shared" si="111"/>
        <v>0.33333333333333331</v>
      </c>
      <c r="AC186" s="1586">
        <f t="shared" si="112"/>
        <v>0</v>
      </c>
      <c r="AD186" s="1585">
        <f t="shared" si="113"/>
        <v>0</v>
      </c>
      <c r="AE186" s="1585">
        <f t="shared" si="114"/>
        <v>0</v>
      </c>
      <c r="AG186" s="1227" t="s">
        <v>1407</v>
      </c>
      <c r="AH186" s="1157" t="s">
        <v>2085</v>
      </c>
      <c r="AI186" s="1158" t="s">
        <v>2086</v>
      </c>
      <c r="AJ186" s="1163">
        <v>0.33333333333333331</v>
      </c>
      <c r="AK186" s="1163">
        <v>0.33333333333333331</v>
      </c>
      <c r="AL186" s="1163">
        <v>0.33333333333333331</v>
      </c>
      <c r="AM186" s="1163">
        <v>0.33333333333333331</v>
      </c>
      <c r="AN186" s="1163">
        <v>0.33333333333333331</v>
      </c>
      <c r="AO186" s="1163">
        <v>0.33333333333333331</v>
      </c>
      <c r="AP186" s="1163">
        <v>0.33333333333333331</v>
      </c>
      <c r="AQ186" s="1163">
        <v>0.33333333333333331</v>
      </c>
      <c r="AR186" s="1163">
        <v>0.33333333333333331</v>
      </c>
      <c r="AS186" s="1163">
        <v>0.33333333333333331</v>
      </c>
      <c r="AT186" s="1164"/>
      <c r="AU186" s="1163"/>
      <c r="AV186" s="1163"/>
      <c r="AX186" s="1227" t="s">
        <v>1407</v>
      </c>
      <c r="AY186" s="1157" t="s">
        <v>2085</v>
      </c>
      <c r="AZ186" s="1158" t="s">
        <v>2086</v>
      </c>
      <c r="BA186" s="1163">
        <v>0.33333333333333331</v>
      </c>
      <c r="BB186" s="1163">
        <v>0.33333333333333331</v>
      </c>
      <c r="BC186" s="1163">
        <v>0.33333333333333331</v>
      </c>
      <c r="BD186" s="1163">
        <v>0.33333333333333331</v>
      </c>
      <c r="BE186" s="1163">
        <v>0.33333333333333331</v>
      </c>
      <c r="BF186" s="1163">
        <v>0.33333333333333331</v>
      </c>
      <c r="BG186" s="1163">
        <v>0.33333333333333331</v>
      </c>
      <c r="BH186" s="1163">
        <v>0.33333333333333331</v>
      </c>
      <c r="BI186" s="1163">
        <v>0.33333333333333331</v>
      </c>
      <c r="BJ186" s="1163">
        <v>0.33333333333333331</v>
      </c>
      <c r="BK186" s="1164"/>
      <c r="BL186" s="1163"/>
      <c r="BM186" s="1163"/>
      <c r="BO186" s="1227" t="s">
        <v>1407</v>
      </c>
      <c r="BP186" s="1157" t="s">
        <v>2085</v>
      </c>
      <c r="BQ186" s="1158" t="s">
        <v>2086</v>
      </c>
      <c r="BR186" s="1163">
        <v>0.33333333333333331</v>
      </c>
      <c r="BS186" s="1163">
        <v>0.33333333333333331</v>
      </c>
      <c r="BT186" s="1163">
        <v>0.33333333333333331</v>
      </c>
      <c r="BU186" s="1163">
        <v>0.33333333333333331</v>
      </c>
      <c r="BV186" s="1163">
        <v>0.33333333333333331</v>
      </c>
      <c r="BW186" s="1163">
        <v>0.33333333333333331</v>
      </c>
      <c r="BX186" s="1163">
        <v>0.33333333333333331</v>
      </c>
      <c r="BY186" s="1163">
        <v>0.33333333333333331</v>
      </c>
      <c r="BZ186" s="1163">
        <v>0.33333333333333331</v>
      </c>
      <c r="CA186" s="1163">
        <v>0.33333333333333331</v>
      </c>
      <c r="CB186" s="1163"/>
      <c r="CC186" s="1163"/>
      <c r="CD186" s="1163"/>
      <c r="CE186" s="1382"/>
      <c r="CG186" s="1227" t="s">
        <v>929</v>
      </c>
      <c r="CH186" s="1157" t="s">
        <v>2085</v>
      </c>
      <c r="CI186" s="1158" t="s">
        <v>2086</v>
      </c>
      <c r="CJ186" s="1531">
        <f t="shared" si="135"/>
        <v>0.33333333333333331</v>
      </c>
      <c r="CK186" s="1531">
        <f t="shared" si="123"/>
        <v>0.33333333333333331</v>
      </c>
      <c r="CL186" s="1531">
        <f t="shared" si="124"/>
        <v>0.33333333333333331</v>
      </c>
      <c r="CM186" s="1531">
        <f t="shared" si="125"/>
        <v>0.33333333333333331</v>
      </c>
      <c r="CN186" s="1531">
        <f t="shared" si="126"/>
        <v>0.33333333333333331</v>
      </c>
      <c r="CO186" s="1531">
        <f t="shared" si="127"/>
        <v>0.33333333333333331</v>
      </c>
      <c r="CP186" s="1531">
        <f t="shared" si="128"/>
        <v>0.33333333333333331</v>
      </c>
      <c r="CQ186" s="1531">
        <f t="shared" si="129"/>
        <v>0.33333333333333331</v>
      </c>
      <c r="CR186" s="1531">
        <f t="shared" si="130"/>
        <v>0.33333333333333331</v>
      </c>
      <c r="CS186" s="1531">
        <f t="shared" si="131"/>
        <v>0.33333333333333331</v>
      </c>
      <c r="CT186" s="1531">
        <f t="shared" si="132"/>
        <v>0</v>
      </c>
      <c r="CU186" s="1531">
        <f t="shared" si="133"/>
        <v>0</v>
      </c>
      <c r="CV186" s="1531">
        <f t="shared" si="134"/>
        <v>0</v>
      </c>
      <c r="CX186" s="1227" t="s">
        <v>929</v>
      </c>
      <c r="CY186" s="1157" t="s">
        <v>2085</v>
      </c>
      <c r="CZ186" s="1158"/>
      <c r="DA186" s="1642">
        <v>0</v>
      </c>
      <c r="DB186" s="1520"/>
      <c r="DC186" s="1520"/>
      <c r="DD186" s="1520"/>
      <c r="DE186" s="1520"/>
      <c r="DF186" s="1520"/>
      <c r="DG186" s="1520"/>
      <c r="DH186" s="1520"/>
      <c r="DI186" s="1520"/>
      <c r="DJ186" s="1520"/>
      <c r="DK186" s="1520"/>
      <c r="DL186" s="1520"/>
      <c r="DM186" s="1520"/>
    </row>
    <row r="187" spans="2:117">
      <c r="B187" s="1136" t="str">
        <f t="shared" si="140"/>
        <v>3.1.3</v>
      </c>
      <c r="C187" s="1158" t="str">
        <f t="shared" si="116"/>
        <v>悪臭</v>
      </c>
      <c r="D187" s="1155">
        <f t="shared" si="156"/>
        <v>0</v>
      </c>
      <c r="E187" s="1155">
        <f t="shared" si="156"/>
        <v>0</v>
      </c>
      <c r="G187" s="1156">
        <f t="shared" ref="G187:G194" si="157">K187*M187</f>
        <v>0</v>
      </c>
      <c r="H187" s="1156">
        <f t="shared" ref="H187:H194" si="158">L187*N187</f>
        <v>0</v>
      </c>
      <c r="I187" s="1156"/>
      <c r="J187" s="1156"/>
      <c r="K187" s="1156">
        <f>IF(スコア!Q187=0,0,1)</f>
        <v>0</v>
      </c>
      <c r="L187" s="1156">
        <f>IF(スコア!S187=0,0,1)</f>
        <v>0</v>
      </c>
      <c r="M187" s="1156">
        <f t="shared" ref="M187:M194" si="159">SUMPRODUCT($S$7:$AB$7,S187:AB187)</f>
        <v>0.33333333333333331</v>
      </c>
      <c r="N187" s="1156">
        <f t="shared" si="142"/>
        <v>0</v>
      </c>
      <c r="P187" s="1227" t="str">
        <f t="shared" si="118"/>
        <v>3.1.3</v>
      </c>
      <c r="Q187" s="1157" t="str">
        <f t="shared" si="119"/>
        <v>LR3 3.1</v>
      </c>
      <c r="R187" s="1158" t="str">
        <f t="shared" si="120"/>
        <v>悪臭</v>
      </c>
      <c r="S187" s="1585">
        <f t="shared" si="102"/>
        <v>0.33333333333333331</v>
      </c>
      <c r="T187" s="1585">
        <f t="shared" si="103"/>
        <v>0.33333333333333331</v>
      </c>
      <c r="U187" s="1585">
        <f t="shared" si="104"/>
        <v>0.33333333333333331</v>
      </c>
      <c r="V187" s="1585">
        <f t="shared" si="105"/>
        <v>0.33333333333333331</v>
      </c>
      <c r="W187" s="1585">
        <f t="shared" si="106"/>
        <v>0.33333333333333331</v>
      </c>
      <c r="X187" s="1585">
        <f t="shared" si="107"/>
        <v>0.33333333333333331</v>
      </c>
      <c r="Y187" s="1585">
        <f t="shared" si="108"/>
        <v>0.33333333333333331</v>
      </c>
      <c r="Z187" s="1585">
        <f t="shared" si="109"/>
        <v>0.33333333333333331</v>
      </c>
      <c r="AA187" s="1585">
        <f t="shared" si="110"/>
        <v>0.33333333333333331</v>
      </c>
      <c r="AB187" s="1585">
        <f t="shared" si="111"/>
        <v>0.33333333333333331</v>
      </c>
      <c r="AC187" s="1586">
        <f t="shared" si="112"/>
        <v>0</v>
      </c>
      <c r="AD187" s="1585">
        <f t="shared" si="113"/>
        <v>0</v>
      </c>
      <c r="AE187" s="1585">
        <f t="shared" si="114"/>
        <v>0</v>
      </c>
      <c r="AG187" s="1227" t="s">
        <v>1408</v>
      </c>
      <c r="AH187" s="1157" t="s">
        <v>2085</v>
      </c>
      <c r="AI187" s="1158" t="s">
        <v>1812</v>
      </c>
      <c r="AJ187" s="1163">
        <v>0.33333333333333331</v>
      </c>
      <c r="AK187" s="1163">
        <v>0.33333333333333331</v>
      </c>
      <c r="AL187" s="1163">
        <v>0.33333333333333331</v>
      </c>
      <c r="AM187" s="1163">
        <v>0.33333333333333331</v>
      </c>
      <c r="AN187" s="1163">
        <v>0.33333333333333331</v>
      </c>
      <c r="AO187" s="1163">
        <v>0.33333333333333331</v>
      </c>
      <c r="AP187" s="1163">
        <v>0.33333333333333331</v>
      </c>
      <c r="AQ187" s="1163">
        <v>0.33333333333333331</v>
      </c>
      <c r="AR187" s="1163">
        <v>0.33333333333333331</v>
      </c>
      <c r="AS187" s="1163">
        <v>0.33333333333333331</v>
      </c>
      <c r="AT187" s="1164"/>
      <c r="AU187" s="1163"/>
      <c r="AV187" s="1163"/>
      <c r="AX187" s="1227" t="s">
        <v>1408</v>
      </c>
      <c r="AY187" s="1157" t="s">
        <v>2085</v>
      </c>
      <c r="AZ187" s="1158" t="s">
        <v>1812</v>
      </c>
      <c r="BA187" s="1163">
        <v>0.33333333333333331</v>
      </c>
      <c r="BB187" s="1163">
        <v>0.33333333333333331</v>
      </c>
      <c r="BC187" s="1163">
        <v>0.33333333333333331</v>
      </c>
      <c r="BD187" s="1163">
        <v>0.33333333333333331</v>
      </c>
      <c r="BE187" s="1163">
        <v>0.33333333333333331</v>
      </c>
      <c r="BF187" s="1163">
        <v>0.33333333333333331</v>
      </c>
      <c r="BG187" s="1163">
        <v>0.33333333333333331</v>
      </c>
      <c r="BH187" s="1163">
        <v>0.33333333333333331</v>
      </c>
      <c r="BI187" s="1163">
        <v>0.33333333333333331</v>
      </c>
      <c r="BJ187" s="1163">
        <v>0.33333333333333331</v>
      </c>
      <c r="BK187" s="1164"/>
      <c r="BL187" s="1163"/>
      <c r="BM187" s="1163"/>
      <c r="BO187" s="1227" t="s">
        <v>1408</v>
      </c>
      <c r="BP187" s="1157" t="s">
        <v>2085</v>
      </c>
      <c r="BQ187" s="1158" t="s">
        <v>1812</v>
      </c>
      <c r="BR187" s="1163">
        <v>0.33333333333333331</v>
      </c>
      <c r="BS187" s="1163">
        <v>0.33333333333333331</v>
      </c>
      <c r="BT187" s="1163">
        <v>0.33333333333333331</v>
      </c>
      <c r="BU187" s="1163">
        <v>0.33333333333333331</v>
      </c>
      <c r="BV187" s="1163">
        <v>0.33333333333333331</v>
      </c>
      <c r="BW187" s="1163">
        <v>0.33333333333333331</v>
      </c>
      <c r="BX187" s="1163">
        <v>0.33333333333333331</v>
      </c>
      <c r="BY187" s="1163">
        <v>0.33333333333333331</v>
      </c>
      <c r="BZ187" s="1163">
        <v>0.33333333333333331</v>
      </c>
      <c r="CA187" s="1163">
        <v>0.33333333333333331</v>
      </c>
      <c r="CB187" s="1163"/>
      <c r="CC187" s="1163"/>
      <c r="CD187" s="1163"/>
      <c r="CE187" s="1382"/>
      <c r="CG187" s="1227" t="s">
        <v>930</v>
      </c>
      <c r="CH187" s="1157" t="s">
        <v>2085</v>
      </c>
      <c r="CI187" s="1158" t="s">
        <v>1812</v>
      </c>
      <c r="CJ187" s="1531">
        <f t="shared" si="135"/>
        <v>0.33333333333333331</v>
      </c>
      <c r="CK187" s="1531">
        <f t="shared" si="123"/>
        <v>0.33333333333333331</v>
      </c>
      <c r="CL187" s="1531">
        <f t="shared" si="124"/>
        <v>0.33333333333333331</v>
      </c>
      <c r="CM187" s="1531">
        <f t="shared" si="125"/>
        <v>0.33333333333333331</v>
      </c>
      <c r="CN187" s="1531">
        <f t="shared" si="126"/>
        <v>0.33333333333333331</v>
      </c>
      <c r="CO187" s="1531">
        <f t="shared" si="127"/>
        <v>0.33333333333333331</v>
      </c>
      <c r="CP187" s="1531">
        <f t="shared" si="128"/>
        <v>0.33333333333333331</v>
      </c>
      <c r="CQ187" s="1531">
        <f t="shared" si="129"/>
        <v>0.33333333333333331</v>
      </c>
      <c r="CR187" s="1531">
        <f t="shared" si="130"/>
        <v>0.33333333333333331</v>
      </c>
      <c r="CS187" s="1531">
        <f t="shared" si="131"/>
        <v>0.33333333333333331</v>
      </c>
      <c r="CT187" s="1531">
        <f t="shared" si="132"/>
        <v>0</v>
      </c>
      <c r="CU187" s="1531">
        <f t="shared" si="133"/>
        <v>0</v>
      </c>
      <c r="CV187" s="1531">
        <f t="shared" si="134"/>
        <v>0</v>
      </c>
      <c r="CX187" s="1227" t="s">
        <v>930</v>
      </c>
      <c r="CY187" s="1157" t="s">
        <v>2085</v>
      </c>
      <c r="CZ187" s="1158"/>
      <c r="DA187" s="1642">
        <v>0</v>
      </c>
      <c r="DB187" s="1520"/>
      <c r="DC187" s="1520"/>
      <c r="DD187" s="1520"/>
      <c r="DE187" s="1520"/>
      <c r="DF187" s="1520"/>
      <c r="DG187" s="1520"/>
      <c r="DH187" s="1520"/>
      <c r="DI187" s="1520"/>
      <c r="DJ187" s="1520"/>
      <c r="DK187" s="1520"/>
      <c r="DL187" s="1520"/>
      <c r="DM187" s="1520"/>
    </row>
    <row r="188" spans="2:117">
      <c r="B188" s="1136" t="str">
        <f t="shared" si="140"/>
        <v>3.2</v>
      </c>
      <c r="C188" s="1158" t="str">
        <f t="shared" si="116"/>
        <v>風害・砂塵、日照阻害の抑制</v>
      </c>
      <c r="D188" s="1155">
        <f>IF(I$183=0,0,G188/I$183)</f>
        <v>0.66666666666666663</v>
      </c>
      <c r="E188" s="1155">
        <f>IF(J$183=0,0,H188/J$183)</f>
        <v>0</v>
      </c>
      <c r="G188" s="1156">
        <f t="shared" si="157"/>
        <v>0.4</v>
      </c>
      <c r="H188" s="1156">
        <f t="shared" si="158"/>
        <v>0</v>
      </c>
      <c r="I188" s="1156">
        <f>SUM(G189:G191)</f>
        <v>1</v>
      </c>
      <c r="J188" s="1156">
        <f>SUM(H189:H191)</f>
        <v>0</v>
      </c>
      <c r="K188" s="1156">
        <f>IF(スコア!Q188=0,0,1)</f>
        <v>1</v>
      </c>
      <c r="L188" s="1156">
        <f>IF(スコア!S188=0,0,1)</f>
        <v>0</v>
      </c>
      <c r="M188" s="1156">
        <f t="shared" si="159"/>
        <v>0.4</v>
      </c>
      <c r="N188" s="1156">
        <f t="shared" si="142"/>
        <v>0</v>
      </c>
      <c r="P188" s="1226" t="str">
        <f t="shared" si="118"/>
        <v>3.2</v>
      </c>
      <c r="Q188" s="1161" t="str">
        <f t="shared" si="119"/>
        <v>LR3 3</v>
      </c>
      <c r="R188" s="1158" t="str">
        <f t="shared" si="120"/>
        <v>風害・砂塵、日照阻害の抑制</v>
      </c>
      <c r="S188" s="1597">
        <f t="shared" si="102"/>
        <v>0.4</v>
      </c>
      <c r="T188" s="1597">
        <f t="shared" si="103"/>
        <v>0.4</v>
      </c>
      <c r="U188" s="1597">
        <f t="shared" si="104"/>
        <v>0.4</v>
      </c>
      <c r="V188" s="1597">
        <f t="shared" si="105"/>
        <v>0.4</v>
      </c>
      <c r="W188" s="1597">
        <f t="shared" si="106"/>
        <v>0.4</v>
      </c>
      <c r="X188" s="1597">
        <f t="shared" si="107"/>
        <v>0.4</v>
      </c>
      <c r="Y188" s="1597">
        <f t="shared" si="108"/>
        <v>0.4</v>
      </c>
      <c r="Z188" s="1597">
        <f t="shared" si="109"/>
        <v>0.4</v>
      </c>
      <c r="AA188" s="1597">
        <f t="shared" si="110"/>
        <v>0.4</v>
      </c>
      <c r="AB188" s="1597">
        <f t="shared" si="111"/>
        <v>0.4</v>
      </c>
      <c r="AC188" s="1598">
        <f t="shared" si="112"/>
        <v>0</v>
      </c>
      <c r="AD188" s="1597">
        <f t="shared" si="113"/>
        <v>0</v>
      </c>
      <c r="AE188" s="1597">
        <f t="shared" si="114"/>
        <v>0</v>
      </c>
      <c r="AG188" s="1227" t="s">
        <v>1409</v>
      </c>
      <c r="AH188" s="1161" t="s">
        <v>2084</v>
      </c>
      <c r="AI188" s="1158" t="s">
        <v>1410</v>
      </c>
      <c r="AJ188" s="1207">
        <v>0.4</v>
      </c>
      <c r="AK188" s="1207">
        <v>0.4</v>
      </c>
      <c r="AL188" s="1207">
        <v>0.4</v>
      </c>
      <c r="AM188" s="1207">
        <v>0.4</v>
      </c>
      <c r="AN188" s="1207">
        <v>0.4</v>
      </c>
      <c r="AO188" s="1207">
        <v>0.4</v>
      </c>
      <c r="AP188" s="1207">
        <v>0.4</v>
      </c>
      <c r="AQ188" s="1207">
        <v>0.4</v>
      </c>
      <c r="AR188" s="1207">
        <v>0.4</v>
      </c>
      <c r="AS188" s="1207">
        <v>0.4</v>
      </c>
      <c r="AT188" s="1208"/>
      <c r="AU188" s="1207"/>
      <c r="AV188" s="1207"/>
      <c r="AX188" s="1227" t="s">
        <v>1409</v>
      </c>
      <c r="AY188" s="1161" t="s">
        <v>2084</v>
      </c>
      <c r="AZ188" s="1158" t="s">
        <v>612</v>
      </c>
      <c r="BA188" s="1207">
        <v>0.4</v>
      </c>
      <c r="BB188" s="1207">
        <v>0.4</v>
      </c>
      <c r="BC188" s="1207">
        <v>0.4</v>
      </c>
      <c r="BD188" s="1207">
        <v>0.4</v>
      </c>
      <c r="BE188" s="1207">
        <v>0.4</v>
      </c>
      <c r="BF188" s="1207">
        <v>0.4</v>
      </c>
      <c r="BG188" s="1207">
        <v>0.4</v>
      </c>
      <c r="BH188" s="1207">
        <v>0.4</v>
      </c>
      <c r="BI188" s="1207">
        <v>0.4</v>
      </c>
      <c r="BJ188" s="1207">
        <v>0.4</v>
      </c>
      <c r="BK188" s="1208"/>
      <c r="BL188" s="1207"/>
      <c r="BM188" s="1207"/>
      <c r="BO188" s="1227" t="s">
        <v>1409</v>
      </c>
      <c r="BP188" s="1161" t="s">
        <v>2084</v>
      </c>
      <c r="BQ188" s="1158" t="s">
        <v>611</v>
      </c>
      <c r="BR188" s="1207">
        <v>0.4</v>
      </c>
      <c r="BS188" s="1207">
        <v>0.4</v>
      </c>
      <c r="BT188" s="1207">
        <v>0.4</v>
      </c>
      <c r="BU188" s="1207">
        <v>0.4</v>
      </c>
      <c r="BV188" s="1207">
        <v>0.4</v>
      </c>
      <c r="BW188" s="1207">
        <v>0.4</v>
      </c>
      <c r="BX188" s="1207">
        <v>0.4</v>
      </c>
      <c r="BY188" s="1207">
        <v>0.4</v>
      </c>
      <c r="BZ188" s="1207">
        <v>0.4</v>
      </c>
      <c r="CA188" s="1207">
        <v>0.4</v>
      </c>
      <c r="CB188" s="1208"/>
      <c r="CC188" s="1207"/>
      <c r="CD188" s="1207"/>
      <c r="CE188" s="1385"/>
      <c r="CG188" s="1227" t="s">
        <v>1155</v>
      </c>
      <c r="CH188" s="1161" t="s">
        <v>2084</v>
      </c>
      <c r="CI188" s="1158" t="s">
        <v>611</v>
      </c>
      <c r="CJ188" s="1546">
        <f t="shared" si="135"/>
        <v>0.4</v>
      </c>
      <c r="CK188" s="1546">
        <f t="shared" si="123"/>
        <v>0.4</v>
      </c>
      <c r="CL188" s="1546">
        <f t="shared" si="124"/>
        <v>0.4</v>
      </c>
      <c r="CM188" s="1546">
        <f t="shared" si="125"/>
        <v>0.4</v>
      </c>
      <c r="CN188" s="1546">
        <f t="shared" si="126"/>
        <v>0.4</v>
      </c>
      <c r="CO188" s="1546">
        <f t="shared" si="127"/>
        <v>0.4</v>
      </c>
      <c r="CP188" s="1546">
        <f t="shared" si="128"/>
        <v>0.4</v>
      </c>
      <c r="CQ188" s="1546">
        <f t="shared" si="129"/>
        <v>0.4</v>
      </c>
      <c r="CR188" s="1546">
        <f t="shared" si="130"/>
        <v>0.4</v>
      </c>
      <c r="CS188" s="1546">
        <f t="shared" si="131"/>
        <v>0.4</v>
      </c>
      <c r="CT188" s="1547">
        <f t="shared" si="132"/>
        <v>0</v>
      </c>
      <c r="CU188" s="1546">
        <f t="shared" si="133"/>
        <v>0</v>
      </c>
      <c r="CV188" s="1546">
        <f t="shared" si="134"/>
        <v>0</v>
      </c>
      <c r="CX188" s="1227" t="s">
        <v>1155</v>
      </c>
      <c r="CY188" s="1161" t="s">
        <v>2084</v>
      </c>
      <c r="CZ188" s="1158"/>
      <c r="DA188" s="1642">
        <v>0</v>
      </c>
      <c r="DB188" s="1523"/>
      <c r="DC188" s="1523"/>
      <c r="DD188" s="1523"/>
      <c r="DE188" s="1523"/>
      <c r="DF188" s="1523"/>
      <c r="DG188" s="1523"/>
      <c r="DH188" s="1523"/>
      <c r="DI188" s="1523"/>
      <c r="DJ188" s="1523"/>
      <c r="DK188" s="1633"/>
      <c r="DL188" s="1523"/>
      <c r="DM188" s="1523"/>
    </row>
    <row r="189" spans="2:117">
      <c r="B189" s="1136" t="str">
        <f t="shared" ref="B189:B194" si="160">P189</f>
        <v>3.2.1</v>
      </c>
      <c r="C189" s="1228" t="str">
        <f t="shared" si="116"/>
        <v>風害の抑制</v>
      </c>
      <c r="D189" s="1155">
        <f t="shared" ref="D189:E191" si="161">IF(I$188=0,0,G189/I$188)</f>
        <v>0.7</v>
      </c>
      <c r="E189" s="1155">
        <f t="shared" si="161"/>
        <v>0</v>
      </c>
      <c r="G189" s="1156">
        <f t="shared" si="157"/>
        <v>0.7</v>
      </c>
      <c r="H189" s="1156">
        <f t="shared" si="158"/>
        <v>0</v>
      </c>
      <c r="I189" s="1156"/>
      <c r="J189" s="1156"/>
      <c r="K189" s="1156">
        <f>IF(スコア!Q189=0,0,1)</f>
        <v>1</v>
      </c>
      <c r="L189" s="1156">
        <f>IF(スコア!S189=0,0,1)</f>
        <v>0</v>
      </c>
      <c r="M189" s="1156">
        <f t="shared" si="159"/>
        <v>0.7</v>
      </c>
      <c r="N189" s="1156">
        <f t="shared" si="142"/>
        <v>0</v>
      </c>
      <c r="P189" s="1227" t="str">
        <f t="shared" si="118"/>
        <v>3.2.1</v>
      </c>
      <c r="Q189" s="1161" t="str">
        <f t="shared" si="119"/>
        <v>LR3 3.2</v>
      </c>
      <c r="R189" s="1228" t="str">
        <f t="shared" si="120"/>
        <v>風害の抑制</v>
      </c>
      <c r="S189" s="1585">
        <f t="shared" si="102"/>
        <v>0.7</v>
      </c>
      <c r="T189" s="1585">
        <f t="shared" si="103"/>
        <v>0.7</v>
      </c>
      <c r="U189" s="1585">
        <f t="shared" si="104"/>
        <v>0.7</v>
      </c>
      <c r="V189" s="1585">
        <f t="shared" si="105"/>
        <v>0.7</v>
      </c>
      <c r="W189" s="1585">
        <f t="shared" si="106"/>
        <v>0.7</v>
      </c>
      <c r="X189" s="1585">
        <f t="shared" si="107"/>
        <v>0.7</v>
      </c>
      <c r="Y189" s="1585">
        <f t="shared" si="108"/>
        <v>0.7</v>
      </c>
      <c r="Z189" s="1585">
        <f t="shared" si="109"/>
        <v>0.7</v>
      </c>
      <c r="AA189" s="1585">
        <f t="shared" si="110"/>
        <v>0.7</v>
      </c>
      <c r="AB189" s="1585">
        <f t="shared" si="111"/>
        <v>0.6</v>
      </c>
      <c r="AC189" s="1598">
        <f t="shared" si="112"/>
        <v>0</v>
      </c>
      <c r="AD189" s="1597">
        <f t="shared" si="113"/>
        <v>0</v>
      </c>
      <c r="AE189" s="1597">
        <f t="shared" si="114"/>
        <v>0</v>
      </c>
      <c r="AG189" s="1227" t="s">
        <v>1411</v>
      </c>
      <c r="AH189" s="1161" t="s">
        <v>1813</v>
      </c>
      <c r="AI189" s="1228" t="s">
        <v>1412</v>
      </c>
      <c r="AJ189" s="1163">
        <v>0.7</v>
      </c>
      <c r="AK189" s="1163">
        <v>0.7</v>
      </c>
      <c r="AL189" s="1163">
        <v>0.7</v>
      </c>
      <c r="AM189" s="1163">
        <v>0.7</v>
      </c>
      <c r="AN189" s="1163">
        <v>0.7</v>
      </c>
      <c r="AO189" s="1163">
        <v>0.7</v>
      </c>
      <c r="AP189" s="1163">
        <v>0.7</v>
      </c>
      <c r="AQ189" s="1163">
        <v>0.7</v>
      </c>
      <c r="AR189" s="1163">
        <v>0.7</v>
      </c>
      <c r="AS189" s="1176">
        <v>0.6</v>
      </c>
      <c r="AT189" s="1208"/>
      <c r="AU189" s="1207"/>
      <c r="AV189" s="1207"/>
      <c r="AX189" s="1227" t="s">
        <v>1411</v>
      </c>
      <c r="AY189" s="1161" t="s">
        <v>1813</v>
      </c>
      <c r="AZ189" s="1228" t="s">
        <v>1412</v>
      </c>
      <c r="BA189" s="1163">
        <v>0.7</v>
      </c>
      <c r="BB189" s="1163">
        <v>0.7</v>
      </c>
      <c r="BC189" s="1163">
        <v>0.7</v>
      </c>
      <c r="BD189" s="1163">
        <v>0.7</v>
      </c>
      <c r="BE189" s="1163">
        <v>0.7</v>
      </c>
      <c r="BF189" s="1163">
        <v>0.7</v>
      </c>
      <c r="BG189" s="1163">
        <v>0.7</v>
      </c>
      <c r="BH189" s="1163">
        <v>0.7</v>
      </c>
      <c r="BI189" s="1163">
        <v>0.7</v>
      </c>
      <c r="BJ189" s="1207">
        <v>0.6</v>
      </c>
      <c r="BK189" s="1208"/>
      <c r="BL189" s="1207"/>
      <c r="BM189" s="1207"/>
      <c r="BO189" s="1227" t="s">
        <v>1411</v>
      </c>
      <c r="BP189" s="1161" t="s">
        <v>1813</v>
      </c>
      <c r="BQ189" s="1228" t="s">
        <v>1412</v>
      </c>
      <c r="BR189" s="1163">
        <v>0.7</v>
      </c>
      <c r="BS189" s="1163">
        <v>0.7</v>
      </c>
      <c r="BT189" s="1163">
        <v>0.7</v>
      </c>
      <c r="BU189" s="1163">
        <v>0.7</v>
      </c>
      <c r="BV189" s="1163">
        <v>0.7</v>
      </c>
      <c r="BW189" s="1163">
        <v>0.7</v>
      </c>
      <c r="BX189" s="1163">
        <v>0.7</v>
      </c>
      <c r="BY189" s="1163">
        <v>0.7</v>
      </c>
      <c r="BZ189" s="1163">
        <v>0.7</v>
      </c>
      <c r="CA189" s="1207">
        <v>0.6</v>
      </c>
      <c r="CB189" s="1208"/>
      <c r="CC189" s="1207"/>
      <c r="CD189" s="1207"/>
      <c r="CE189" s="1385"/>
      <c r="CG189" s="1227" t="s">
        <v>931</v>
      </c>
      <c r="CH189" s="1161" t="s">
        <v>1813</v>
      </c>
      <c r="CI189" s="1228" t="s">
        <v>1412</v>
      </c>
      <c r="CJ189" s="1531">
        <f t="shared" si="135"/>
        <v>0.7</v>
      </c>
      <c r="CK189" s="1531">
        <f t="shared" si="123"/>
        <v>0.7</v>
      </c>
      <c r="CL189" s="1531">
        <f t="shared" si="124"/>
        <v>0.7</v>
      </c>
      <c r="CM189" s="1531">
        <f t="shared" si="125"/>
        <v>0.7</v>
      </c>
      <c r="CN189" s="1531">
        <f t="shared" si="126"/>
        <v>0.7</v>
      </c>
      <c r="CO189" s="1531">
        <f t="shared" si="127"/>
        <v>0.7</v>
      </c>
      <c r="CP189" s="1531">
        <f t="shared" si="128"/>
        <v>0.7</v>
      </c>
      <c r="CQ189" s="1531">
        <f t="shared" si="129"/>
        <v>0.7</v>
      </c>
      <c r="CR189" s="1531">
        <f t="shared" si="130"/>
        <v>0.7</v>
      </c>
      <c r="CS189" s="1546">
        <f t="shared" si="131"/>
        <v>0.6</v>
      </c>
      <c r="CT189" s="1547">
        <f t="shared" si="132"/>
        <v>0</v>
      </c>
      <c r="CU189" s="1546">
        <f t="shared" si="133"/>
        <v>0</v>
      </c>
      <c r="CV189" s="1546">
        <f t="shared" si="134"/>
        <v>0</v>
      </c>
      <c r="CX189" s="1227" t="s">
        <v>931</v>
      </c>
      <c r="CY189" s="1161" t="s">
        <v>1813</v>
      </c>
      <c r="CZ189" s="1228"/>
      <c r="DA189" s="1642">
        <v>0</v>
      </c>
      <c r="DB189" s="1520"/>
      <c r="DC189" s="1520"/>
      <c r="DD189" s="1520"/>
      <c r="DE189" s="1520"/>
      <c r="DF189" s="1520"/>
      <c r="DG189" s="1520"/>
      <c r="DH189" s="1520"/>
      <c r="DI189" s="1520"/>
      <c r="DJ189" s="1523"/>
      <c r="DK189" s="1633"/>
      <c r="DL189" s="1523"/>
      <c r="DM189" s="1523"/>
    </row>
    <row r="190" spans="2:117">
      <c r="B190" s="1136" t="str">
        <f t="shared" si="160"/>
        <v>3.2.2</v>
      </c>
      <c r="C190" s="1228" t="str">
        <f t="shared" si="116"/>
        <v>砂塵の抑制</v>
      </c>
      <c r="D190" s="1155">
        <f t="shared" si="161"/>
        <v>0</v>
      </c>
      <c r="E190" s="1155">
        <f t="shared" si="161"/>
        <v>0</v>
      </c>
      <c r="G190" s="1156">
        <f t="shared" si="157"/>
        <v>0</v>
      </c>
      <c r="H190" s="1156">
        <f t="shared" si="158"/>
        <v>0</v>
      </c>
      <c r="I190" s="1156"/>
      <c r="J190" s="1156"/>
      <c r="K190" s="1156">
        <f>IF(スコア!Q190=0,0,1)</f>
        <v>1</v>
      </c>
      <c r="L190" s="1156">
        <f>IF(スコア!S190=0,0,1)</f>
        <v>0</v>
      </c>
      <c r="M190" s="1156">
        <f t="shared" si="159"/>
        <v>0</v>
      </c>
      <c r="N190" s="1156">
        <f t="shared" si="142"/>
        <v>0</v>
      </c>
      <c r="P190" s="1227" t="str">
        <f t="shared" si="118"/>
        <v>3.2.2</v>
      </c>
      <c r="Q190" s="1161" t="str">
        <f t="shared" si="119"/>
        <v>LR3 3.2</v>
      </c>
      <c r="R190" s="1228" t="str">
        <f t="shared" si="120"/>
        <v>砂塵の抑制</v>
      </c>
      <c r="S190" s="1585">
        <f t="shared" si="102"/>
        <v>0</v>
      </c>
      <c r="T190" s="1585">
        <f t="shared" si="103"/>
        <v>0</v>
      </c>
      <c r="U190" s="1585">
        <f t="shared" si="104"/>
        <v>0</v>
      </c>
      <c r="V190" s="1585">
        <f t="shared" si="105"/>
        <v>0</v>
      </c>
      <c r="W190" s="1585">
        <f t="shared" si="106"/>
        <v>0</v>
      </c>
      <c r="X190" s="1585">
        <f t="shared" si="107"/>
        <v>0</v>
      </c>
      <c r="Y190" s="1585">
        <f t="shared" si="108"/>
        <v>0</v>
      </c>
      <c r="Z190" s="1585">
        <f t="shared" si="109"/>
        <v>0</v>
      </c>
      <c r="AA190" s="1585">
        <f t="shared" si="110"/>
        <v>0</v>
      </c>
      <c r="AB190" s="1585">
        <f t="shared" si="111"/>
        <v>0.2</v>
      </c>
      <c r="AC190" s="1598">
        <f t="shared" si="112"/>
        <v>0</v>
      </c>
      <c r="AD190" s="1597">
        <f t="shared" si="113"/>
        <v>0</v>
      </c>
      <c r="AE190" s="1597">
        <f t="shared" si="114"/>
        <v>0</v>
      </c>
      <c r="AG190" s="1227" t="s">
        <v>2107</v>
      </c>
      <c r="AH190" s="1161" t="s">
        <v>1814</v>
      </c>
      <c r="AI190" s="1228" t="s">
        <v>831</v>
      </c>
      <c r="AJ190" s="1163"/>
      <c r="AK190" s="1163"/>
      <c r="AL190" s="1163"/>
      <c r="AM190" s="1163"/>
      <c r="AN190" s="1163"/>
      <c r="AO190" s="1163"/>
      <c r="AP190" s="1163"/>
      <c r="AQ190" s="1163"/>
      <c r="AR190" s="1163"/>
      <c r="AS190" s="1176">
        <v>0.2</v>
      </c>
      <c r="AT190" s="1208"/>
      <c r="AU190" s="1207"/>
      <c r="AV190" s="1207"/>
      <c r="AX190" s="1227" t="s">
        <v>1413</v>
      </c>
      <c r="AY190" s="1161" t="s">
        <v>1414</v>
      </c>
      <c r="AZ190" s="1228" t="s">
        <v>831</v>
      </c>
      <c r="BA190" s="1163"/>
      <c r="BB190" s="1163"/>
      <c r="BC190" s="1163"/>
      <c r="BD190" s="1163"/>
      <c r="BE190" s="1163"/>
      <c r="BF190" s="1163"/>
      <c r="BG190" s="1163"/>
      <c r="BH190" s="1163"/>
      <c r="BI190" s="1163"/>
      <c r="BJ190" s="1207">
        <v>0.2</v>
      </c>
      <c r="BK190" s="1208"/>
      <c r="BL190" s="1207"/>
      <c r="BM190" s="1207"/>
      <c r="BO190" s="1227" t="s">
        <v>1413</v>
      </c>
      <c r="BP190" s="1161" t="s">
        <v>1414</v>
      </c>
      <c r="BQ190" s="1228" t="s">
        <v>831</v>
      </c>
      <c r="BR190" s="1163"/>
      <c r="BS190" s="1163"/>
      <c r="BT190" s="1163"/>
      <c r="BU190" s="1163"/>
      <c r="BV190" s="1163"/>
      <c r="BW190" s="1163"/>
      <c r="BX190" s="1163"/>
      <c r="BY190" s="1163"/>
      <c r="BZ190" s="1163"/>
      <c r="CA190" s="1207">
        <v>0.2</v>
      </c>
      <c r="CB190" s="1208"/>
      <c r="CC190" s="1207"/>
      <c r="CD190" s="1207"/>
      <c r="CE190" s="1385"/>
      <c r="CG190" s="1227" t="s">
        <v>932</v>
      </c>
      <c r="CH190" s="1161" t="s">
        <v>1414</v>
      </c>
      <c r="CI190" s="1228" t="s">
        <v>831</v>
      </c>
      <c r="CJ190" s="1531">
        <f t="shared" si="135"/>
        <v>0</v>
      </c>
      <c r="CK190" s="1531">
        <f t="shared" si="123"/>
        <v>0</v>
      </c>
      <c r="CL190" s="1531">
        <f t="shared" si="124"/>
        <v>0</v>
      </c>
      <c r="CM190" s="1531">
        <f t="shared" si="125"/>
        <v>0</v>
      </c>
      <c r="CN190" s="1531">
        <f t="shared" si="126"/>
        <v>0</v>
      </c>
      <c r="CO190" s="1531">
        <f t="shared" si="127"/>
        <v>0</v>
      </c>
      <c r="CP190" s="1531">
        <f t="shared" si="128"/>
        <v>0</v>
      </c>
      <c r="CQ190" s="1531">
        <f t="shared" si="129"/>
        <v>0</v>
      </c>
      <c r="CR190" s="1531">
        <f t="shared" si="130"/>
        <v>0</v>
      </c>
      <c r="CS190" s="1546">
        <f t="shared" si="131"/>
        <v>0.2</v>
      </c>
      <c r="CT190" s="1547">
        <f t="shared" si="132"/>
        <v>0</v>
      </c>
      <c r="CU190" s="1546">
        <f t="shared" si="133"/>
        <v>0</v>
      </c>
      <c r="CV190" s="1546">
        <f t="shared" si="134"/>
        <v>0</v>
      </c>
      <c r="CX190" s="1227" t="s">
        <v>932</v>
      </c>
      <c r="CY190" s="1161" t="s">
        <v>1414</v>
      </c>
      <c r="CZ190" s="1228"/>
      <c r="DA190" s="1520">
        <f>BR190</f>
        <v>0</v>
      </c>
      <c r="DB190" s="1520"/>
      <c r="DC190" s="1520"/>
      <c r="DD190" s="1520"/>
      <c r="DE190" s="1520"/>
      <c r="DF190" s="1520"/>
      <c r="DG190" s="1520"/>
      <c r="DH190" s="1520"/>
      <c r="DI190" s="1520"/>
      <c r="DJ190" s="1523"/>
      <c r="DK190" s="1633"/>
      <c r="DL190" s="1523"/>
      <c r="DM190" s="1523"/>
    </row>
    <row r="191" spans="2:117">
      <c r="B191" s="1136" t="str">
        <f t="shared" si="160"/>
        <v>3.2.3</v>
      </c>
      <c r="C191" s="1228" t="str">
        <f t="shared" si="116"/>
        <v>日照阻害の抑制</v>
      </c>
      <c r="D191" s="1155">
        <f t="shared" si="161"/>
        <v>0.3</v>
      </c>
      <c r="E191" s="1155">
        <f t="shared" si="161"/>
        <v>0</v>
      </c>
      <c r="G191" s="1156">
        <f t="shared" si="157"/>
        <v>0.3</v>
      </c>
      <c r="H191" s="1156">
        <f t="shared" si="158"/>
        <v>0</v>
      </c>
      <c r="I191" s="1156"/>
      <c r="J191" s="1156"/>
      <c r="K191" s="1156">
        <f>IF(スコア!Q191=0,0,1)</f>
        <v>1</v>
      </c>
      <c r="L191" s="1156">
        <f>IF(スコア!S191=0,0,1)</f>
        <v>0</v>
      </c>
      <c r="M191" s="1156">
        <f t="shared" si="159"/>
        <v>0.3</v>
      </c>
      <c r="N191" s="1156">
        <f t="shared" si="142"/>
        <v>0</v>
      </c>
      <c r="P191" s="1227" t="str">
        <f t="shared" si="118"/>
        <v>3.2.3</v>
      </c>
      <c r="Q191" s="1161" t="str">
        <f t="shared" si="119"/>
        <v>LR3 3.2</v>
      </c>
      <c r="R191" s="1228" t="str">
        <f t="shared" si="120"/>
        <v>日照阻害の抑制</v>
      </c>
      <c r="S191" s="1585">
        <f t="shared" si="102"/>
        <v>0.3</v>
      </c>
      <c r="T191" s="1585">
        <f t="shared" si="103"/>
        <v>0.3</v>
      </c>
      <c r="U191" s="1585">
        <f t="shared" si="104"/>
        <v>0.3</v>
      </c>
      <c r="V191" s="1585">
        <f t="shared" si="105"/>
        <v>0.3</v>
      </c>
      <c r="W191" s="1585">
        <f t="shared" si="106"/>
        <v>0.3</v>
      </c>
      <c r="X191" s="1585">
        <f t="shared" si="107"/>
        <v>0.3</v>
      </c>
      <c r="Y191" s="1585">
        <f t="shared" si="108"/>
        <v>0.3</v>
      </c>
      <c r="Z191" s="1585">
        <f t="shared" si="109"/>
        <v>0.3</v>
      </c>
      <c r="AA191" s="1585">
        <f t="shared" si="110"/>
        <v>0.3</v>
      </c>
      <c r="AB191" s="1585">
        <f t="shared" si="111"/>
        <v>0.2</v>
      </c>
      <c r="AC191" s="1598">
        <f t="shared" si="112"/>
        <v>0</v>
      </c>
      <c r="AD191" s="1597">
        <f t="shared" si="113"/>
        <v>0</v>
      </c>
      <c r="AE191" s="1597">
        <f t="shared" si="114"/>
        <v>0</v>
      </c>
      <c r="AG191" s="1227" t="s">
        <v>1413</v>
      </c>
      <c r="AH191" s="1161" t="s">
        <v>1813</v>
      </c>
      <c r="AI191" s="1228" t="s">
        <v>1597</v>
      </c>
      <c r="AJ191" s="1163">
        <v>0.3</v>
      </c>
      <c r="AK191" s="1163">
        <v>0.3</v>
      </c>
      <c r="AL191" s="1163">
        <v>0.3</v>
      </c>
      <c r="AM191" s="1163">
        <v>0.3</v>
      </c>
      <c r="AN191" s="1163">
        <v>0.3</v>
      </c>
      <c r="AO191" s="1163">
        <v>0.3</v>
      </c>
      <c r="AP191" s="1163">
        <v>0.3</v>
      </c>
      <c r="AQ191" s="1163">
        <v>0.3</v>
      </c>
      <c r="AR191" s="1163">
        <v>0.3</v>
      </c>
      <c r="AS191" s="1176">
        <v>0.2</v>
      </c>
      <c r="AT191" s="1208"/>
      <c r="AU191" s="1207"/>
      <c r="AV191" s="1207"/>
      <c r="AX191" s="1227" t="s">
        <v>1415</v>
      </c>
      <c r="AY191" s="1161" t="s">
        <v>1813</v>
      </c>
      <c r="AZ191" s="1228" t="s">
        <v>1597</v>
      </c>
      <c r="BA191" s="1163">
        <v>0.3</v>
      </c>
      <c r="BB191" s="1163">
        <v>0.3</v>
      </c>
      <c r="BC191" s="1163">
        <v>0.3</v>
      </c>
      <c r="BD191" s="1163">
        <v>0.3</v>
      </c>
      <c r="BE191" s="1163">
        <v>0.3</v>
      </c>
      <c r="BF191" s="1163">
        <v>0.3</v>
      </c>
      <c r="BG191" s="1163">
        <v>0.3</v>
      </c>
      <c r="BH191" s="1163">
        <v>0.3</v>
      </c>
      <c r="BI191" s="1163">
        <v>0.3</v>
      </c>
      <c r="BJ191" s="1207">
        <v>0.2</v>
      </c>
      <c r="BK191" s="1208"/>
      <c r="BL191" s="1207"/>
      <c r="BM191" s="1207"/>
      <c r="BO191" s="1227" t="s">
        <v>1415</v>
      </c>
      <c r="BP191" s="1161" t="s">
        <v>1813</v>
      </c>
      <c r="BQ191" s="1228" t="s">
        <v>1597</v>
      </c>
      <c r="BR191" s="1163">
        <v>0.3</v>
      </c>
      <c r="BS191" s="1163">
        <v>0.3</v>
      </c>
      <c r="BT191" s="1163">
        <v>0.3</v>
      </c>
      <c r="BU191" s="1163">
        <v>0.3</v>
      </c>
      <c r="BV191" s="1163">
        <v>0.3</v>
      </c>
      <c r="BW191" s="1163">
        <v>0.3</v>
      </c>
      <c r="BX191" s="1163">
        <v>0.3</v>
      </c>
      <c r="BY191" s="1163">
        <v>0.3</v>
      </c>
      <c r="BZ191" s="1163">
        <v>0.3</v>
      </c>
      <c r="CA191" s="1207">
        <v>0.2</v>
      </c>
      <c r="CB191" s="1208"/>
      <c r="CC191" s="1207"/>
      <c r="CD191" s="1207"/>
      <c r="CE191" s="1385"/>
      <c r="CG191" s="1227" t="s">
        <v>933</v>
      </c>
      <c r="CH191" s="1161" t="s">
        <v>1813</v>
      </c>
      <c r="CI191" s="1228" t="s">
        <v>1597</v>
      </c>
      <c r="CJ191" s="1531">
        <f t="shared" si="135"/>
        <v>0.3</v>
      </c>
      <c r="CK191" s="1531">
        <f t="shared" si="123"/>
        <v>0.3</v>
      </c>
      <c r="CL191" s="1531">
        <f t="shared" si="124"/>
        <v>0.3</v>
      </c>
      <c r="CM191" s="1531">
        <f t="shared" si="125"/>
        <v>0.3</v>
      </c>
      <c r="CN191" s="1531">
        <f t="shared" si="126"/>
        <v>0.3</v>
      </c>
      <c r="CO191" s="1531">
        <f t="shared" si="127"/>
        <v>0.3</v>
      </c>
      <c r="CP191" s="1531">
        <f t="shared" si="128"/>
        <v>0.3</v>
      </c>
      <c r="CQ191" s="1531">
        <f t="shared" si="129"/>
        <v>0.3</v>
      </c>
      <c r="CR191" s="1531">
        <f t="shared" si="130"/>
        <v>0.3</v>
      </c>
      <c r="CS191" s="1546">
        <f t="shared" si="131"/>
        <v>0.2</v>
      </c>
      <c r="CT191" s="1547">
        <f t="shared" si="132"/>
        <v>0</v>
      </c>
      <c r="CU191" s="1546">
        <f t="shared" si="133"/>
        <v>0</v>
      </c>
      <c r="CV191" s="1546">
        <f t="shared" si="134"/>
        <v>0</v>
      </c>
      <c r="CX191" s="1227" t="s">
        <v>933</v>
      </c>
      <c r="CY191" s="1161" t="s">
        <v>1813</v>
      </c>
      <c r="CZ191" s="1228"/>
      <c r="DA191" s="1642">
        <v>0</v>
      </c>
      <c r="DB191" s="1520"/>
      <c r="DC191" s="1520"/>
      <c r="DD191" s="1520"/>
      <c r="DE191" s="1520"/>
      <c r="DF191" s="1520"/>
      <c r="DG191" s="1520"/>
      <c r="DH191" s="1520"/>
      <c r="DI191" s="1520"/>
      <c r="DJ191" s="1523"/>
      <c r="DK191" s="1633"/>
      <c r="DL191" s="1523"/>
      <c r="DM191" s="1523"/>
    </row>
    <row r="192" spans="2:117">
      <c r="B192" s="1136" t="str">
        <f t="shared" si="160"/>
        <v>3.3</v>
      </c>
      <c r="C192" s="1158" t="str">
        <f t="shared" si="116"/>
        <v>光害の抑制</v>
      </c>
      <c r="D192" s="1155">
        <f>IF(I$183=0,0,G192/I$183)</f>
        <v>0.33333333333333331</v>
      </c>
      <c r="E192" s="1155">
        <f>IF(J$183=0,0,H192/J$183)</f>
        <v>0</v>
      </c>
      <c r="G192" s="1156">
        <f t="shared" si="157"/>
        <v>0.2</v>
      </c>
      <c r="H192" s="1156">
        <f t="shared" si="158"/>
        <v>0</v>
      </c>
      <c r="I192" s="1156">
        <f>SUM(G193:G194)</f>
        <v>1</v>
      </c>
      <c r="J192" s="1156">
        <f>SUM(H193:H194)</f>
        <v>0</v>
      </c>
      <c r="K192" s="1156">
        <f>IF(スコア!Q192=0,0,1)</f>
        <v>1</v>
      </c>
      <c r="L192" s="1156">
        <f>IF(スコア!S192=0,0,1)</f>
        <v>0</v>
      </c>
      <c r="M192" s="1156">
        <f t="shared" si="159"/>
        <v>0.2</v>
      </c>
      <c r="N192" s="1156">
        <f t="shared" si="142"/>
        <v>0</v>
      </c>
      <c r="P192" s="1226" t="str">
        <f t="shared" si="118"/>
        <v>3.3</v>
      </c>
      <c r="Q192" s="1161" t="str">
        <f t="shared" si="119"/>
        <v>LR3 3</v>
      </c>
      <c r="R192" s="1158" t="str">
        <f t="shared" si="120"/>
        <v>光害の抑制</v>
      </c>
      <c r="S192" s="1597">
        <f t="shared" ref="S192:AE194" si="162">IF($P$3=1,BA192,IF($P$3=2,BR192,IF($P$3=3,CJ192,IF($P$3=4,DA192,AJ192))))</f>
        <v>0.2</v>
      </c>
      <c r="T192" s="1597">
        <f t="shared" si="162"/>
        <v>0.2</v>
      </c>
      <c r="U192" s="1597">
        <f t="shared" si="162"/>
        <v>0.2</v>
      </c>
      <c r="V192" s="1597">
        <f t="shared" si="162"/>
        <v>0.2</v>
      </c>
      <c r="W192" s="1597">
        <f t="shared" si="162"/>
        <v>0.2</v>
      </c>
      <c r="X192" s="1597">
        <f t="shared" si="162"/>
        <v>0.2</v>
      </c>
      <c r="Y192" s="1597">
        <f t="shared" si="162"/>
        <v>0.2</v>
      </c>
      <c r="Z192" s="1597">
        <f t="shared" si="162"/>
        <v>0.2</v>
      </c>
      <c r="AA192" s="1597">
        <f t="shared" si="162"/>
        <v>0.2</v>
      </c>
      <c r="AB192" s="1597">
        <f t="shared" si="162"/>
        <v>0.2</v>
      </c>
      <c r="AC192" s="1598">
        <f t="shared" si="162"/>
        <v>0</v>
      </c>
      <c r="AD192" s="1597">
        <f t="shared" si="162"/>
        <v>0</v>
      </c>
      <c r="AE192" s="1597">
        <f t="shared" si="162"/>
        <v>0</v>
      </c>
      <c r="AG192" s="1227" t="s">
        <v>1416</v>
      </c>
      <c r="AH192" s="1161" t="s">
        <v>2084</v>
      </c>
      <c r="AI192" s="1228" t="s">
        <v>1815</v>
      </c>
      <c r="AJ192" s="1163">
        <v>0.2</v>
      </c>
      <c r="AK192" s="1163">
        <v>0.2</v>
      </c>
      <c r="AL192" s="1163">
        <v>0.2</v>
      </c>
      <c r="AM192" s="1163">
        <v>0.2</v>
      </c>
      <c r="AN192" s="1163">
        <v>0.2</v>
      </c>
      <c r="AO192" s="1163">
        <v>0.2</v>
      </c>
      <c r="AP192" s="1163">
        <v>0.2</v>
      </c>
      <c r="AQ192" s="1163">
        <v>0.2</v>
      </c>
      <c r="AR192" s="1163">
        <v>0.2</v>
      </c>
      <c r="AS192" s="1207">
        <v>0.2</v>
      </c>
      <c r="AT192" s="1208"/>
      <c r="AU192" s="1207"/>
      <c r="AV192" s="1207"/>
      <c r="AX192" s="1227" t="s">
        <v>1416</v>
      </c>
      <c r="AY192" s="1161" t="s">
        <v>2084</v>
      </c>
      <c r="AZ192" s="1228" t="s">
        <v>1815</v>
      </c>
      <c r="BA192" s="1207">
        <v>0.2</v>
      </c>
      <c r="BB192" s="1207">
        <v>0.2</v>
      </c>
      <c r="BC192" s="1207">
        <v>0.2</v>
      </c>
      <c r="BD192" s="1207">
        <v>0.2</v>
      </c>
      <c r="BE192" s="1207">
        <v>0.2</v>
      </c>
      <c r="BF192" s="1207">
        <v>0.2</v>
      </c>
      <c r="BG192" s="1207">
        <v>0.2</v>
      </c>
      <c r="BH192" s="1207">
        <v>0.2</v>
      </c>
      <c r="BI192" s="1207">
        <v>0.2</v>
      </c>
      <c r="BJ192" s="1207">
        <v>0.2</v>
      </c>
      <c r="BK192" s="1208"/>
      <c r="BL192" s="1207"/>
      <c r="BM192" s="1207"/>
      <c r="BO192" s="1227" t="s">
        <v>1416</v>
      </c>
      <c r="BP192" s="1161" t="s">
        <v>2084</v>
      </c>
      <c r="BQ192" s="1228" t="s">
        <v>1815</v>
      </c>
      <c r="BR192" s="1207">
        <v>0.2</v>
      </c>
      <c r="BS192" s="1207">
        <v>0.2</v>
      </c>
      <c r="BT192" s="1207">
        <v>0.2</v>
      </c>
      <c r="BU192" s="1207">
        <v>0.2</v>
      </c>
      <c r="BV192" s="1207">
        <v>0.2</v>
      </c>
      <c r="BW192" s="1207">
        <v>0.2</v>
      </c>
      <c r="BX192" s="1207">
        <v>0.2</v>
      </c>
      <c r="BY192" s="1207">
        <v>0.2</v>
      </c>
      <c r="BZ192" s="1207">
        <v>0.2</v>
      </c>
      <c r="CA192" s="1207">
        <v>0.2</v>
      </c>
      <c r="CB192" s="1208"/>
      <c r="CC192" s="1207"/>
      <c r="CD192" s="1207"/>
      <c r="CE192" s="1385"/>
      <c r="CG192" s="1227" t="s">
        <v>1416</v>
      </c>
      <c r="CH192" s="1161" t="s">
        <v>2084</v>
      </c>
      <c r="CI192" s="1228" t="s">
        <v>1815</v>
      </c>
      <c r="CJ192" s="1546">
        <f t="shared" si="135"/>
        <v>0.2</v>
      </c>
      <c r="CK192" s="1546">
        <f t="shared" si="123"/>
        <v>0.2</v>
      </c>
      <c r="CL192" s="1546">
        <f t="shared" si="124"/>
        <v>0.2</v>
      </c>
      <c r="CM192" s="1546">
        <f t="shared" si="125"/>
        <v>0.2</v>
      </c>
      <c r="CN192" s="1546">
        <f t="shared" si="126"/>
        <v>0.2</v>
      </c>
      <c r="CO192" s="1546">
        <f t="shared" si="127"/>
        <v>0.2</v>
      </c>
      <c r="CP192" s="1546">
        <f t="shared" si="128"/>
        <v>0.2</v>
      </c>
      <c r="CQ192" s="1546">
        <f t="shared" si="129"/>
        <v>0.2</v>
      </c>
      <c r="CR192" s="1546">
        <f t="shared" si="130"/>
        <v>0.2</v>
      </c>
      <c r="CS192" s="1546">
        <f t="shared" si="131"/>
        <v>0.2</v>
      </c>
      <c r="CT192" s="1547">
        <f t="shared" si="132"/>
        <v>0</v>
      </c>
      <c r="CU192" s="1546">
        <f t="shared" si="133"/>
        <v>0</v>
      </c>
      <c r="CV192" s="1546">
        <f t="shared" si="134"/>
        <v>0</v>
      </c>
      <c r="CX192" s="1227" t="s">
        <v>1416</v>
      </c>
      <c r="CY192" s="1161" t="s">
        <v>2084</v>
      </c>
      <c r="CZ192" s="1228"/>
      <c r="DA192" s="1642">
        <v>0</v>
      </c>
      <c r="DB192" s="1523"/>
      <c r="DC192" s="1523"/>
      <c r="DD192" s="1523"/>
      <c r="DE192" s="1523"/>
      <c r="DF192" s="1523"/>
      <c r="DG192" s="1523"/>
      <c r="DH192" s="1523"/>
      <c r="DI192" s="1523"/>
      <c r="DJ192" s="1523"/>
      <c r="DK192" s="1633"/>
      <c r="DL192" s="1523"/>
      <c r="DM192" s="1523"/>
    </row>
    <row r="193" spans="2:117">
      <c r="B193" s="1136" t="str">
        <f t="shared" si="160"/>
        <v>3.3.1</v>
      </c>
      <c r="C193" s="1228" t="str">
        <f t="shared" si="116"/>
        <v>屋外照明及び屋内照明のうち外に漏れる光への対策</v>
      </c>
      <c r="D193" s="1155">
        <f>IF(I$192=0,0,G193/I$192)</f>
        <v>0.7</v>
      </c>
      <c r="E193" s="1155">
        <f>IF(J$192=0,0,H193/J$192)</f>
        <v>0</v>
      </c>
      <c r="G193" s="1156">
        <f t="shared" si="157"/>
        <v>0.7</v>
      </c>
      <c r="H193" s="1156">
        <f t="shared" si="158"/>
        <v>0</v>
      </c>
      <c r="I193" s="1156"/>
      <c r="J193" s="1156"/>
      <c r="K193" s="1156">
        <f>IF(スコア!Q193=0,0,1)</f>
        <v>1</v>
      </c>
      <c r="L193" s="1156">
        <f>IF(スコア!S193=0,0,1)</f>
        <v>0</v>
      </c>
      <c r="M193" s="1156">
        <f t="shared" si="159"/>
        <v>0.7</v>
      </c>
      <c r="N193" s="1156">
        <f t="shared" si="142"/>
        <v>0</v>
      </c>
      <c r="P193" s="1227" t="str">
        <f t="shared" si="118"/>
        <v>3.3.1</v>
      </c>
      <c r="Q193" s="1161" t="str">
        <f t="shared" si="119"/>
        <v>LR3 3.3</v>
      </c>
      <c r="R193" s="1228" t="str">
        <f t="shared" si="120"/>
        <v>屋外照明及び屋内照明のうち外に漏れる光への対策</v>
      </c>
      <c r="S193" s="1585">
        <f t="shared" si="162"/>
        <v>0.7</v>
      </c>
      <c r="T193" s="1585">
        <f t="shared" si="162"/>
        <v>0.7</v>
      </c>
      <c r="U193" s="1585">
        <f t="shared" si="162"/>
        <v>0.7</v>
      </c>
      <c r="V193" s="1585">
        <f t="shared" si="162"/>
        <v>0.7</v>
      </c>
      <c r="W193" s="1585">
        <f t="shared" si="162"/>
        <v>0.7</v>
      </c>
      <c r="X193" s="1585">
        <f t="shared" si="162"/>
        <v>0.7</v>
      </c>
      <c r="Y193" s="1585">
        <f t="shared" si="162"/>
        <v>0.7</v>
      </c>
      <c r="Z193" s="1585">
        <f t="shared" si="162"/>
        <v>0.7</v>
      </c>
      <c r="AA193" s="1585">
        <f t="shared" si="162"/>
        <v>0.7</v>
      </c>
      <c r="AB193" s="1585">
        <f t="shared" si="162"/>
        <v>0.7</v>
      </c>
      <c r="AC193" s="1598">
        <f t="shared" si="162"/>
        <v>0</v>
      </c>
      <c r="AD193" s="1597">
        <f t="shared" si="162"/>
        <v>0</v>
      </c>
      <c r="AE193" s="1597">
        <f t="shared" si="162"/>
        <v>0</v>
      </c>
      <c r="AG193" s="1227" t="s">
        <v>1417</v>
      </c>
      <c r="AH193" s="1161" t="s">
        <v>1814</v>
      </c>
      <c r="AI193" s="1228" t="s">
        <v>1418</v>
      </c>
      <c r="AJ193" s="1207">
        <v>0.7</v>
      </c>
      <c r="AK193" s="1207">
        <v>0.7</v>
      </c>
      <c r="AL193" s="1207">
        <v>0.7</v>
      </c>
      <c r="AM193" s="1207">
        <v>0.7</v>
      </c>
      <c r="AN193" s="1207">
        <v>0.7</v>
      </c>
      <c r="AO193" s="1207">
        <v>0.7</v>
      </c>
      <c r="AP193" s="1207">
        <v>0.7</v>
      </c>
      <c r="AQ193" s="1207">
        <v>0.7</v>
      </c>
      <c r="AR193" s="1207">
        <v>0.7</v>
      </c>
      <c r="AS193" s="1163">
        <v>0.7</v>
      </c>
      <c r="AT193" s="1208"/>
      <c r="AU193" s="1207"/>
      <c r="AV193" s="1207"/>
      <c r="AX193" s="1227" t="s">
        <v>1417</v>
      </c>
      <c r="AY193" s="1161" t="s">
        <v>1814</v>
      </c>
      <c r="AZ193" s="1228" t="s">
        <v>1418</v>
      </c>
      <c r="BA193" s="1163">
        <v>0.7</v>
      </c>
      <c r="BB193" s="1163">
        <v>0.7</v>
      </c>
      <c r="BC193" s="1163">
        <v>0.7</v>
      </c>
      <c r="BD193" s="1163">
        <v>0.7</v>
      </c>
      <c r="BE193" s="1163">
        <v>0.7</v>
      </c>
      <c r="BF193" s="1163">
        <v>0.7</v>
      </c>
      <c r="BG193" s="1163">
        <v>0.7</v>
      </c>
      <c r="BH193" s="1163">
        <v>0.7</v>
      </c>
      <c r="BI193" s="1163">
        <v>0.7</v>
      </c>
      <c r="BJ193" s="1163">
        <v>0.7</v>
      </c>
      <c r="BK193" s="1208"/>
      <c r="BL193" s="1207"/>
      <c r="BM193" s="1207"/>
      <c r="BO193" s="1227" t="s">
        <v>1417</v>
      </c>
      <c r="BP193" s="1161" t="s">
        <v>1814</v>
      </c>
      <c r="BQ193" s="1228" t="s">
        <v>1418</v>
      </c>
      <c r="BR193" s="1163">
        <v>0.7</v>
      </c>
      <c r="BS193" s="1163">
        <v>0.7</v>
      </c>
      <c r="BT193" s="1163">
        <v>0.7</v>
      </c>
      <c r="BU193" s="1163">
        <v>0.7</v>
      </c>
      <c r="BV193" s="1163">
        <v>0.7</v>
      </c>
      <c r="BW193" s="1163">
        <v>0.7</v>
      </c>
      <c r="BX193" s="1163">
        <v>0.7</v>
      </c>
      <c r="BY193" s="1163">
        <v>0.7</v>
      </c>
      <c r="BZ193" s="1163">
        <v>0.7</v>
      </c>
      <c r="CA193" s="1163">
        <v>0.7</v>
      </c>
      <c r="CB193" s="1208"/>
      <c r="CC193" s="1207"/>
      <c r="CD193" s="1207"/>
      <c r="CE193" s="1385"/>
      <c r="CG193" s="1227" t="s">
        <v>1143</v>
      </c>
      <c r="CH193" s="1161" t="s">
        <v>1814</v>
      </c>
      <c r="CI193" s="1228" t="s">
        <v>1418</v>
      </c>
      <c r="CJ193" s="1531">
        <f t="shared" si="135"/>
        <v>0.7</v>
      </c>
      <c r="CK193" s="1531">
        <f t="shared" si="123"/>
        <v>0.7</v>
      </c>
      <c r="CL193" s="1531">
        <f t="shared" si="124"/>
        <v>0.7</v>
      </c>
      <c r="CM193" s="1531">
        <f t="shared" si="125"/>
        <v>0.7</v>
      </c>
      <c r="CN193" s="1531">
        <f t="shared" si="126"/>
        <v>0.7</v>
      </c>
      <c r="CO193" s="1531">
        <f t="shared" si="127"/>
        <v>0.7</v>
      </c>
      <c r="CP193" s="1531">
        <f t="shared" si="128"/>
        <v>0.7</v>
      </c>
      <c r="CQ193" s="1531">
        <f t="shared" si="129"/>
        <v>0.7</v>
      </c>
      <c r="CR193" s="1531">
        <f t="shared" si="130"/>
        <v>0.7</v>
      </c>
      <c r="CS193" s="1531">
        <f t="shared" si="131"/>
        <v>0.7</v>
      </c>
      <c r="CT193" s="1547">
        <f t="shared" si="132"/>
        <v>0</v>
      </c>
      <c r="CU193" s="1546">
        <f t="shared" si="133"/>
        <v>0</v>
      </c>
      <c r="CV193" s="1546">
        <f t="shared" si="134"/>
        <v>0</v>
      </c>
      <c r="CX193" s="1227" t="s">
        <v>1143</v>
      </c>
      <c r="CY193" s="1161" t="s">
        <v>1814</v>
      </c>
      <c r="CZ193" s="1228"/>
      <c r="DA193" s="1642">
        <v>0</v>
      </c>
      <c r="DB193" s="1520"/>
      <c r="DC193" s="1520"/>
      <c r="DD193" s="1520"/>
      <c r="DE193" s="1520"/>
      <c r="DF193" s="1520"/>
      <c r="DG193" s="1520"/>
      <c r="DH193" s="1520"/>
      <c r="DI193" s="1520"/>
      <c r="DJ193" s="1520"/>
      <c r="DK193" s="1633"/>
      <c r="DL193" s="1523"/>
      <c r="DM193" s="1523"/>
    </row>
    <row r="194" spans="2:117">
      <c r="B194" s="1136" t="str">
        <f t="shared" si="160"/>
        <v>3.3.2</v>
      </c>
      <c r="C194" s="1228" t="str">
        <f t="shared" si="116"/>
        <v>昼光の建物外壁による反射光（グレア）への対策</v>
      </c>
      <c r="D194" s="1155">
        <f>IF(I$192=0,0,G194/I$192)</f>
        <v>0.3</v>
      </c>
      <c r="E194" s="1155">
        <f>IF(J$192=0,0,H194/J$192)</f>
        <v>0</v>
      </c>
      <c r="G194" s="1156">
        <f t="shared" si="157"/>
        <v>0.3</v>
      </c>
      <c r="H194" s="1156">
        <f t="shared" si="158"/>
        <v>0</v>
      </c>
      <c r="I194" s="1156"/>
      <c r="J194" s="1156"/>
      <c r="K194" s="1156">
        <f>IF(スコア!Q194=0,0,1)</f>
        <v>1</v>
      </c>
      <c r="L194" s="1156">
        <f>IF(スコア!S194=0,0,1)</f>
        <v>0</v>
      </c>
      <c r="M194" s="1156">
        <f t="shared" si="159"/>
        <v>0.3</v>
      </c>
      <c r="N194" s="1156">
        <f t="shared" si="142"/>
        <v>0</v>
      </c>
      <c r="P194" s="1227" t="str">
        <f t="shared" si="118"/>
        <v>3.3.2</v>
      </c>
      <c r="Q194" s="1161" t="str">
        <f t="shared" si="119"/>
        <v>LR3 3.3</v>
      </c>
      <c r="R194" s="1228" t="str">
        <f t="shared" si="120"/>
        <v>昼光の建物外壁による反射光（グレア）への対策</v>
      </c>
      <c r="S194" s="1585">
        <f t="shared" si="162"/>
        <v>0.3</v>
      </c>
      <c r="T194" s="1585">
        <f t="shared" si="162"/>
        <v>0.3</v>
      </c>
      <c r="U194" s="1585">
        <f t="shared" si="162"/>
        <v>0.3</v>
      </c>
      <c r="V194" s="1585">
        <f t="shared" si="162"/>
        <v>0.3</v>
      </c>
      <c r="W194" s="1585">
        <f t="shared" si="162"/>
        <v>0.3</v>
      </c>
      <c r="X194" s="1585">
        <f t="shared" si="162"/>
        <v>0.3</v>
      </c>
      <c r="Y194" s="1585">
        <f t="shared" si="162"/>
        <v>0.3</v>
      </c>
      <c r="Z194" s="1585">
        <f t="shared" si="162"/>
        <v>0.3</v>
      </c>
      <c r="AA194" s="1585">
        <f t="shared" si="162"/>
        <v>0.3</v>
      </c>
      <c r="AB194" s="1585">
        <f t="shared" si="162"/>
        <v>0.3</v>
      </c>
      <c r="AC194" s="1598">
        <f t="shared" si="162"/>
        <v>0</v>
      </c>
      <c r="AD194" s="1597">
        <f t="shared" si="162"/>
        <v>0</v>
      </c>
      <c r="AE194" s="1597">
        <f t="shared" si="162"/>
        <v>0</v>
      </c>
      <c r="AG194" s="1227" t="s">
        <v>2418</v>
      </c>
      <c r="AH194" s="1161" t="s">
        <v>1814</v>
      </c>
      <c r="AI194" s="1228" t="s">
        <v>2419</v>
      </c>
      <c r="AJ194" s="1163">
        <v>0.3</v>
      </c>
      <c r="AK194" s="1163">
        <v>0.3</v>
      </c>
      <c r="AL194" s="1163">
        <v>0.3</v>
      </c>
      <c r="AM194" s="1163">
        <v>0.3</v>
      </c>
      <c r="AN194" s="1163">
        <v>0.3</v>
      </c>
      <c r="AO194" s="1163">
        <v>0.3</v>
      </c>
      <c r="AP194" s="1163">
        <v>0.3</v>
      </c>
      <c r="AQ194" s="1163">
        <v>0.3</v>
      </c>
      <c r="AR194" s="1163">
        <v>0.3</v>
      </c>
      <c r="AS194" s="1163">
        <v>0.3</v>
      </c>
      <c r="AT194" s="1208"/>
      <c r="AU194" s="1207"/>
      <c r="AV194" s="1207"/>
      <c r="AX194" s="1227" t="s">
        <v>2418</v>
      </c>
      <c r="AY194" s="1161" t="s">
        <v>1814</v>
      </c>
      <c r="AZ194" s="1228" t="s">
        <v>2419</v>
      </c>
      <c r="BA194" s="1163">
        <v>0.3</v>
      </c>
      <c r="BB194" s="1163">
        <v>0.3</v>
      </c>
      <c r="BC194" s="1163">
        <v>0.3</v>
      </c>
      <c r="BD194" s="1163">
        <v>0.3</v>
      </c>
      <c r="BE194" s="1163">
        <v>0.3</v>
      </c>
      <c r="BF194" s="1163">
        <v>0.3</v>
      </c>
      <c r="BG194" s="1163">
        <v>0.3</v>
      </c>
      <c r="BH194" s="1163">
        <v>0.3</v>
      </c>
      <c r="BI194" s="1163">
        <v>0.3</v>
      </c>
      <c r="BJ194" s="1163">
        <v>0.3</v>
      </c>
      <c r="BK194" s="1208"/>
      <c r="BL194" s="1207"/>
      <c r="BM194" s="1207"/>
      <c r="BO194" s="1227" t="s">
        <v>2418</v>
      </c>
      <c r="BP194" s="1161" t="s">
        <v>1814</v>
      </c>
      <c r="BQ194" s="1228" t="s">
        <v>2419</v>
      </c>
      <c r="BR194" s="1163">
        <v>0.3</v>
      </c>
      <c r="BS194" s="1163">
        <v>0.3</v>
      </c>
      <c r="BT194" s="1163">
        <v>0.3</v>
      </c>
      <c r="BU194" s="1163">
        <v>0.3</v>
      </c>
      <c r="BV194" s="1163">
        <v>0.3</v>
      </c>
      <c r="BW194" s="1163">
        <v>0.3</v>
      </c>
      <c r="BX194" s="1163">
        <v>0.3</v>
      </c>
      <c r="BY194" s="1163">
        <v>0.3</v>
      </c>
      <c r="BZ194" s="1163">
        <v>0.3</v>
      </c>
      <c r="CA194" s="1163">
        <v>0.3</v>
      </c>
      <c r="CB194" s="1208"/>
      <c r="CC194" s="1207"/>
      <c r="CD194" s="1207"/>
      <c r="CE194" s="1385"/>
      <c r="CG194" s="1227" t="s">
        <v>1144</v>
      </c>
      <c r="CH194" s="1161" t="s">
        <v>1814</v>
      </c>
      <c r="CI194" s="1228" t="s">
        <v>2419</v>
      </c>
      <c r="CJ194" s="1531">
        <f t="shared" si="135"/>
        <v>0.3</v>
      </c>
      <c r="CK194" s="1531">
        <f t="shared" si="123"/>
        <v>0.3</v>
      </c>
      <c r="CL194" s="1531">
        <f t="shared" si="124"/>
        <v>0.3</v>
      </c>
      <c r="CM194" s="1531">
        <f t="shared" si="125"/>
        <v>0.3</v>
      </c>
      <c r="CN194" s="1531">
        <f t="shared" si="126"/>
        <v>0.3</v>
      </c>
      <c r="CO194" s="1531">
        <f t="shared" si="127"/>
        <v>0.3</v>
      </c>
      <c r="CP194" s="1531">
        <f t="shared" si="128"/>
        <v>0.3</v>
      </c>
      <c r="CQ194" s="1531">
        <f t="shared" si="129"/>
        <v>0.3</v>
      </c>
      <c r="CR194" s="1531">
        <f t="shared" si="130"/>
        <v>0.3</v>
      </c>
      <c r="CS194" s="1531">
        <f t="shared" si="131"/>
        <v>0.3</v>
      </c>
      <c r="CT194" s="1547">
        <f t="shared" si="132"/>
        <v>0</v>
      </c>
      <c r="CU194" s="1546">
        <f t="shared" si="133"/>
        <v>0</v>
      </c>
      <c r="CV194" s="1546">
        <f t="shared" si="134"/>
        <v>0</v>
      </c>
      <c r="CX194" s="1227" t="s">
        <v>1144</v>
      </c>
      <c r="CY194" s="1161" t="s">
        <v>1814</v>
      </c>
      <c r="CZ194" s="1228"/>
      <c r="DA194" s="1642">
        <v>0</v>
      </c>
      <c r="DB194" s="1520"/>
      <c r="DC194" s="1520"/>
      <c r="DD194" s="1520"/>
      <c r="DE194" s="1520"/>
      <c r="DF194" s="1520"/>
      <c r="DG194" s="1520"/>
      <c r="DH194" s="1520"/>
      <c r="DI194" s="1520"/>
      <c r="DJ194" s="1520"/>
      <c r="DK194" s="1633"/>
      <c r="DL194" s="1523"/>
      <c r="DM194" s="1523"/>
    </row>
    <row r="195" spans="2:117"/>
    <row r="234"/>
  </sheetData>
  <sheetProtection password="C784" sheet="1" objects="1" scenarios="1"/>
  <mergeCells count="12">
    <mergeCell ref="S5:AA5"/>
    <mergeCell ref="AC5:AE5"/>
    <mergeCell ref="BA5:BI5"/>
    <mergeCell ref="BK5:BM5"/>
    <mergeCell ref="AJ5:AR5"/>
    <mergeCell ref="AT5:AV5"/>
    <mergeCell ref="DA5:DI5"/>
    <mergeCell ref="DK5:DM5"/>
    <mergeCell ref="CJ5:CR5"/>
    <mergeCell ref="CT5:CV5"/>
    <mergeCell ref="BR5:BZ5"/>
    <mergeCell ref="CB5:CD5"/>
  </mergeCells>
  <phoneticPr fontId="27"/>
  <printOptions horizontalCentered="1"/>
  <pageMargins left="0.59055118110236227" right="0.59055118110236227" top="0.78740157480314965" bottom="0.59055118110236227" header="0.51181102362204722" footer="0.51181102362204722"/>
  <pageSetup paperSize="9" scale="65" fitToWidth="2" fitToHeight="0" orientation="portrait" verticalDpi="4294967293" r:id="rId1"/>
  <headerFooter alignWithMargins="0">
    <oddHeader>&amp;L&amp;F&amp;R&amp;A</oddHeader>
    <oddFooter>&amp;C&amp;P/&amp;N</oddFooter>
  </headerFooter>
  <rowBreaks count="1" manualBreakCount="1">
    <brk id="111" max="30" man="1"/>
  </rowBreaks>
  <colBreaks count="1" manualBreakCount="1">
    <brk id="15" max="193" man="1"/>
  </colBreaks>
  <ignoredErrors>
    <ignoredError sqref="AG152:AG195" numberStoredAsText="1"/>
    <ignoredError sqref="AA9 AA6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AA320"/>
  <sheetViews>
    <sheetView showGridLines="0" zoomScale="55" zoomScaleNormal="55" workbookViewId="0">
      <selection activeCell="R208" sqref="R208"/>
    </sheetView>
  </sheetViews>
  <sheetFormatPr defaultColWidth="0" defaultRowHeight="13.5" zeroHeight="1"/>
  <cols>
    <col min="1" max="2" width="1.5" customWidth="1"/>
    <col min="3" max="3" width="5.375" customWidth="1"/>
    <col min="4" max="4" width="11" customWidth="1"/>
    <col min="5" max="5" width="12.875" customWidth="1"/>
    <col min="6" max="6" width="10.75" customWidth="1"/>
    <col min="7" max="7" width="22.375" hidden="1" customWidth="1"/>
    <col min="8" max="8" width="8" hidden="1" customWidth="1"/>
    <col min="9" max="9" width="12.375" customWidth="1"/>
    <col min="10" max="18" width="11.25" customWidth="1"/>
    <col min="19" max="19" width="10" hidden="1" customWidth="1"/>
    <col min="20" max="20" width="20" hidden="1" customWidth="1"/>
    <col min="21" max="26" width="12.75" hidden="1" customWidth="1"/>
    <col min="27" max="27" width="0" hidden="1" customWidth="1"/>
    <col min="28" max="16384" width="9" hidden="1"/>
  </cols>
  <sheetData>
    <row r="1" spans="2:17" ht="18.75">
      <c r="B1" s="874" t="s">
        <v>2790</v>
      </c>
    </row>
    <row r="2" spans="2:17" ht="4.5" customHeight="1"/>
    <row r="3" spans="2:17" ht="16.5">
      <c r="C3" s="875" t="s">
        <v>2789</v>
      </c>
      <c r="D3" s="876"/>
      <c r="E3" s="877"/>
      <c r="F3" s="877"/>
      <c r="G3" s="877"/>
      <c r="H3" s="877"/>
      <c r="I3" s="878" t="s">
        <v>275</v>
      </c>
      <c r="J3" s="879"/>
      <c r="K3" s="879"/>
      <c r="L3" s="880"/>
      <c r="M3" s="880"/>
      <c r="N3" s="880"/>
      <c r="O3" s="880"/>
      <c r="P3" s="880"/>
      <c r="Q3" s="881"/>
    </row>
    <row r="4" spans="2:17" ht="14.25">
      <c r="C4" s="882"/>
      <c r="D4" s="883" t="s">
        <v>1599</v>
      </c>
      <c r="E4" s="882"/>
      <c r="F4" s="882"/>
      <c r="G4" s="882"/>
      <c r="H4" s="882"/>
      <c r="I4" s="884" t="s">
        <v>2335</v>
      </c>
      <c r="J4" s="880" t="s">
        <v>637</v>
      </c>
      <c r="K4" s="885"/>
      <c r="L4" s="884" t="s">
        <v>634</v>
      </c>
      <c r="M4" s="880"/>
      <c r="N4" s="885"/>
      <c r="O4" s="884" t="s">
        <v>636</v>
      </c>
      <c r="P4" s="880"/>
      <c r="Q4" s="885"/>
    </row>
    <row r="5" spans="2:17">
      <c r="C5" s="886" t="s">
        <v>345</v>
      </c>
      <c r="D5" s="887"/>
      <c r="E5" s="888"/>
      <c r="F5" s="889"/>
      <c r="G5" s="890"/>
      <c r="H5" s="890"/>
      <c r="I5" s="891" t="s">
        <v>1899</v>
      </c>
      <c r="J5" s="891" t="s">
        <v>1900</v>
      </c>
      <c r="K5" s="891" t="s">
        <v>1901</v>
      </c>
      <c r="L5" s="891" t="s">
        <v>1899</v>
      </c>
      <c r="M5" s="891" t="s">
        <v>1900</v>
      </c>
      <c r="N5" s="891" t="s">
        <v>1901</v>
      </c>
      <c r="O5" s="891" t="s">
        <v>1899</v>
      </c>
      <c r="P5" s="891" t="s">
        <v>1900</v>
      </c>
      <c r="Q5" s="891" t="s">
        <v>1901</v>
      </c>
    </row>
    <row r="6" spans="2:17" hidden="1">
      <c r="C6" s="892"/>
      <c r="D6" s="893"/>
      <c r="E6" s="892"/>
      <c r="F6" s="892"/>
      <c r="G6" s="894">
        <v>1</v>
      </c>
      <c r="H6" s="894"/>
      <c r="I6" s="890">
        <v>3</v>
      </c>
      <c r="J6" s="890">
        <v>4</v>
      </c>
      <c r="K6" s="890">
        <v>5</v>
      </c>
      <c r="L6" s="890">
        <v>6</v>
      </c>
      <c r="M6" s="890">
        <v>7</v>
      </c>
      <c r="N6" s="890">
        <v>8</v>
      </c>
      <c r="O6" s="890">
        <v>9</v>
      </c>
      <c r="P6" s="890">
        <v>10</v>
      </c>
      <c r="Q6" s="890">
        <v>11</v>
      </c>
    </row>
    <row r="7" spans="2:17">
      <c r="C7" s="895" t="s">
        <v>377</v>
      </c>
      <c r="D7" s="896"/>
      <c r="E7" s="888"/>
      <c r="F7" s="889"/>
      <c r="G7" s="894">
        <v>10</v>
      </c>
      <c r="H7" s="894"/>
      <c r="I7" s="897">
        <v>14.004999999999999</v>
      </c>
      <c r="J7" s="897">
        <v>14.004999999999999</v>
      </c>
      <c r="K7" s="897">
        <v>14.004999999999999</v>
      </c>
      <c r="L7" s="897">
        <v>13.23</v>
      </c>
      <c r="M7" s="897">
        <v>13.23</v>
      </c>
      <c r="N7" s="897">
        <v>13.23</v>
      </c>
      <c r="O7" s="897">
        <v>13.998000000000001</v>
      </c>
      <c r="P7" s="897">
        <v>13.998000000000001</v>
      </c>
      <c r="Q7" s="897">
        <v>13.998000000000001</v>
      </c>
    </row>
    <row r="8" spans="2:17">
      <c r="C8" s="898"/>
      <c r="D8" s="477" t="s">
        <v>1981</v>
      </c>
      <c r="E8" s="477"/>
      <c r="F8" s="899">
        <v>1</v>
      </c>
      <c r="G8" s="894">
        <v>11</v>
      </c>
      <c r="H8" s="894"/>
      <c r="I8" s="900">
        <v>6.4519999999999991</v>
      </c>
      <c r="J8" s="900">
        <v>6.4519999999999991</v>
      </c>
      <c r="K8" s="900">
        <v>6.4519999999999991</v>
      </c>
      <c r="L8" s="900">
        <v>6.6009999999999991</v>
      </c>
      <c r="M8" s="900">
        <v>6.6009999999999991</v>
      </c>
      <c r="N8" s="900">
        <v>6.6009999999999991</v>
      </c>
      <c r="O8" s="900">
        <v>6.5150000000000006</v>
      </c>
      <c r="P8" s="900">
        <v>6.5150000000000006</v>
      </c>
      <c r="Q8" s="900">
        <v>6.5150000000000006</v>
      </c>
    </row>
    <row r="9" spans="2:17">
      <c r="C9" s="898"/>
      <c r="D9" s="477" t="s">
        <v>1982</v>
      </c>
      <c r="E9" s="477"/>
      <c r="F9" s="899">
        <v>1</v>
      </c>
      <c r="G9" s="901">
        <v>12</v>
      </c>
      <c r="H9" s="901"/>
      <c r="I9" s="900">
        <v>13.42</v>
      </c>
      <c r="J9" s="900">
        <v>13.42</v>
      </c>
      <c r="K9" s="900">
        <v>13.42</v>
      </c>
      <c r="L9" s="900">
        <v>12.416</v>
      </c>
      <c r="M9" s="900">
        <v>12.416</v>
      </c>
      <c r="N9" s="900">
        <v>12.416</v>
      </c>
      <c r="O9" s="900">
        <v>13.272</v>
      </c>
      <c r="P9" s="900">
        <v>13.272</v>
      </c>
      <c r="Q9" s="900">
        <v>13.272</v>
      </c>
    </row>
    <row r="10" spans="2:17" hidden="1">
      <c r="C10" s="902"/>
      <c r="D10" s="904" t="s">
        <v>2336</v>
      </c>
      <c r="E10" s="904"/>
      <c r="F10" s="905"/>
      <c r="G10" s="906">
        <v>13</v>
      </c>
      <c r="H10" s="906">
        <f>CO2計算!$F$21</f>
        <v>0</v>
      </c>
      <c r="I10" s="900">
        <f>(I7-I8)*$H10</f>
        <v>0</v>
      </c>
      <c r="J10" s="900">
        <f t="shared" ref="J10:Q10" si="0">(J7-J8)*$H10</f>
        <v>0</v>
      </c>
      <c r="K10" s="900">
        <f t="shared" si="0"/>
        <v>0</v>
      </c>
      <c r="L10" s="900">
        <f t="shared" si="0"/>
        <v>0</v>
      </c>
      <c r="M10" s="900">
        <f t="shared" si="0"/>
        <v>0</v>
      </c>
      <c r="N10" s="900">
        <f t="shared" si="0"/>
        <v>0</v>
      </c>
      <c r="O10" s="900">
        <f t="shared" si="0"/>
        <v>0</v>
      </c>
      <c r="P10" s="900">
        <f t="shared" si="0"/>
        <v>0</v>
      </c>
      <c r="Q10" s="900">
        <f t="shared" si="0"/>
        <v>0</v>
      </c>
    </row>
    <row r="11" spans="2:17" hidden="1">
      <c r="C11" s="902"/>
      <c r="D11" s="904" t="s">
        <v>2337</v>
      </c>
      <c r="E11" s="904"/>
      <c r="F11" s="905"/>
      <c r="G11" s="907">
        <v>14</v>
      </c>
      <c r="H11" s="906">
        <f>CO2計算!$F$22</f>
        <v>0</v>
      </c>
      <c r="I11" s="900">
        <f t="shared" ref="I11:Q11" si="1">(I7-I9)*$H11</f>
        <v>0</v>
      </c>
      <c r="J11" s="900">
        <f t="shared" si="1"/>
        <v>0</v>
      </c>
      <c r="K11" s="900">
        <f t="shared" si="1"/>
        <v>0</v>
      </c>
      <c r="L11" s="900">
        <f t="shared" si="1"/>
        <v>0</v>
      </c>
      <c r="M11" s="900">
        <f t="shared" si="1"/>
        <v>0</v>
      </c>
      <c r="N11" s="900">
        <f t="shared" si="1"/>
        <v>0</v>
      </c>
      <c r="O11" s="900">
        <f t="shared" si="1"/>
        <v>0</v>
      </c>
      <c r="P11" s="900">
        <f t="shared" si="1"/>
        <v>0</v>
      </c>
      <c r="Q11" s="900">
        <f t="shared" si="1"/>
        <v>0</v>
      </c>
    </row>
    <row r="12" spans="2:17" hidden="1">
      <c r="C12" s="908"/>
      <c r="D12" s="904" t="s">
        <v>386</v>
      </c>
      <c r="E12" s="904"/>
      <c r="F12" s="905"/>
      <c r="G12" s="910">
        <v>15</v>
      </c>
      <c r="H12" s="910"/>
      <c r="I12" s="900">
        <f t="shared" ref="I12:Q12" si="2">I7-I10-I11</f>
        <v>14.004999999999999</v>
      </c>
      <c r="J12" s="900">
        <f t="shared" si="2"/>
        <v>14.004999999999999</v>
      </c>
      <c r="K12" s="900">
        <f t="shared" si="2"/>
        <v>14.004999999999999</v>
      </c>
      <c r="L12" s="900">
        <f t="shared" si="2"/>
        <v>13.23</v>
      </c>
      <c r="M12" s="900">
        <f t="shared" si="2"/>
        <v>13.23</v>
      </c>
      <c r="N12" s="900">
        <f t="shared" si="2"/>
        <v>13.23</v>
      </c>
      <c r="O12" s="900">
        <f t="shared" si="2"/>
        <v>13.998000000000001</v>
      </c>
      <c r="P12" s="900">
        <f t="shared" si="2"/>
        <v>13.998000000000001</v>
      </c>
      <c r="Q12" s="900">
        <f t="shared" si="2"/>
        <v>13.998000000000001</v>
      </c>
    </row>
    <row r="13" spans="2:17">
      <c r="C13" s="895" t="s">
        <v>1465</v>
      </c>
      <c r="D13" s="888"/>
      <c r="E13" s="888"/>
      <c r="F13" s="889"/>
      <c r="G13" s="894">
        <f t="shared" ref="G13:G60" si="3">G7+10</f>
        <v>20</v>
      </c>
      <c r="H13" s="894"/>
      <c r="I13" s="897">
        <v>10.473000000000001</v>
      </c>
      <c r="J13" s="897">
        <v>10.473000000000001</v>
      </c>
      <c r="K13" s="897">
        <v>10.473000000000001</v>
      </c>
      <c r="L13" s="897">
        <v>11.762999999999998</v>
      </c>
      <c r="M13" s="897">
        <v>11.762999999999998</v>
      </c>
      <c r="N13" s="897">
        <v>11.762999999999998</v>
      </c>
      <c r="O13" s="897">
        <v>14.002000000000002</v>
      </c>
      <c r="P13" s="897">
        <v>14.002000000000002</v>
      </c>
      <c r="Q13" s="897">
        <v>14.002000000000002</v>
      </c>
    </row>
    <row r="14" spans="2:17">
      <c r="C14" s="898"/>
      <c r="D14" s="477" t="s">
        <v>1981</v>
      </c>
      <c r="E14" s="477"/>
      <c r="F14" s="899">
        <v>1</v>
      </c>
      <c r="G14" s="894">
        <f t="shared" si="3"/>
        <v>21</v>
      </c>
      <c r="H14" s="894"/>
      <c r="I14" s="900">
        <v>5.2279999999999998</v>
      </c>
      <c r="J14" s="900">
        <v>5.2279999999999998</v>
      </c>
      <c r="K14" s="900">
        <v>5.2279999999999998</v>
      </c>
      <c r="L14" s="900">
        <v>5.3689999999999998</v>
      </c>
      <c r="M14" s="900">
        <v>5.3689999999999998</v>
      </c>
      <c r="N14" s="900">
        <v>5.3689999999999998</v>
      </c>
      <c r="O14" s="900">
        <v>5.2780000000000005</v>
      </c>
      <c r="P14" s="900">
        <v>5.2780000000000005</v>
      </c>
      <c r="Q14" s="900">
        <v>5.2780000000000005</v>
      </c>
    </row>
    <row r="15" spans="2:17">
      <c r="C15" s="898"/>
      <c r="D15" s="477" t="s">
        <v>1982</v>
      </c>
      <c r="E15" s="477"/>
      <c r="F15" s="899">
        <v>1</v>
      </c>
      <c r="G15" s="894">
        <f t="shared" si="3"/>
        <v>22</v>
      </c>
      <c r="H15" s="901"/>
      <c r="I15" s="900">
        <v>10.11</v>
      </c>
      <c r="J15" s="900">
        <v>10.11</v>
      </c>
      <c r="K15" s="900">
        <v>10.11</v>
      </c>
      <c r="L15" s="900">
        <v>10.846</v>
      </c>
      <c r="M15" s="900">
        <v>10.846</v>
      </c>
      <c r="N15" s="900">
        <v>10.846</v>
      </c>
      <c r="O15" s="900">
        <v>13.005000000000001</v>
      </c>
      <c r="P15" s="900">
        <v>13.005000000000001</v>
      </c>
      <c r="Q15" s="900">
        <v>13.005000000000001</v>
      </c>
    </row>
    <row r="16" spans="2:17" hidden="1">
      <c r="C16" s="902"/>
      <c r="D16" s="904" t="s">
        <v>2336</v>
      </c>
      <c r="E16" s="904"/>
      <c r="F16" s="905"/>
      <c r="G16" s="894">
        <f t="shared" si="3"/>
        <v>23</v>
      </c>
      <c r="H16" s="906">
        <f>CO2計算!$F$21</f>
        <v>0</v>
      </c>
      <c r="I16" s="900">
        <f>(I13-I14)*$H16</f>
        <v>0</v>
      </c>
      <c r="J16" s="900">
        <f t="shared" ref="J16:Q16" si="4">(J13-J14)*$H16</f>
        <v>0</v>
      </c>
      <c r="K16" s="900">
        <f t="shared" si="4"/>
        <v>0</v>
      </c>
      <c r="L16" s="900">
        <f t="shared" si="4"/>
        <v>0</v>
      </c>
      <c r="M16" s="900">
        <f t="shared" si="4"/>
        <v>0</v>
      </c>
      <c r="N16" s="900">
        <f t="shared" si="4"/>
        <v>0</v>
      </c>
      <c r="O16" s="900">
        <f t="shared" si="4"/>
        <v>0</v>
      </c>
      <c r="P16" s="900">
        <f t="shared" si="4"/>
        <v>0</v>
      </c>
      <c r="Q16" s="900">
        <f t="shared" si="4"/>
        <v>0</v>
      </c>
    </row>
    <row r="17" spans="3:17" hidden="1">
      <c r="C17" s="902"/>
      <c r="D17" s="904" t="s">
        <v>2337</v>
      </c>
      <c r="E17" s="904"/>
      <c r="F17" s="905"/>
      <c r="G17" s="894">
        <f t="shared" si="3"/>
        <v>24</v>
      </c>
      <c r="H17" s="906">
        <f>CO2計算!$F$22</f>
        <v>0</v>
      </c>
      <c r="I17" s="900">
        <f t="shared" ref="I17:Q17" si="5">(I13-I15)*$H17</f>
        <v>0</v>
      </c>
      <c r="J17" s="900">
        <f t="shared" si="5"/>
        <v>0</v>
      </c>
      <c r="K17" s="900">
        <f t="shared" si="5"/>
        <v>0</v>
      </c>
      <c r="L17" s="900">
        <f t="shared" si="5"/>
        <v>0</v>
      </c>
      <c r="M17" s="900">
        <f t="shared" si="5"/>
        <v>0</v>
      </c>
      <c r="N17" s="900">
        <f t="shared" si="5"/>
        <v>0</v>
      </c>
      <c r="O17" s="900">
        <f t="shared" si="5"/>
        <v>0</v>
      </c>
      <c r="P17" s="900">
        <f t="shared" si="5"/>
        <v>0</v>
      </c>
      <c r="Q17" s="900">
        <f t="shared" si="5"/>
        <v>0</v>
      </c>
    </row>
    <row r="18" spans="3:17" hidden="1">
      <c r="C18" s="908"/>
      <c r="D18" s="904" t="s">
        <v>386</v>
      </c>
      <c r="E18" s="904"/>
      <c r="F18" s="905"/>
      <c r="G18" s="894">
        <f t="shared" si="3"/>
        <v>25</v>
      </c>
      <c r="H18" s="910"/>
      <c r="I18" s="900">
        <f t="shared" ref="I18:Q18" si="6">I13-I16-I17</f>
        <v>10.473000000000001</v>
      </c>
      <c r="J18" s="900">
        <f t="shared" si="6"/>
        <v>10.473000000000001</v>
      </c>
      <c r="K18" s="900">
        <f t="shared" si="6"/>
        <v>10.473000000000001</v>
      </c>
      <c r="L18" s="900">
        <f t="shared" si="6"/>
        <v>11.762999999999998</v>
      </c>
      <c r="M18" s="900">
        <f t="shared" si="6"/>
        <v>11.762999999999998</v>
      </c>
      <c r="N18" s="900">
        <f t="shared" si="6"/>
        <v>11.762999999999998</v>
      </c>
      <c r="O18" s="900">
        <f t="shared" si="6"/>
        <v>14.002000000000002</v>
      </c>
      <c r="P18" s="900">
        <f t="shared" si="6"/>
        <v>14.002000000000002</v>
      </c>
      <c r="Q18" s="900">
        <f t="shared" si="6"/>
        <v>14.002000000000002</v>
      </c>
    </row>
    <row r="19" spans="3:17">
      <c r="C19" s="895" t="s">
        <v>1616</v>
      </c>
      <c r="D19" s="888"/>
      <c r="E19" s="888"/>
      <c r="F19" s="889"/>
      <c r="G19" s="894">
        <f t="shared" si="3"/>
        <v>30</v>
      </c>
      <c r="H19" s="894"/>
      <c r="I19" s="897">
        <v>16.572000000000003</v>
      </c>
      <c r="J19" s="897">
        <v>16.572000000000003</v>
      </c>
      <c r="K19" s="897">
        <v>16.572000000000003</v>
      </c>
      <c r="L19" s="897">
        <v>22.385999999999999</v>
      </c>
      <c r="M19" s="897">
        <v>22.385999999999999</v>
      </c>
      <c r="N19" s="897">
        <v>22.385999999999999</v>
      </c>
      <c r="O19" s="897">
        <v>16.960999999999999</v>
      </c>
      <c r="P19" s="897">
        <v>16.960999999999999</v>
      </c>
      <c r="Q19" s="897">
        <v>16.960999999999999</v>
      </c>
    </row>
    <row r="20" spans="3:17">
      <c r="C20" s="898"/>
      <c r="D20" s="477" t="s">
        <v>1981</v>
      </c>
      <c r="E20" s="477"/>
      <c r="F20" s="899">
        <v>1</v>
      </c>
      <c r="G20" s="894">
        <f t="shared" si="3"/>
        <v>31</v>
      </c>
      <c r="H20" s="894"/>
      <c r="I20" s="900">
        <v>8.4039999999999999</v>
      </c>
      <c r="J20" s="900">
        <v>8.4039999999999999</v>
      </c>
      <c r="K20" s="900">
        <v>8.4039999999999999</v>
      </c>
      <c r="L20" s="900">
        <v>8.5990000000000002</v>
      </c>
      <c r="M20" s="900">
        <v>8.5990000000000002</v>
      </c>
      <c r="N20" s="900">
        <v>8.5990000000000002</v>
      </c>
      <c r="O20" s="900">
        <v>8.4849999999999994</v>
      </c>
      <c r="P20" s="900">
        <v>8.4849999999999994</v>
      </c>
      <c r="Q20" s="900">
        <v>8.4849999999999994</v>
      </c>
    </row>
    <row r="21" spans="3:17">
      <c r="C21" s="898"/>
      <c r="D21" s="477" t="s">
        <v>1982</v>
      </c>
      <c r="E21" s="477"/>
      <c r="F21" s="899">
        <v>1</v>
      </c>
      <c r="G21" s="894">
        <f t="shared" si="3"/>
        <v>32</v>
      </c>
      <c r="H21" s="901"/>
      <c r="I21" s="900">
        <v>15.867000000000001</v>
      </c>
      <c r="J21" s="900">
        <v>15.867000000000001</v>
      </c>
      <c r="K21" s="900">
        <v>15.867000000000001</v>
      </c>
      <c r="L21" s="900">
        <v>20.512</v>
      </c>
      <c r="M21" s="900">
        <v>20.512</v>
      </c>
      <c r="N21" s="900">
        <v>20.512</v>
      </c>
      <c r="O21" s="900">
        <v>16.321999999999999</v>
      </c>
      <c r="P21" s="900">
        <v>16.321999999999999</v>
      </c>
      <c r="Q21" s="900">
        <v>16.321999999999999</v>
      </c>
    </row>
    <row r="22" spans="3:17" hidden="1">
      <c r="C22" s="902"/>
      <c r="D22" s="904" t="s">
        <v>2336</v>
      </c>
      <c r="E22" s="904"/>
      <c r="F22" s="905"/>
      <c r="G22" s="894">
        <f t="shared" si="3"/>
        <v>33</v>
      </c>
      <c r="H22" s="906">
        <f>CO2計算!$F$21</f>
        <v>0</v>
      </c>
      <c r="I22" s="900">
        <f>(I19-I20)*$H22</f>
        <v>0</v>
      </c>
      <c r="J22" s="900">
        <f t="shared" ref="J22:Q22" si="7">(J19-J20)*$H22</f>
        <v>0</v>
      </c>
      <c r="K22" s="900">
        <f t="shared" si="7"/>
        <v>0</v>
      </c>
      <c r="L22" s="900">
        <f t="shared" si="7"/>
        <v>0</v>
      </c>
      <c r="M22" s="900">
        <f t="shared" si="7"/>
        <v>0</v>
      </c>
      <c r="N22" s="900">
        <f t="shared" si="7"/>
        <v>0</v>
      </c>
      <c r="O22" s="900">
        <f t="shared" si="7"/>
        <v>0</v>
      </c>
      <c r="P22" s="900">
        <f t="shared" si="7"/>
        <v>0</v>
      </c>
      <c r="Q22" s="900">
        <f t="shared" si="7"/>
        <v>0</v>
      </c>
    </row>
    <row r="23" spans="3:17" hidden="1">
      <c r="C23" s="902"/>
      <c r="D23" s="904" t="s">
        <v>2337</v>
      </c>
      <c r="E23" s="904"/>
      <c r="F23" s="905"/>
      <c r="G23" s="894">
        <f t="shared" si="3"/>
        <v>34</v>
      </c>
      <c r="H23" s="906">
        <f>CO2計算!$F$22</f>
        <v>0</v>
      </c>
      <c r="I23" s="900">
        <f t="shared" ref="I23:Q23" si="8">(I19-I21)*$H23</f>
        <v>0</v>
      </c>
      <c r="J23" s="900">
        <f t="shared" si="8"/>
        <v>0</v>
      </c>
      <c r="K23" s="900">
        <f t="shared" si="8"/>
        <v>0</v>
      </c>
      <c r="L23" s="900">
        <f t="shared" si="8"/>
        <v>0</v>
      </c>
      <c r="M23" s="900">
        <f t="shared" si="8"/>
        <v>0</v>
      </c>
      <c r="N23" s="900">
        <f t="shared" si="8"/>
        <v>0</v>
      </c>
      <c r="O23" s="900">
        <f t="shared" si="8"/>
        <v>0</v>
      </c>
      <c r="P23" s="900">
        <f t="shared" si="8"/>
        <v>0</v>
      </c>
      <c r="Q23" s="900">
        <f t="shared" si="8"/>
        <v>0</v>
      </c>
    </row>
    <row r="24" spans="3:17" hidden="1">
      <c r="C24" s="908"/>
      <c r="D24" s="904" t="s">
        <v>386</v>
      </c>
      <c r="E24" s="904"/>
      <c r="F24" s="905"/>
      <c r="G24" s="894">
        <f t="shared" si="3"/>
        <v>35</v>
      </c>
      <c r="H24" s="910"/>
      <c r="I24" s="900">
        <f t="shared" ref="I24:Q24" si="9">I19-I22-I23</f>
        <v>16.572000000000003</v>
      </c>
      <c r="J24" s="900">
        <f t="shared" si="9"/>
        <v>16.572000000000003</v>
      </c>
      <c r="K24" s="900">
        <f t="shared" si="9"/>
        <v>16.572000000000003</v>
      </c>
      <c r="L24" s="900">
        <f t="shared" si="9"/>
        <v>22.385999999999999</v>
      </c>
      <c r="M24" s="900">
        <f t="shared" si="9"/>
        <v>22.385999999999999</v>
      </c>
      <c r="N24" s="900">
        <f t="shared" si="9"/>
        <v>22.385999999999999</v>
      </c>
      <c r="O24" s="900">
        <f t="shared" si="9"/>
        <v>16.960999999999999</v>
      </c>
      <c r="P24" s="900">
        <f t="shared" si="9"/>
        <v>16.960999999999999</v>
      </c>
      <c r="Q24" s="900">
        <f t="shared" si="9"/>
        <v>16.960999999999999</v>
      </c>
    </row>
    <row r="25" spans="3:17">
      <c r="C25" s="895" t="s">
        <v>1721</v>
      </c>
      <c r="D25" s="888"/>
      <c r="E25" s="888"/>
      <c r="F25" s="889"/>
      <c r="G25" s="894">
        <f t="shared" si="3"/>
        <v>40</v>
      </c>
      <c r="H25" s="894"/>
      <c r="I25" s="897">
        <v>16.571999999999999</v>
      </c>
      <c r="J25" s="897">
        <v>16.572000000000003</v>
      </c>
      <c r="K25" s="897">
        <v>16.572000000000003</v>
      </c>
      <c r="L25" s="897">
        <v>22.385999999999999</v>
      </c>
      <c r="M25" s="897">
        <v>22.385999999999999</v>
      </c>
      <c r="N25" s="897">
        <v>22.385999999999999</v>
      </c>
      <c r="O25" s="897">
        <v>16.960999999999999</v>
      </c>
      <c r="P25" s="897">
        <v>16.960999999999999</v>
      </c>
      <c r="Q25" s="897">
        <v>16.960999999999999</v>
      </c>
    </row>
    <row r="26" spans="3:17">
      <c r="C26" s="898"/>
      <c r="D26" s="477" t="s">
        <v>1981</v>
      </c>
      <c r="E26" s="477"/>
      <c r="F26" s="899">
        <v>1</v>
      </c>
      <c r="G26" s="894">
        <f t="shared" si="3"/>
        <v>41</v>
      </c>
      <c r="H26" s="894"/>
      <c r="I26" s="900">
        <v>8.4039999999999999</v>
      </c>
      <c r="J26" s="900">
        <v>8.4039999999999999</v>
      </c>
      <c r="K26" s="900">
        <v>8.4039999999999999</v>
      </c>
      <c r="L26" s="900">
        <v>8.5990000000000002</v>
      </c>
      <c r="M26" s="900">
        <v>8.5990000000000002</v>
      </c>
      <c r="N26" s="900">
        <v>8.5990000000000002</v>
      </c>
      <c r="O26" s="900">
        <v>8.4849999999999994</v>
      </c>
      <c r="P26" s="900">
        <v>8.4849999999999994</v>
      </c>
      <c r="Q26" s="900">
        <v>8.4849999999999994</v>
      </c>
    </row>
    <row r="27" spans="3:17">
      <c r="C27" s="898"/>
      <c r="D27" s="477" t="s">
        <v>1982</v>
      </c>
      <c r="E27" s="477"/>
      <c r="F27" s="899">
        <v>1</v>
      </c>
      <c r="G27" s="894">
        <f t="shared" si="3"/>
        <v>42</v>
      </c>
      <c r="H27" s="901"/>
      <c r="I27" s="900">
        <v>15.867000000000001</v>
      </c>
      <c r="J27" s="900">
        <v>15.867000000000001</v>
      </c>
      <c r="K27" s="900">
        <v>15.867000000000001</v>
      </c>
      <c r="L27" s="900">
        <v>20.512</v>
      </c>
      <c r="M27" s="900">
        <v>20.512</v>
      </c>
      <c r="N27" s="900">
        <v>20.512</v>
      </c>
      <c r="O27" s="900">
        <v>16.321999999999999</v>
      </c>
      <c r="P27" s="900">
        <v>16.321999999999999</v>
      </c>
      <c r="Q27" s="900">
        <v>16.321999999999999</v>
      </c>
    </row>
    <row r="28" spans="3:17" hidden="1">
      <c r="C28" s="902"/>
      <c r="D28" s="904" t="s">
        <v>2336</v>
      </c>
      <c r="E28" s="904"/>
      <c r="F28" s="905"/>
      <c r="G28" s="894">
        <f t="shared" si="3"/>
        <v>43</v>
      </c>
      <c r="H28" s="906">
        <f>CO2計算!$F$21</f>
        <v>0</v>
      </c>
      <c r="I28" s="900">
        <f>(I25-I26)*$H28</f>
        <v>0</v>
      </c>
      <c r="J28" s="900">
        <f t="shared" ref="J28:Q28" si="10">(J25-J26)*$H28</f>
        <v>0</v>
      </c>
      <c r="K28" s="900">
        <f t="shared" si="10"/>
        <v>0</v>
      </c>
      <c r="L28" s="900">
        <f t="shared" si="10"/>
        <v>0</v>
      </c>
      <c r="M28" s="900">
        <f t="shared" si="10"/>
        <v>0</v>
      </c>
      <c r="N28" s="900">
        <f t="shared" si="10"/>
        <v>0</v>
      </c>
      <c r="O28" s="900">
        <f t="shared" si="10"/>
        <v>0</v>
      </c>
      <c r="P28" s="900">
        <f t="shared" si="10"/>
        <v>0</v>
      </c>
      <c r="Q28" s="900">
        <f t="shared" si="10"/>
        <v>0</v>
      </c>
    </row>
    <row r="29" spans="3:17" hidden="1">
      <c r="C29" s="902"/>
      <c r="D29" s="904" t="s">
        <v>2337</v>
      </c>
      <c r="E29" s="904"/>
      <c r="F29" s="905"/>
      <c r="G29" s="894">
        <f t="shared" si="3"/>
        <v>44</v>
      </c>
      <c r="H29" s="906">
        <f>CO2計算!$F$22</f>
        <v>0</v>
      </c>
      <c r="I29" s="900">
        <f t="shared" ref="I29:Q29" si="11">(I25-I27)*$H29</f>
        <v>0</v>
      </c>
      <c r="J29" s="900">
        <f t="shared" si="11"/>
        <v>0</v>
      </c>
      <c r="K29" s="900">
        <f t="shared" si="11"/>
        <v>0</v>
      </c>
      <c r="L29" s="900">
        <f t="shared" si="11"/>
        <v>0</v>
      </c>
      <c r="M29" s="900">
        <f t="shared" si="11"/>
        <v>0</v>
      </c>
      <c r="N29" s="900">
        <f t="shared" si="11"/>
        <v>0</v>
      </c>
      <c r="O29" s="900">
        <f t="shared" si="11"/>
        <v>0</v>
      </c>
      <c r="P29" s="900">
        <f t="shared" si="11"/>
        <v>0</v>
      </c>
      <c r="Q29" s="900">
        <f t="shared" si="11"/>
        <v>0</v>
      </c>
    </row>
    <row r="30" spans="3:17" hidden="1">
      <c r="C30" s="908"/>
      <c r="D30" s="904" t="s">
        <v>386</v>
      </c>
      <c r="E30" s="904"/>
      <c r="F30" s="905"/>
      <c r="G30" s="894">
        <f t="shared" si="3"/>
        <v>45</v>
      </c>
      <c r="H30" s="910"/>
      <c r="I30" s="900">
        <f t="shared" ref="I30:Q30" si="12">I25-I28-I29</f>
        <v>16.571999999999999</v>
      </c>
      <c r="J30" s="900">
        <f t="shared" si="12"/>
        <v>16.572000000000003</v>
      </c>
      <c r="K30" s="900">
        <f t="shared" si="12"/>
        <v>16.572000000000003</v>
      </c>
      <c r="L30" s="900">
        <f t="shared" si="12"/>
        <v>22.385999999999999</v>
      </c>
      <c r="M30" s="900">
        <f t="shared" si="12"/>
        <v>22.385999999999999</v>
      </c>
      <c r="N30" s="900">
        <f t="shared" si="12"/>
        <v>22.385999999999999</v>
      </c>
      <c r="O30" s="900">
        <f t="shared" si="12"/>
        <v>16.960999999999999</v>
      </c>
      <c r="P30" s="900">
        <f t="shared" si="12"/>
        <v>16.960999999999999</v>
      </c>
      <c r="Q30" s="900">
        <f t="shared" si="12"/>
        <v>16.960999999999999</v>
      </c>
    </row>
    <row r="31" spans="3:17">
      <c r="C31" s="895" t="s">
        <v>1618</v>
      </c>
      <c r="D31" s="888"/>
      <c r="E31" s="888"/>
      <c r="F31" s="889"/>
      <c r="G31" s="894">
        <f t="shared" si="3"/>
        <v>50</v>
      </c>
      <c r="H31" s="894"/>
      <c r="I31" s="897">
        <v>11.535</v>
      </c>
      <c r="J31" s="897">
        <v>11.535</v>
      </c>
      <c r="K31" s="897">
        <v>11.535</v>
      </c>
      <c r="L31" s="897">
        <v>12.471</v>
      </c>
      <c r="M31" s="897">
        <v>12.471</v>
      </c>
      <c r="N31" s="897">
        <v>12.471</v>
      </c>
      <c r="O31" s="897">
        <v>13.079000000000001</v>
      </c>
      <c r="P31" s="897">
        <v>13.079000000000001</v>
      </c>
      <c r="Q31" s="897">
        <v>13.079000000000001</v>
      </c>
    </row>
    <row r="32" spans="3:17">
      <c r="C32" s="898"/>
      <c r="D32" s="477" t="s">
        <v>1981</v>
      </c>
      <c r="E32" s="477"/>
      <c r="F32" s="899">
        <v>1</v>
      </c>
      <c r="G32" s="894">
        <f t="shared" si="3"/>
        <v>51</v>
      </c>
      <c r="H32" s="894"/>
      <c r="I32" s="900">
        <v>5.452</v>
      </c>
      <c r="J32" s="900">
        <v>5.452</v>
      </c>
      <c r="K32" s="900">
        <v>5.452</v>
      </c>
      <c r="L32" s="900">
        <v>5.5779999999999994</v>
      </c>
      <c r="M32" s="900">
        <v>5.5779999999999994</v>
      </c>
      <c r="N32" s="900">
        <v>5.5779999999999994</v>
      </c>
      <c r="O32" s="900">
        <v>5.5039999999999996</v>
      </c>
      <c r="P32" s="900">
        <v>5.5039999999999996</v>
      </c>
      <c r="Q32" s="900">
        <v>5.5039999999999996</v>
      </c>
    </row>
    <row r="33" spans="3:17">
      <c r="C33" s="898"/>
      <c r="D33" s="477" t="s">
        <v>1982</v>
      </c>
      <c r="E33" s="477"/>
      <c r="F33" s="899">
        <v>1</v>
      </c>
      <c r="G33" s="894">
        <f t="shared" si="3"/>
        <v>52</v>
      </c>
      <c r="H33" s="901"/>
      <c r="I33" s="900">
        <v>11.178000000000001</v>
      </c>
      <c r="J33" s="900">
        <v>11.178000000000001</v>
      </c>
      <c r="K33" s="900">
        <v>11.178000000000001</v>
      </c>
      <c r="L33" s="900">
        <v>11.533999999999999</v>
      </c>
      <c r="M33" s="900">
        <v>11.533999999999999</v>
      </c>
      <c r="N33" s="900">
        <v>11.533999999999999</v>
      </c>
      <c r="O33" s="900">
        <v>12.182</v>
      </c>
      <c r="P33" s="900">
        <v>12.182</v>
      </c>
      <c r="Q33" s="900">
        <v>12.182</v>
      </c>
    </row>
    <row r="34" spans="3:17" hidden="1">
      <c r="C34" s="902"/>
      <c r="D34" s="904" t="s">
        <v>2336</v>
      </c>
      <c r="E34" s="904"/>
      <c r="F34" s="905"/>
      <c r="G34" s="894">
        <f t="shared" si="3"/>
        <v>53</v>
      </c>
      <c r="H34" s="906">
        <f>CO2計算!$F$21</f>
        <v>0</v>
      </c>
      <c r="I34" s="900">
        <f>(I31-I32)*$H34</f>
        <v>0</v>
      </c>
      <c r="J34" s="900">
        <f t="shared" ref="J34:Q34" si="13">(J31-J32)*$H34</f>
        <v>0</v>
      </c>
      <c r="K34" s="900">
        <f t="shared" si="13"/>
        <v>0</v>
      </c>
      <c r="L34" s="900">
        <f t="shared" si="13"/>
        <v>0</v>
      </c>
      <c r="M34" s="900">
        <f t="shared" si="13"/>
        <v>0</v>
      </c>
      <c r="N34" s="900">
        <f t="shared" si="13"/>
        <v>0</v>
      </c>
      <c r="O34" s="900">
        <f t="shared" si="13"/>
        <v>0</v>
      </c>
      <c r="P34" s="900">
        <f t="shared" si="13"/>
        <v>0</v>
      </c>
      <c r="Q34" s="900">
        <f t="shared" si="13"/>
        <v>0</v>
      </c>
    </row>
    <row r="35" spans="3:17" hidden="1">
      <c r="C35" s="902"/>
      <c r="D35" s="904" t="s">
        <v>2337</v>
      </c>
      <c r="E35" s="904"/>
      <c r="F35" s="905"/>
      <c r="G35" s="894">
        <f t="shared" si="3"/>
        <v>54</v>
      </c>
      <c r="H35" s="906">
        <f>CO2計算!$F$22</f>
        <v>0</v>
      </c>
      <c r="I35" s="900">
        <f t="shared" ref="I35:Q35" si="14">(I31-I33)*$H35</f>
        <v>0</v>
      </c>
      <c r="J35" s="900">
        <f t="shared" si="14"/>
        <v>0</v>
      </c>
      <c r="K35" s="900">
        <f t="shared" si="14"/>
        <v>0</v>
      </c>
      <c r="L35" s="900">
        <f t="shared" si="14"/>
        <v>0</v>
      </c>
      <c r="M35" s="900">
        <f t="shared" si="14"/>
        <v>0</v>
      </c>
      <c r="N35" s="900">
        <f t="shared" si="14"/>
        <v>0</v>
      </c>
      <c r="O35" s="900">
        <f t="shared" si="14"/>
        <v>0</v>
      </c>
      <c r="P35" s="900">
        <f t="shared" si="14"/>
        <v>0</v>
      </c>
      <c r="Q35" s="900">
        <f t="shared" si="14"/>
        <v>0</v>
      </c>
    </row>
    <row r="36" spans="3:17" hidden="1">
      <c r="C36" s="908"/>
      <c r="D36" s="904" t="s">
        <v>386</v>
      </c>
      <c r="E36" s="904"/>
      <c r="F36" s="905"/>
      <c r="G36" s="894">
        <f t="shared" si="3"/>
        <v>55</v>
      </c>
      <c r="H36" s="910"/>
      <c r="I36" s="900">
        <f t="shared" ref="I36:Q36" si="15">I31-I34-I35</f>
        <v>11.535</v>
      </c>
      <c r="J36" s="900">
        <f t="shared" si="15"/>
        <v>11.535</v>
      </c>
      <c r="K36" s="900">
        <f t="shared" si="15"/>
        <v>11.535</v>
      </c>
      <c r="L36" s="900">
        <f t="shared" si="15"/>
        <v>12.471</v>
      </c>
      <c r="M36" s="900">
        <f t="shared" si="15"/>
        <v>12.471</v>
      </c>
      <c r="N36" s="900">
        <f t="shared" si="15"/>
        <v>12.471</v>
      </c>
      <c r="O36" s="900">
        <f t="shared" si="15"/>
        <v>13.079000000000001</v>
      </c>
      <c r="P36" s="900">
        <f t="shared" si="15"/>
        <v>13.079000000000001</v>
      </c>
      <c r="Q36" s="900">
        <f t="shared" si="15"/>
        <v>13.079000000000001</v>
      </c>
    </row>
    <row r="37" spans="3:17">
      <c r="C37" s="895" t="s">
        <v>385</v>
      </c>
      <c r="D37" s="888"/>
      <c r="E37" s="888"/>
      <c r="F37" s="889"/>
      <c r="G37" s="894">
        <f t="shared" si="3"/>
        <v>60</v>
      </c>
      <c r="H37" s="894"/>
      <c r="I37" s="897">
        <v>19.561999999999998</v>
      </c>
      <c r="J37" s="897">
        <v>19.561999999999998</v>
      </c>
      <c r="K37" s="897">
        <v>19.561999999999998</v>
      </c>
      <c r="L37" s="897">
        <v>22.5</v>
      </c>
      <c r="M37" s="897">
        <v>22.5</v>
      </c>
      <c r="N37" s="897">
        <v>22.5</v>
      </c>
      <c r="O37" s="897">
        <v>23.650000000000002</v>
      </c>
      <c r="P37" s="897">
        <v>23.650000000000002</v>
      </c>
      <c r="Q37" s="897">
        <v>23.650000000000002</v>
      </c>
    </row>
    <row r="38" spans="3:17">
      <c r="C38" s="898"/>
      <c r="D38" s="477" t="s">
        <v>1981</v>
      </c>
      <c r="E38" s="477"/>
      <c r="F38" s="899">
        <v>1</v>
      </c>
      <c r="G38" s="894">
        <f t="shared" si="3"/>
        <v>61</v>
      </c>
      <c r="H38" s="894"/>
      <c r="I38" s="900">
        <v>9.9849999999999994</v>
      </c>
      <c r="J38" s="900">
        <v>9.9849999999999994</v>
      </c>
      <c r="K38" s="900">
        <v>9.9849999999999994</v>
      </c>
      <c r="L38" s="900">
        <v>10.302</v>
      </c>
      <c r="M38" s="900">
        <v>10.302</v>
      </c>
      <c r="N38" s="900">
        <v>10.302</v>
      </c>
      <c r="O38" s="900">
        <v>9.9700000000000006</v>
      </c>
      <c r="P38" s="900">
        <v>9.9700000000000006</v>
      </c>
      <c r="Q38" s="900">
        <v>9.9700000000000006</v>
      </c>
    </row>
    <row r="39" spans="3:17">
      <c r="C39" s="898"/>
      <c r="D39" s="477" t="s">
        <v>1982</v>
      </c>
      <c r="E39" s="477"/>
      <c r="F39" s="899">
        <v>1</v>
      </c>
      <c r="G39" s="894">
        <f t="shared" si="3"/>
        <v>62</v>
      </c>
      <c r="H39" s="901"/>
      <c r="I39" s="900">
        <v>18.811</v>
      </c>
      <c r="J39" s="900">
        <v>18.811</v>
      </c>
      <c r="K39" s="900">
        <v>18.811</v>
      </c>
      <c r="L39" s="900">
        <v>20.811999999999998</v>
      </c>
      <c r="M39" s="900">
        <v>20.811999999999998</v>
      </c>
      <c r="N39" s="900">
        <v>20.811999999999998</v>
      </c>
      <c r="O39" s="900">
        <v>22.231999999999999</v>
      </c>
      <c r="P39" s="900">
        <v>22.231999999999999</v>
      </c>
      <c r="Q39" s="900">
        <v>22.231999999999999</v>
      </c>
    </row>
    <row r="40" spans="3:17" hidden="1">
      <c r="C40" s="902"/>
      <c r="D40" s="904" t="s">
        <v>2336</v>
      </c>
      <c r="E40" s="904"/>
      <c r="F40" s="905"/>
      <c r="G40" s="894">
        <f t="shared" si="3"/>
        <v>63</v>
      </c>
      <c r="H40" s="906">
        <f>CO2計算!$F$21</f>
        <v>0</v>
      </c>
      <c r="I40" s="900">
        <f>(I37-I38)*$H40</f>
        <v>0</v>
      </c>
      <c r="J40" s="900">
        <f t="shared" ref="J40:Q40" si="16">(J37-J38)*$H40</f>
        <v>0</v>
      </c>
      <c r="K40" s="900">
        <f t="shared" si="16"/>
        <v>0</v>
      </c>
      <c r="L40" s="900">
        <f t="shared" si="16"/>
        <v>0</v>
      </c>
      <c r="M40" s="900">
        <f t="shared" si="16"/>
        <v>0</v>
      </c>
      <c r="N40" s="900">
        <f t="shared" si="16"/>
        <v>0</v>
      </c>
      <c r="O40" s="900">
        <f t="shared" si="16"/>
        <v>0</v>
      </c>
      <c r="P40" s="900">
        <f t="shared" si="16"/>
        <v>0</v>
      </c>
      <c r="Q40" s="900">
        <f t="shared" si="16"/>
        <v>0</v>
      </c>
    </row>
    <row r="41" spans="3:17" hidden="1">
      <c r="C41" s="902"/>
      <c r="D41" s="904" t="s">
        <v>2337</v>
      </c>
      <c r="E41" s="904"/>
      <c r="F41" s="905"/>
      <c r="G41" s="894">
        <f t="shared" si="3"/>
        <v>64</v>
      </c>
      <c r="H41" s="906">
        <f>CO2計算!$F$22</f>
        <v>0</v>
      </c>
      <c r="I41" s="900">
        <f t="shared" ref="I41:Q41" si="17">(I37-I39)*$H41</f>
        <v>0</v>
      </c>
      <c r="J41" s="900">
        <f t="shared" si="17"/>
        <v>0</v>
      </c>
      <c r="K41" s="900">
        <f t="shared" si="17"/>
        <v>0</v>
      </c>
      <c r="L41" s="900">
        <f t="shared" si="17"/>
        <v>0</v>
      </c>
      <c r="M41" s="900">
        <f t="shared" si="17"/>
        <v>0</v>
      </c>
      <c r="N41" s="900">
        <f t="shared" si="17"/>
        <v>0</v>
      </c>
      <c r="O41" s="900">
        <f t="shared" si="17"/>
        <v>0</v>
      </c>
      <c r="P41" s="900">
        <f t="shared" si="17"/>
        <v>0</v>
      </c>
      <c r="Q41" s="900">
        <f t="shared" si="17"/>
        <v>0</v>
      </c>
    </row>
    <row r="42" spans="3:17" hidden="1">
      <c r="C42" s="908"/>
      <c r="D42" s="904" t="s">
        <v>386</v>
      </c>
      <c r="E42" s="904"/>
      <c r="F42" s="905"/>
      <c r="G42" s="894">
        <f t="shared" si="3"/>
        <v>65</v>
      </c>
      <c r="H42" s="910"/>
      <c r="I42" s="900">
        <f t="shared" ref="I42:Q42" si="18">I37-I40-I41</f>
        <v>19.561999999999998</v>
      </c>
      <c r="J42" s="900">
        <f t="shared" si="18"/>
        <v>19.561999999999998</v>
      </c>
      <c r="K42" s="900">
        <f t="shared" si="18"/>
        <v>19.561999999999998</v>
      </c>
      <c r="L42" s="900">
        <f t="shared" si="18"/>
        <v>22.5</v>
      </c>
      <c r="M42" s="900">
        <f t="shared" si="18"/>
        <v>22.5</v>
      </c>
      <c r="N42" s="900">
        <f t="shared" si="18"/>
        <v>22.5</v>
      </c>
      <c r="O42" s="900">
        <f t="shared" si="18"/>
        <v>23.650000000000002</v>
      </c>
      <c r="P42" s="900">
        <f t="shared" si="18"/>
        <v>23.650000000000002</v>
      </c>
      <c r="Q42" s="900">
        <f t="shared" si="18"/>
        <v>23.650000000000002</v>
      </c>
    </row>
    <row r="43" spans="3:17">
      <c r="C43" s="895" t="s">
        <v>1620</v>
      </c>
      <c r="D43" s="888"/>
      <c r="E43" s="888"/>
      <c r="F43" s="889"/>
      <c r="G43" s="894">
        <f t="shared" si="3"/>
        <v>70</v>
      </c>
      <c r="H43" s="894"/>
      <c r="I43" s="897">
        <v>10.405000000000001</v>
      </c>
      <c r="J43" s="897">
        <v>10.405000000000001</v>
      </c>
      <c r="K43" s="897">
        <v>10.405000000000001</v>
      </c>
      <c r="L43" s="897">
        <v>12.261000000000001</v>
      </c>
      <c r="M43" s="897">
        <v>12.261000000000001</v>
      </c>
      <c r="N43" s="897">
        <v>12.261000000000001</v>
      </c>
      <c r="O43" s="897">
        <v>13.704000000000001</v>
      </c>
      <c r="P43" s="897">
        <v>13.704000000000001</v>
      </c>
      <c r="Q43" s="897">
        <v>13.704000000000001</v>
      </c>
    </row>
    <row r="44" spans="3:17">
      <c r="C44" s="898"/>
      <c r="D44" s="477" t="s">
        <v>1981</v>
      </c>
      <c r="E44" s="477"/>
      <c r="F44" s="899">
        <v>1</v>
      </c>
      <c r="G44" s="894">
        <f t="shared" si="3"/>
        <v>71</v>
      </c>
      <c r="H44" s="894"/>
      <c r="I44" s="900">
        <v>6.2990000000000004</v>
      </c>
      <c r="J44" s="900">
        <v>6.2990000000000004</v>
      </c>
      <c r="K44" s="900">
        <v>6.2990000000000004</v>
      </c>
      <c r="L44" s="900">
        <v>6.4450000000000003</v>
      </c>
      <c r="M44" s="900">
        <v>6.4450000000000003</v>
      </c>
      <c r="N44" s="900">
        <v>6.4450000000000003</v>
      </c>
      <c r="O44" s="900">
        <v>6.36</v>
      </c>
      <c r="P44" s="900">
        <v>6.36</v>
      </c>
      <c r="Q44" s="900">
        <v>6.36</v>
      </c>
    </row>
    <row r="45" spans="3:17">
      <c r="C45" s="898"/>
      <c r="D45" s="477" t="s">
        <v>1982</v>
      </c>
      <c r="E45" s="477"/>
      <c r="F45" s="899">
        <v>1</v>
      </c>
      <c r="G45" s="894">
        <f t="shared" si="3"/>
        <v>72</v>
      </c>
      <c r="H45" s="901"/>
      <c r="I45" s="900">
        <v>10.077999999999999</v>
      </c>
      <c r="J45" s="900">
        <v>10.077999999999999</v>
      </c>
      <c r="K45" s="900">
        <v>10.077999999999999</v>
      </c>
      <c r="L45" s="900">
        <v>11.452000000000002</v>
      </c>
      <c r="M45" s="900">
        <v>11.452000000000002</v>
      </c>
      <c r="N45" s="900">
        <v>11.452000000000002</v>
      </c>
      <c r="O45" s="900">
        <v>12.857999999999999</v>
      </c>
      <c r="P45" s="900">
        <v>12.857999999999999</v>
      </c>
      <c r="Q45" s="900">
        <v>12.857999999999999</v>
      </c>
    </row>
    <row r="46" spans="3:17" hidden="1">
      <c r="C46" s="902"/>
      <c r="D46" s="904" t="s">
        <v>2336</v>
      </c>
      <c r="E46" s="904"/>
      <c r="F46" s="905"/>
      <c r="G46" s="894">
        <f t="shared" si="3"/>
        <v>73</v>
      </c>
      <c r="H46" s="906">
        <f>CO2計算!$F$21</f>
        <v>0</v>
      </c>
      <c r="I46" s="900">
        <f>(I43-I44)*$H46</f>
        <v>0</v>
      </c>
      <c r="J46" s="900">
        <f t="shared" ref="J46:Q46" si="19">(J43-J44)*$H46</f>
        <v>0</v>
      </c>
      <c r="K46" s="900">
        <f t="shared" si="19"/>
        <v>0</v>
      </c>
      <c r="L46" s="900">
        <f t="shared" si="19"/>
        <v>0</v>
      </c>
      <c r="M46" s="900">
        <f t="shared" si="19"/>
        <v>0</v>
      </c>
      <c r="N46" s="900">
        <f t="shared" si="19"/>
        <v>0</v>
      </c>
      <c r="O46" s="900">
        <f t="shared" si="19"/>
        <v>0</v>
      </c>
      <c r="P46" s="900">
        <f t="shared" si="19"/>
        <v>0</v>
      </c>
      <c r="Q46" s="900">
        <f t="shared" si="19"/>
        <v>0</v>
      </c>
    </row>
    <row r="47" spans="3:17" hidden="1">
      <c r="C47" s="902"/>
      <c r="D47" s="904" t="s">
        <v>2337</v>
      </c>
      <c r="E47" s="904"/>
      <c r="F47" s="905"/>
      <c r="G47" s="894">
        <f t="shared" si="3"/>
        <v>74</v>
      </c>
      <c r="H47" s="906">
        <f>CO2計算!$F$22</f>
        <v>0</v>
      </c>
      <c r="I47" s="900">
        <f t="shared" ref="I47:Q47" si="20">(I43-I45)*$H47</f>
        <v>0</v>
      </c>
      <c r="J47" s="900">
        <f t="shared" si="20"/>
        <v>0</v>
      </c>
      <c r="K47" s="900">
        <f t="shared" si="20"/>
        <v>0</v>
      </c>
      <c r="L47" s="900">
        <f t="shared" si="20"/>
        <v>0</v>
      </c>
      <c r="M47" s="900">
        <f t="shared" si="20"/>
        <v>0</v>
      </c>
      <c r="N47" s="900">
        <f t="shared" si="20"/>
        <v>0</v>
      </c>
      <c r="O47" s="900">
        <f t="shared" si="20"/>
        <v>0</v>
      </c>
      <c r="P47" s="900">
        <f t="shared" si="20"/>
        <v>0</v>
      </c>
      <c r="Q47" s="900">
        <f t="shared" si="20"/>
        <v>0</v>
      </c>
    </row>
    <row r="48" spans="3:17" hidden="1">
      <c r="C48" s="908"/>
      <c r="D48" s="904" t="s">
        <v>386</v>
      </c>
      <c r="E48" s="904"/>
      <c r="F48" s="905"/>
      <c r="G48" s="894">
        <f t="shared" si="3"/>
        <v>75</v>
      </c>
      <c r="H48" s="910"/>
      <c r="I48" s="900">
        <f t="shared" ref="I48:Q48" si="21">I43-I46-I47</f>
        <v>10.405000000000001</v>
      </c>
      <c r="J48" s="900">
        <f t="shared" si="21"/>
        <v>10.405000000000001</v>
      </c>
      <c r="K48" s="900">
        <f t="shared" si="21"/>
        <v>10.405000000000001</v>
      </c>
      <c r="L48" s="900">
        <f t="shared" si="21"/>
        <v>12.261000000000001</v>
      </c>
      <c r="M48" s="900">
        <f t="shared" si="21"/>
        <v>12.261000000000001</v>
      </c>
      <c r="N48" s="900">
        <f t="shared" si="21"/>
        <v>12.261000000000001</v>
      </c>
      <c r="O48" s="900">
        <f t="shared" si="21"/>
        <v>13.704000000000001</v>
      </c>
      <c r="P48" s="900">
        <f t="shared" si="21"/>
        <v>13.704000000000001</v>
      </c>
      <c r="Q48" s="900">
        <f t="shared" si="21"/>
        <v>13.704000000000001</v>
      </c>
    </row>
    <row r="49" spans="3:17">
      <c r="C49" s="895" t="s">
        <v>423</v>
      </c>
      <c r="D49" s="888"/>
      <c r="E49" s="888"/>
      <c r="F49" s="889"/>
      <c r="G49" s="894">
        <f t="shared" si="3"/>
        <v>80</v>
      </c>
      <c r="H49" s="894"/>
      <c r="I49" s="897">
        <v>11.119000000000002</v>
      </c>
      <c r="J49" s="897">
        <v>11.119000000000002</v>
      </c>
      <c r="K49" s="897">
        <v>11.119000000000002</v>
      </c>
      <c r="L49" s="897">
        <v>12.770000000000001</v>
      </c>
      <c r="M49" s="897">
        <v>12.770000000000001</v>
      </c>
      <c r="N49" s="897">
        <v>12.770000000000001</v>
      </c>
      <c r="O49" s="897">
        <v>13.53</v>
      </c>
      <c r="P49" s="897">
        <v>13.53</v>
      </c>
      <c r="Q49" s="897">
        <v>13.53</v>
      </c>
    </row>
    <row r="50" spans="3:17">
      <c r="C50" s="898"/>
      <c r="D50" s="477" t="s">
        <v>1981</v>
      </c>
      <c r="E50" s="477"/>
      <c r="F50" s="899">
        <v>1</v>
      </c>
      <c r="G50" s="894">
        <f t="shared" si="3"/>
        <v>81</v>
      </c>
      <c r="H50" s="894"/>
      <c r="I50" s="900">
        <v>5.5570000000000004</v>
      </c>
      <c r="J50" s="900">
        <v>5.5570000000000004</v>
      </c>
      <c r="K50" s="900">
        <v>5.5570000000000004</v>
      </c>
      <c r="L50" s="900">
        <v>5.6859999999999999</v>
      </c>
      <c r="M50" s="900">
        <v>5.6859999999999999</v>
      </c>
      <c r="N50" s="900">
        <v>5.6859999999999999</v>
      </c>
      <c r="O50" s="900">
        <v>5.61</v>
      </c>
      <c r="P50" s="900">
        <v>5.61</v>
      </c>
      <c r="Q50" s="900">
        <v>5.61</v>
      </c>
    </row>
    <row r="51" spans="3:17">
      <c r="C51" s="898"/>
      <c r="D51" s="477" t="s">
        <v>1982</v>
      </c>
      <c r="E51" s="477"/>
      <c r="F51" s="899">
        <v>1</v>
      </c>
      <c r="G51" s="894">
        <f t="shared" si="3"/>
        <v>82</v>
      </c>
      <c r="H51" s="901"/>
      <c r="I51" s="900">
        <v>10.67</v>
      </c>
      <c r="J51" s="900">
        <v>10.67</v>
      </c>
      <c r="K51" s="900">
        <v>10.67</v>
      </c>
      <c r="L51" s="900">
        <v>11.715999999999999</v>
      </c>
      <c r="M51" s="900">
        <v>11.715999999999999</v>
      </c>
      <c r="N51" s="900">
        <v>11.715999999999999</v>
      </c>
      <c r="O51" s="900">
        <v>12.681000000000001</v>
      </c>
      <c r="P51" s="900">
        <v>12.681000000000001</v>
      </c>
      <c r="Q51" s="900">
        <v>12.681000000000001</v>
      </c>
    </row>
    <row r="52" spans="3:17" hidden="1">
      <c r="C52" s="902"/>
      <c r="D52" s="904" t="s">
        <v>2336</v>
      </c>
      <c r="E52" s="904"/>
      <c r="F52" s="905"/>
      <c r="G52" s="894">
        <f t="shared" si="3"/>
        <v>83</v>
      </c>
      <c r="H52" s="906">
        <f>CO2計算!$F$21</f>
        <v>0</v>
      </c>
      <c r="I52" s="900">
        <f>(I49-I50)*$H52</f>
        <v>0</v>
      </c>
      <c r="J52" s="900">
        <f t="shared" ref="J52:Q52" si="22">(J49-J50)*$H52</f>
        <v>0</v>
      </c>
      <c r="K52" s="900">
        <f t="shared" si="22"/>
        <v>0</v>
      </c>
      <c r="L52" s="900">
        <f t="shared" si="22"/>
        <v>0</v>
      </c>
      <c r="M52" s="900">
        <f t="shared" si="22"/>
        <v>0</v>
      </c>
      <c r="N52" s="900">
        <f t="shared" si="22"/>
        <v>0</v>
      </c>
      <c r="O52" s="900">
        <f t="shared" si="22"/>
        <v>0</v>
      </c>
      <c r="P52" s="900">
        <f t="shared" si="22"/>
        <v>0</v>
      </c>
      <c r="Q52" s="900">
        <f t="shared" si="22"/>
        <v>0</v>
      </c>
    </row>
    <row r="53" spans="3:17" hidden="1">
      <c r="C53" s="902"/>
      <c r="D53" s="904" t="s">
        <v>2337</v>
      </c>
      <c r="E53" s="904"/>
      <c r="F53" s="905"/>
      <c r="G53" s="894">
        <f t="shared" si="3"/>
        <v>84</v>
      </c>
      <c r="H53" s="906">
        <f>CO2計算!$F$22</f>
        <v>0</v>
      </c>
      <c r="I53" s="900">
        <f t="shared" ref="I53:Q53" si="23">(I49-I51)*$H53</f>
        <v>0</v>
      </c>
      <c r="J53" s="900">
        <f t="shared" si="23"/>
        <v>0</v>
      </c>
      <c r="K53" s="900">
        <f t="shared" si="23"/>
        <v>0</v>
      </c>
      <c r="L53" s="900">
        <f t="shared" si="23"/>
        <v>0</v>
      </c>
      <c r="M53" s="900">
        <f t="shared" si="23"/>
        <v>0</v>
      </c>
      <c r="N53" s="900">
        <f t="shared" si="23"/>
        <v>0</v>
      </c>
      <c r="O53" s="900">
        <f t="shared" si="23"/>
        <v>0</v>
      </c>
      <c r="P53" s="900">
        <f t="shared" si="23"/>
        <v>0</v>
      </c>
      <c r="Q53" s="900">
        <f t="shared" si="23"/>
        <v>0</v>
      </c>
    </row>
    <row r="54" spans="3:17" hidden="1">
      <c r="C54" s="908"/>
      <c r="D54" s="904" t="s">
        <v>386</v>
      </c>
      <c r="E54" s="904"/>
      <c r="F54" s="905"/>
      <c r="G54" s="894">
        <f t="shared" si="3"/>
        <v>85</v>
      </c>
      <c r="H54" s="910"/>
      <c r="I54" s="900">
        <f t="shared" ref="I54:Q54" si="24">I49-I52-I53</f>
        <v>11.119000000000002</v>
      </c>
      <c r="J54" s="900">
        <f t="shared" si="24"/>
        <v>11.119000000000002</v>
      </c>
      <c r="K54" s="900">
        <f t="shared" si="24"/>
        <v>11.119000000000002</v>
      </c>
      <c r="L54" s="900">
        <f t="shared" si="24"/>
        <v>12.770000000000001</v>
      </c>
      <c r="M54" s="900">
        <f t="shared" si="24"/>
        <v>12.770000000000001</v>
      </c>
      <c r="N54" s="900">
        <f t="shared" si="24"/>
        <v>12.770000000000001</v>
      </c>
      <c r="O54" s="900">
        <f t="shared" si="24"/>
        <v>13.53</v>
      </c>
      <c r="P54" s="900">
        <f t="shared" si="24"/>
        <v>13.53</v>
      </c>
      <c r="Q54" s="900">
        <f t="shared" si="24"/>
        <v>13.53</v>
      </c>
    </row>
    <row r="55" spans="3:17">
      <c r="C55" s="895" t="s">
        <v>1722</v>
      </c>
      <c r="D55" s="888"/>
      <c r="E55" s="888"/>
      <c r="F55" s="889"/>
      <c r="G55" s="894">
        <f t="shared" si="3"/>
        <v>90</v>
      </c>
      <c r="H55" s="894"/>
      <c r="I55" s="897">
        <v>15.641</v>
      </c>
      <c r="J55" s="897">
        <v>7.8210000000000006</v>
      </c>
      <c r="K55" s="897">
        <v>5.2140000000000004</v>
      </c>
      <c r="L55" s="897">
        <v>19.619999999999997</v>
      </c>
      <c r="M55" s="897">
        <v>9.8079999999999998</v>
      </c>
      <c r="N55" s="897">
        <v>6.5390000000000006</v>
      </c>
      <c r="O55" s="897">
        <v>22.378</v>
      </c>
      <c r="P55" s="897">
        <v>11.187999999999999</v>
      </c>
      <c r="Q55" s="897">
        <v>7.4590000000000005</v>
      </c>
    </row>
    <row r="56" spans="3:17">
      <c r="C56" s="898"/>
      <c r="D56" s="477" t="s">
        <v>1981</v>
      </c>
      <c r="E56" s="477"/>
      <c r="F56" s="899">
        <v>1</v>
      </c>
      <c r="G56" s="894">
        <f t="shared" si="3"/>
        <v>91</v>
      </c>
      <c r="H56" s="894"/>
      <c r="I56" s="900">
        <v>9.0940000000000012</v>
      </c>
      <c r="J56" s="900">
        <v>4.5460000000000003</v>
      </c>
      <c r="K56" s="900">
        <v>3.0309999999999997</v>
      </c>
      <c r="L56" s="900">
        <v>8.8330000000000002</v>
      </c>
      <c r="M56" s="900">
        <v>4.4160000000000004</v>
      </c>
      <c r="N56" s="900">
        <v>2.9430000000000001</v>
      </c>
      <c r="O56" s="900">
        <v>8.7469999999999999</v>
      </c>
      <c r="P56" s="900">
        <v>4.3730000000000002</v>
      </c>
      <c r="Q56" s="900">
        <v>2.915</v>
      </c>
    </row>
    <row r="57" spans="3:17">
      <c r="C57" s="898"/>
      <c r="D57" s="477" t="s">
        <v>1982</v>
      </c>
      <c r="E57" s="477"/>
      <c r="F57" s="899">
        <v>1</v>
      </c>
      <c r="G57" s="894">
        <f t="shared" si="3"/>
        <v>92</v>
      </c>
      <c r="H57" s="901"/>
      <c r="I57" s="900">
        <v>14.974</v>
      </c>
      <c r="J57" s="900">
        <v>7.4880000000000004</v>
      </c>
      <c r="K57" s="900">
        <v>4.9910000000000005</v>
      </c>
      <c r="L57" s="900">
        <v>18.148999999999997</v>
      </c>
      <c r="M57" s="900">
        <v>9.0730000000000004</v>
      </c>
      <c r="N57" s="900">
        <v>6.0490000000000004</v>
      </c>
      <c r="O57" s="900">
        <v>20.89</v>
      </c>
      <c r="P57" s="900">
        <v>10.443999999999999</v>
      </c>
      <c r="Q57" s="900">
        <v>6.9620000000000006</v>
      </c>
    </row>
    <row r="58" spans="3:17" ht="13.5" hidden="1" customHeight="1">
      <c r="C58" s="902"/>
      <c r="D58" s="903"/>
      <c r="E58" s="904" t="s">
        <v>2336</v>
      </c>
      <c r="F58" s="905"/>
      <c r="G58" s="894">
        <f t="shared" si="3"/>
        <v>93</v>
      </c>
      <c r="H58" s="906">
        <f>CO2計算!$F$21</f>
        <v>0</v>
      </c>
      <c r="I58" s="900">
        <f>(I55-I56)*$H58</f>
        <v>0</v>
      </c>
      <c r="J58" s="900">
        <f t="shared" ref="J58:Q58" si="25">(J55-J56)*$H58</f>
        <v>0</v>
      </c>
      <c r="K58" s="900">
        <f t="shared" si="25"/>
        <v>0</v>
      </c>
      <c r="L58" s="900">
        <f t="shared" si="25"/>
        <v>0</v>
      </c>
      <c r="M58" s="900">
        <f t="shared" si="25"/>
        <v>0</v>
      </c>
      <c r="N58" s="900">
        <f t="shared" si="25"/>
        <v>0</v>
      </c>
      <c r="O58" s="900">
        <f t="shared" si="25"/>
        <v>0</v>
      </c>
      <c r="P58" s="900">
        <f t="shared" si="25"/>
        <v>0</v>
      </c>
      <c r="Q58" s="900">
        <f t="shared" si="25"/>
        <v>0</v>
      </c>
    </row>
    <row r="59" spans="3:17" ht="13.5" hidden="1" customHeight="1">
      <c r="C59" s="902"/>
      <c r="D59" s="892"/>
      <c r="E59" s="904" t="s">
        <v>2337</v>
      </c>
      <c r="F59" s="905"/>
      <c r="G59" s="894">
        <f t="shared" si="3"/>
        <v>94</v>
      </c>
      <c r="H59" s="906">
        <f>CO2計算!$F$22</f>
        <v>0</v>
      </c>
      <c r="I59" s="900">
        <f t="shared" ref="I59:Q59" si="26">(I55-I57)*$H59</f>
        <v>0</v>
      </c>
      <c r="J59" s="900">
        <f t="shared" si="26"/>
        <v>0</v>
      </c>
      <c r="K59" s="900">
        <f t="shared" si="26"/>
        <v>0</v>
      </c>
      <c r="L59" s="900">
        <f t="shared" si="26"/>
        <v>0</v>
      </c>
      <c r="M59" s="900">
        <f t="shared" si="26"/>
        <v>0</v>
      </c>
      <c r="N59" s="900">
        <f t="shared" si="26"/>
        <v>0</v>
      </c>
      <c r="O59" s="900">
        <f t="shared" si="26"/>
        <v>0</v>
      </c>
      <c r="P59" s="900">
        <f t="shared" si="26"/>
        <v>0</v>
      </c>
      <c r="Q59" s="900">
        <f t="shared" si="26"/>
        <v>0</v>
      </c>
    </row>
    <row r="60" spans="3:17" ht="13.5" hidden="1" customHeight="1">
      <c r="C60" s="908"/>
      <c r="D60" s="909"/>
      <c r="E60" s="904" t="s">
        <v>386</v>
      </c>
      <c r="F60" s="905"/>
      <c r="G60" s="894">
        <f t="shared" si="3"/>
        <v>95</v>
      </c>
      <c r="H60" s="910"/>
      <c r="I60" s="900">
        <f t="shared" ref="I60:Q60" si="27">I55-I58-I59</f>
        <v>15.641</v>
      </c>
      <c r="J60" s="900">
        <f t="shared" si="27"/>
        <v>7.8210000000000006</v>
      </c>
      <c r="K60" s="900">
        <f t="shared" si="27"/>
        <v>5.2140000000000004</v>
      </c>
      <c r="L60" s="900">
        <f t="shared" si="27"/>
        <v>19.619999999999997</v>
      </c>
      <c r="M60" s="900">
        <f t="shared" si="27"/>
        <v>9.8079999999999998</v>
      </c>
      <c r="N60" s="900">
        <f t="shared" si="27"/>
        <v>6.5390000000000006</v>
      </c>
      <c r="O60" s="900">
        <f t="shared" si="27"/>
        <v>22.378</v>
      </c>
      <c r="P60" s="900">
        <f t="shared" si="27"/>
        <v>11.187999999999999</v>
      </c>
      <c r="Q60" s="900">
        <f t="shared" si="27"/>
        <v>7.4590000000000005</v>
      </c>
    </row>
    <row r="61" spans="3:17">
      <c r="C61" s="911"/>
      <c r="D61" s="911"/>
      <c r="E61" s="877"/>
      <c r="F61" s="877"/>
      <c r="G61" s="877"/>
      <c r="H61" s="877"/>
      <c r="I61" s="877"/>
      <c r="J61" s="877"/>
      <c r="K61" s="877"/>
      <c r="L61" s="877"/>
      <c r="M61" s="877"/>
      <c r="N61" s="877"/>
      <c r="O61" s="877"/>
      <c r="P61" s="877"/>
      <c r="Q61" s="877"/>
    </row>
    <row r="62" spans="3:17" ht="16.5">
      <c r="C62" s="875" t="s">
        <v>2788</v>
      </c>
      <c r="D62" s="876"/>
      <c r="E62" s="877"/>
      <c r="F62" s="877"/>
      <c r="G62" s="877"/>
      <c r="H62" s="877"/>
      <c r="I62" s="878" t="s">
        <v>275</v>
      </c>
      <c r="J62" s="879"/>
      <c r="K62" s="879"/>
      <c r="L62" s="880"/>
      <c r="M62" s="880"/>
      <c r="N62" s="880"/>
      <c r="O62" s="880"/>
      <c r="P62" s="880"/>
      <c r="Q62" s="881"/>
    </row>
    <row r="63" spans="3:17" ht="14.25">
      <c r="C63" s="882"/>
      <c r="D63" s="883" t="s">
        <v>1599</v>
      </c>
      <c r="E63" s="882"/>
      <c r="F63" s="882"/>
      <c r="G63" s="882"/>
      <c r="H63" s="882"/>
      <c r="I63" s="884" t="s">
        <v>635</v>
      </c>
      <c r="J63" s="880" t="s">
        <v>637</v>
      </c>
      <c r="K63" s="885"/>
      <c r="L63" s="884" t="s">
        <v>634</v>
      </c>
      <c r="M63" s="880"/>
      <c r="N63" s="885"/>
      <c r="O63" s="884" t="s">
        <v>636</v>
      </c>
      <c r="P63" s="880"/>
      <c r="Q63" s="885"/>
    </row>
    <row r="64" spans="3:17">
      <c r="C64" s="886" t="s">
        <v>345</v>
      </c>
      <c r="D64" s="887"/>
      <c r="E64" s="888"/>
      <c r="F64" s="889"/>
      <c r="G64" s="912"/>
      <c r="H64" s="912"/>
      <c r="I64" s="891" t="s">
        <v>420</v>
      </c>
      <c r="J64" s="891" t="s">
        <v>421</v>
      </c>
      <c r="K64" s="891" t="s">
        <v>422</v>
      </c>
      <c r="L64" s="891" t="s">
        <v>420</v>
      </c>
      <c r="M64" s="891" t="s">
        <v>421</v>
      </c>
      <c r="N64" s="891" t="s">
        <v>422</v>
      </c>
      <c r="O64" s="891" t="s">
        <v>420</v>
      </c>
      <c r="P64" s="891" t="s">
        <v>421</v>
      </c>
      <c r="Q64" s="891" t="s">
        <v>422</v>
      </c>
    </row>
    <row r="65" spans="3:17">
      <c r="C65" s="895" t="s">
        <v>377</v>
      </c>
      <c r="D65" s="896"/>
      <c r="E65" s="913"/>
      <c r="F65" s="914"/>
      <c r="G65" s="915">
        <v>1</v>
      </c>
      <c r="H65" s="915"/>
      <c r="I65" s="916">
        <v>15.990999999999998</v>
      </c>
      <c r="J65" s="916">
        <v>15.990999999999998</v>
      </c>
      <c r="K65" s="916">
        <v>15.990999999999998</v>
      </c>
      <c r="L65" s="916">
        <v>16.456</v>
      </c>
      <c r="M65" s="916">
        <v>16.456</v>
      </c>
      <c r="N65" s="916">
        <v>16.456</v>
      </c>
      <c r="O65" s="916">
        <v>16.21</v>
      </c>
      <c r="P65" s="916">
        <v>16.21</v>
      </c>
      <c r="Q65" s="916">
        <v>16.21</v>
      </c>
    </row>
    <row r="66" spans="3:17" ht="13.5" hidden="1" customHeight="1">
      <c r="C66" s="898"/>
      <c r="D66" s="477" t="s">
        <v>1981</v>
      </c>
      <c r="E66" s="477"/>
      <c r="F66" s="899">
        <v>1</v>
      </c>
      <c r="G66" s="915"/>
      <c r="H66" s="915"/>
      <c r="I66" s="916"/>
      <c r="J66" s="916"/>
      <c r="K66" s="916"/>
      <c r="L66" s="916"/>
      <c r="M66" s="916"/>
      <c r="N66" s="916"/>
      <c r="O66" s="916"/>
      <c r="P66" s="916"/>
      <c r="Q66" s="916"/>
    </row>
    <row r="67" spans="3:17" ht="13.5" hidden="1" customHeight="1">
      <c r="C67" s="898"/>
      <c r="D67" s="904" t="s">
        <v>2338</v>
      </c>
      <c r="E67" s="904"/>
      <c r="F67" s="917"/>
      <c r="G67" s="910"/>
      <c r="H67" s="918">
        <v>0</v>
      </c>
      <c r="I67" s="916">
        <f>I65-(I65-I66)*$H67</f>
        <v>15.990999999999998</v>
      </c>
      <c r="J67" s="916">
        <f t="shared" ref="J67:Q67" si="28">J65-(J65-J66)*$H67</f>
        <v>15.990999999999998</v>
      </c>
      <c r="K67" s="916">
        <f t="shared" si="28"/>
        <v>15.990999999999998</v>
      </c>
      <c r="L67" s="916">
        <f t="shared" si="28"/>
        <v>16.456</v>
      </c>
      <c r="M67" s="916">
        <f t="shared" si="28"/>
        <v>16.456</v>
      </c>
      <c r="N67" s="916">
        <f t="shared" si="28"/>
        <v>16.456</v>
      </c>
      <c r="O67" s="916">
        <f t="shared" si="28"/>
        <v>16.21</v>
      </c>
      <c r="P67" s="916">
        <f t="shared" si="28"/>
        <v>16.21</v>
      </c>
      <c r="Q67" s="916">
        <f t="shared" si="28"/>
        <v>16.21</v>
      </c>
    </row>
    <row r="68" spans="3:17">
      <c r="C68" s="895" t="s">
        <v>1465</v>
      </c>
      <c r="D68" s="913"/>
      <c r="E68" s="913"/>
      <c r="F68" s="914"/>
      <c r="G68" s="915">
        <v>2</v>
      </c>
      <c r="H68" s="915"/>
      <c r="I68" s="916">
        <v>11.802</v>
      </c>
      <c r="J68" s="916">
        <v>11.802</v>
      </c>
      <c r="K68" s="916">
        <v>11.802</v>
      </c>
      <c r="L68" s="916">
        <v>12.423999999999999</v>
      </c>
      <c r="M68" s="916">
        <v>12.423999999999999</v>
      </c>
      <c r="N68" s="916">
        <v>12.423999999999999</v>
      </c>
      <c r="O68" s="916">
        <v>12.306000000000001</v>
      </c>
      <c r="P68" s="916">
        <v>12.306000000000001</v>
      </c>
      <c r="Q68" s="916">
        <v>12.306000000000001</v>
      </c>
    </row>
    <row r="69" spans="3:17" hidden="1">
      <c r="C69" s="898"/>
      <c r="D69" s="477" t="s">
        <v>1981</v>
      </c>
      <c r="E69" s="477"/>
      <c r="F69" s="899">
        <v>1</v>
      </c>
      <c r="G69" s="915"/>
      <c r="H69" s="915"/>
      <c r="I69" s="916"/>
      <c r="J69" s="916"/>
      <c r="K69" s="916"/>
      <c r="L69" s="916"/>
      <c r="M69" s="916"/>
      <c r="N69" s="916"/>
      <c r="O69" s="916"/>
      <c r="P69" s="916"/>
      <c r="Q69" s="916"/>
    </row>
    <row r="70" spans="3:17" hidden="1">
      <c r="C70" s="898"/>
      <c r="D70" s="904" t="s">
        <v>2338</v>
      </c>
      <c r="E70" s="904"/>
      <c r="F70" s="917"/>
      <c r="G70" s="910"/>
      <c r="H70" s="918">
        <v>0</v>
      </c>
      <c r="I70" s="916">
        <f t="shared" ref="I70:Q70" si="29">I68-(I68-I69)*$H70</f>
        <v>11.802</v>
      </c>
      <c r="J70" s="916">
        <f t="shared" si="29"/>
        <v>11.802</v>
      </c>
      <c r="K70" s="916">
        <f t="shared" si="29"/>
        <v>11.802</v>
      </c>
      <c r="L70" s="916">
        <f t="shared" si="29"/>
        <v>12.423999999999999</v>
      </c>
      <c r="M70" s="916">
        <f t="shared" si="29"/>
        <v>12.423999999999999</v>
      </c>
      <c r="N70" s="916">
        <f t="shared" si="29"/>
        <v>12.423999999999999</v>
      </c>
      <c r="O70" s="916">
        <f t="shared" si="29"/>
        <v>12.306000000000001</v>
      </c>
      <c r="P70" s="916">
        <f t="shared" si="29"/>
        <v>12.306000000000001</v>
      </c>
      <c r="Q70" s="916">
        <f t="shared" si="29"/>
        <v>12.306000000000001</v>
      </c>
    </row>
    <row r="71" spans="3:17">
      <c r="C71" s="895" t="s">
        <v>1616</v>
      </c>
      <c r="D71" s="913"/>
      <c r="E71" s="913"/>
      <c r="F71" s="914"/>
      <c r="G71" s="915">
        <v>3</v>
      </c>
      <c r="H71" s="915"/>
      <c r="I71" s="916">
        <v>6.88</v>
      </c>
      <c r="J71" s="916">
        <v>6.88</v>
      </c>
      <c r="K71" s="916">
        <v>6.88</v>
      </c>
      <c r="L71" s="916">
        <v>7.7379999999999995</v>
      </c>
      <c r="M71" s="916">
        <v>7.7379999999999995</v>
      </c>
      <c r="N71" s="916">
        <v>7.7379999999999995</v>
      </c>
      <c r="O71" s="916">
        <v>6.91</v>
      </c>
      <c r="P71" s="916">
        <v>6.91</v>
      </c>
      <c r="Q71" s="916">
        <v>6.91</v>
      </c>
    </row>
    <row r="72" spans="3:17" hidden="1">
      <c r="C72" s="898"/>
      <c r="D72" s="477" t="s">
        <v>1981</v>
      </c>
      <c r="E72" s="477"/>
      <c r="F72" s="899">
        <v>1</v>
      </c>
      <c r="G72" s="915"/>
      <c r="H72" s="915"/>
      <c r="I72" s="916"/>
      <c r="J72" s="916"/>
      <c r="K72" s="916"/>
      <c r="L72" s="916"/>
      <c r="M72" s="916"/>
      <c r="N72" s="916"/>
      <c r="O72" s="916"/>
      <c r="P72" s="916"/>
      <c r="Q72" s="916"/>
    </row>
    <row r="73" spans="3:17" hidden="1">
      <c r="C73" s="898"/>
      <c r="D73" s="904" t="s">
        <v>2338</v>
      </c>
      <c r="E73" s="904"/>
      <c r="F73" s="917"/>
      <c r="G73" s="910"/>
      <c r="H73" s="918">
        <v>0</v>
      </c>
      <c r="I73" s="916">
        <f>I71-(I71-I72)*$H73</f>
        <v>6.88</v>
      </c>
      <c r="J73" s="916">
        <f>J71-(J71-J72)*$H73</f>
        <v>6.88</v>
      </c>
      <c r="K73" s="916">
        <f>K71-(K71-K72)*$H73</f>
        <v>6.88</v>
      </c>
      <c r="L73" s="916">
        <v>13.193999999999999</v>
      </c>
      <c r="M73" s="916">
        <v>13.193999999999999</v>
      </c>
      <c r="N73" s="916">
        <v>13.193999999999999</v>
      </c>
      <c r="O73" s="916">
        <f>O71-(O71-O72)*$H73</f>
        <v>6.91</v>
      </c>
      <c r="P73" s="916">
        <f>P71-(P71-P72)*$H73</f>
        <v>6.91</v>
      </c>
      <c r="Q73" s="916">
        <f>Q71-(Q71-Q72)*$H73</f>
        <v>6.91</v>
      </c>
    </row>
    <row r="74" spans="3:17">
      <c r="C74" s="895" t="s">
        <v>1721</v>
      </c>
      <c r="D74" s="913"/>
      <c r="E74" s="913"/>
      <c r="F74" s="914"/>
      <c r="G74" s="915">
        <v>4</v>
      </c>
      <c r="H74" s="915"/>
      <c r="I74" s="916">
        <v>6.88</v>
      </c>
      <c r="J74" s="916">
        <v>6.88</v>
      </c>
      <c r="K74" s="916">
        <v>6.88</v>
      </c>
      <c r="L74" s="916">
        <v>7.7379999999999995</v>
      </c>
      <c r="M74" s="916">
        <v>7.7379999999999995</v>
      </c>
      <c r="N74" s="916">
        <v>7.7379999999999995</v>
      </c>
      <c r="O74" s="916">
        <v>6.91</v>
      </c>
      <c r="P74" s="916">
        <v>6.91</v>
      </c>
      <c r="Q74" s="916">
        <v>6.91</v>
      </c>
    </row>
    <row r="75" spans="3:17" hidden="1">
      <c r="C75" s="898"/>
      <c r="D75" s="477" t="s">
        <v>1981</v>
      </c>
      <c r="E75" s="477"/>
      <c r="F75" s="899">
        <v>1</v>
      </c>
      <c r="G75" s="915"/>
      <c r="H75" s="915"/>
      <c r="I75" s="916"/>
      <c r="J75" s="916"/>
      <c r="K75" s="916"/>
      <c r="L75" s="916"/>
      <c r="M75" s="916"/>
      <c r="N75" s="916"/>
      <c r="O75" s="916"/>
      <c r="P75" s="916"/>
      <c r="Q75" s="916"/>
    </row>
    <row r="76" spans="3:17" hidden="1">
      <c r="C76" s="898"/>
      <c r="D76" s="904" t="s">
        <v>2338</v>
      </c>
      <c r="E76" s="904"/>
      <c r="F76" s="917"/>
      <c r="G76" s="910"/>
      <c r="H76" s="918">
        <v>0</v>
      </c>
      <c r="I76" s="916">
        <f t="shared" ref="I76:Q76" si="30">I74-(I74-I75)*$H76</f>
        <v>6.88</v>
      </c>
      <c r="J76" s="916">
        <f t="shared" si="30"/>
        <v>6.88</v>
      </c>
      <c r="K76" s="916">
        <f t="shared" si="30"/>
        <v>6.88</v>
      </c>
      <c r="L76" s="916">
        <f t="shared" si="30"/>
        <v>7.7379999999999995</v>
      </c>
      <c r="M76" s="916">
        <f t="shared" si="30"/>
        <v>7.7379999999999995</v>
      </c>
      <c r="N76" s="916">
        <f t="shared" si="30"/>
        <v>7.7379999999999995</v>
      </c>
      <c r="O76" s="916">
        <f t="shared" si="30"/>
        <v>6.91</v>
      </c>
      <c r="P76" s="916">
        <f t="shared" si="30"/>
        <v>6.91</v>
      </c>
      <c r="Q76" s="916">
        <f t="shared" si="30"/>
        <v>6.91</v>
      </c>
    </row>
    <row r="77" spans="3:17">
      <c r="C77" s="895" t="s">
        <v>1618</v>
      </c>
      <c r="D77" s="913"/>
      <c r="E77" s="913"/>
      <c r="F77" s="914"/>
      <c r="G77" s="915">
        <v>5</v>
      </c>
      <c r="H77" s="915"/>
      <c r="I77" s="916">
        <v>12.809999999999999</v>
      </c>
      <c r="J77" s="916">
        <v>12.809999999999999</v>
      </c>
      <c r="K77" s="916">
        <v>12.809999999999999</v>
      </c>
      <c r="L77" s="916">
        <v>13.426</v>
      </c>
      <c r="M77" s="916">
        <v>13.426</v>
      </c>
      <c r="N77" s="916">
        <v>13.426</v>
      </c>
      <c r="O77" s="916">
        <v>13.251000000000001</v>
      </c>
      <c r="P77" s="916">
        <v>13.251000000000001</v>
      </c>
      <c r="Q77" s="916">
        <v>13.251000000000001</v>
      </c>
    </row>
    <row r="78" spans="3:17" hidden="1">
      <c r="C78" s="898"/>
      <c r="D78" s="477" t="s">
        <v>1981</v>
      </c>
      <c r="E78" s="477"/>
      <c r="F78" s="899">
        <v>1</v>
      </c>
      <c r="G78" s="915"/>
      <c r="H78" s="915"/>
      <c r="I78" s="916"/>
      <c r="J78" s="916"/>
      <c r="K78" s="916"/>
      <c r="L78" s="916"/>
      <c r="M78" s="916"/>
      <c r="N78" s="916"/>
      <c r="O78" s="916"/>
      <c r="P78" s="916"/>
      <c r="Q78" s="916"/>
    </row>
    <row r="79" spans="3:17" hidden="1">
      <c r="C79" s="898"/>
      <c r="D79" s="904" t="s">
        <v>2338</v>
      </c>
      <c r="E79" s="904"/>
      <c r="F79" s="917"/>
      <c r="G79" s="910"/>
      <c r="H79" s="918">
        <v>0</v>
      </c>
      <c r="I79" s="916">
        <f t="shared" ref="I79:Q79" si="31">I77-(I77-I78)*$H79</f>
        <v>12.809999999999999</v>
      </c>
      <c r="J79" s="916">
        <f t="shared" si="31"/>
        <v>12.809999999999999</v>
      </c>
      <c r="K79" s="916">
        <f t="shared" si="31"/>
        <v>12.809999999999999</v>
      </c>
      <c r="L79" s="916">
        <f t="shared" si="31"/>
        <v>13.426</v>
      </c>
      <c r="M79" s="916">
        <f t="shared" si="31"/>
        <v>13.426</v>
      </c>
      <c r="N79" s="916">
        <f t="shared" si="31"/>
        <v>13.426</v>
      </c>
      <c r="O79" s="916">
        <f t="shared" si="31"/>
        <v>13.251000000000001</v>
      </c>
      <c r="P79" s="916">
        <f t="shared" si="31"/>
        <v>13.251000000000001</v>
      </c>
      <c r="Q79" s="916">
        <f t="shared" si="31"/>
        <v>13.251000000000001</v>
      </c>
    </row>
    <row r="80" spans="3:17">
      <c r="C80" s="895" t="s">
        <v>385</v>
      </c>
      <c r="D80" s="888"/>
      <c r="E80" s="888"/>
      <c r="F80" s="914"/>
      <c r="G80" s="915">
        <v>6</v>
      </c>
      <c r="H80" s="915"/>
      <c r="I80" s="916">
        <v>8.6499999999999986</v>
      </c>
      <c r="J80" s="916">
        <v>8.6499999999999986</v>
      </c>
      <c r="K80" s="916">
        <v>8.6499999999999986</v>
      </c>
      <c r="L80" s="916">
        <v>9.4220000000000006</v>
      </c>
      <c r="M80" s="916">
        <v>9.4220000000000006</v>
      </c>
      <c r="N80" s="916">
        <v>9.4220000000000006</v>
      </c>
      <c r="O80" s="916">
        <v>9.0609999999999999</v>
      </c>
      <c r="P80" s="916">
        <v>9.0609999999999999</v>
      </c>
      <c r="Q80" s="916">
        <v>9.0609999999999999</v>
      </c>
    </row>
    <row r="81" spans="3:21" hidden="1">
      <c r="C81" s="898"/>
      <c r="D81" s="477" t="s">
        <v>1981</v>
      </c>
      <c r="E81" s="477"/>
      <c r="F81" s="899">
        <v>1</v>
      </c>
      <c r="G81" s="915"/>
      <c r="H81" s="915"/>
      <c r="I81" s="916"/>
      <c r="J81" s="916"/>
      <c r="K81" s="916"/>
      <c r="L81" s="916"/>
      <c r="M81" s="916"/>
      <c r="N81" s="916"/>
      <c r="O81" s="916"/>
      <c r="P81" s="916"/>
      <c r="Q81" s="916"/>
    </row>
    <row r="82" spans="3:21" hidden="1">
      <c r="C82" s="919"/>
      <c r="D82" s="904" t="s">
        <v>2338</v>
      </c>
      <c r="E82" s="904"/>
      <c r="F82" s="917"/>
      <c r="G82" s="910"/>
      <c r="H82" s="918">
        <v>0</v>
      </c>
      <c r="I82" s="916">
        <f t="shared" ref="I82:Q82" si="32">I80-(I80-I81)*$H82</f>
        <v>8.6499999999999986</v>
      </c>
      <c r="J82" s="916">
        <f t="shared" si="32"/>
        <v>8.6499999999999986</v>
      </c>
      <c r="K82" s="916">
        <f t="shared" si="32"/>
        <v>8.6499999999999986</v>
      </c>
      <c r="L82" s="916">
        <f t="shared" si="32"/>
        <v>9.4220000000000006</v>
      </c>
      <c r="M82" s="916">
        <f t="shared" si="32"/>
        <v>9.4220000000000006</v>
      </c>
      <c r="N82" s="916">
        <f t="shared" si="32"/>
        <v>9.4220000000000006</v>
      </c>
      <c r="O82" s="916">
        <f t="shared" si="32"/>
        <v>9.0609999999999999</v>
      </c>
      <c r="P82" s="916">
        <f t="shared" si="32"/>
        <v>9.0609999999999999</v>
      </c>
      <c r="Q82" s="916">
        <f t="shared" si="32"/>
        <v>9.0609999999999999</v>
      </c>
    </row>
    <row r="83" spans="3:21">
      <c r="C83" s="895" t="s">
        <v>1620</v>
      </c>
      <c r="D83" s="913"/>
      <c r="E83" s="913"/>
      <c r="F83" s="914"/>
      <c r="G83" s="915">
        <v>7</v>
      </c>
      <c r="H83" s="915"/>
      <c r="I83" s="916">
        <v>15.425999999999998</v>
      </c>
      <c r="J83" s="916">
        <v>15.425999999999998</v>
      </c>
      <c r="K83" s="916">
        <v>15.425999999999998</v>
      </c>
      <c r="L83" s="916">
        <v>16.053999999999998</v>
      </c>
      <c r="M83" s="916">
        <v>16.053999999999998</v>
      </c>
      <c r="N83" s="916">
        <v>16.053999999999998</v>
      </c>
      <c r="O83" s="916">
        <v>15.893999999999998</v>
      </c>
      <c r="P83" s="916">
        <v>15.893999999999998</v>
      </c>
      <c r="Q83" s="916">
        <v>15.893999999999998</v>
      </c>
    </row>
    <row r="84" spans="3:21" hidden="1">
      <c r="C84" s="898"/>
      <c r="D84" s="477" t="s">
        <v>1981</v>
      </c>
      <c r="E84" s="477"/>
      <c r="F84" s="899">
        <v>1</v>
      </c>
      <c r="G84" s="915"/>
      <c r="H84" s="915"/>
      <c r="I84" s="916"/>
      <c r="J84" s="916"/>
      <c r="K84" s="916"/>
      <c r="L84" s="916"/>
      <c r="M84" s="916"/>
      <c r="N84" s="916"/>
      <c r="O84" s="916"/>
      <c r="P84" s="916"/>
      <c r="Q84" s="916"/>
    </row>
    <row r="85" spans="3:21" hidden="1">
      <c r="C85" s="898"/>
      <c r="D85" s="904" t="s">
        <v>2338</v>
      </c>
      <c r="E85" s="904"/>
      <c r="F85" s="917"/>
      <c r="G85" s="910"/>
      <c r="H85" s="918">
        <v>0</v>
      </c>
      <c r="I85" s="916">
        <f t="shared" ref="I85:Q85" si="33">I83-(I83-I84)*$H85</f>
        <v>15.425999999999998</v>
      </c>
      <c r="J85" s="916">
        <f t="shared" si="33"/>
        <v>15.425999999999998</v>
      </c>
      <c r="K85" s="916">
        <f t="shared" si="33"/>
        <v>15.425999999999998</v>
      </c>
      <c r="L85" s="916">
        <f t="shared" si="33"/>
        <v>16.053999999999998</v>
      </c>
      <c r="M85" s="916">
        <f t="shared" si="33"/>
        <v>16.053999999999998</v>
      </c>
      <c r="N85" s="916">
        <f t="shared" si="33"/>
        <v>16.053999999999998</v>
      </c>
      <c r="O85" s="916">
        <f t="shared" si="33"/>
        <v>15.893999999999998</v>
      </c>
      <c r="P85" s="916">
        <f t="shared" si="33"/>
        <v>15.893999999999998</v>
      </c>
      <c r="Q85" s="916">
        <f t="shared" si="33"/>
        <v>15.893999999999998</v>
      </c>
    </row>
    <row r="86" spans="3:21">
      <c r="C86" s="895" t="s">
        <v>383</v>
      </c>
      <c r="D86" s="913"/>
      <c r="E86" s="913"/>
      <c r="F86" s="914"/>
      <c r="G86" s="915">
        <v>8</v>
      </c>
      <c r="H86" s="915"/>
      <c r="I86" s="916">
        <v>13.297999999999998</v>
      </c>
      <c r="J86" s="916">
        <v>13.297999999999998</v>
      </c>
      <c r="K86" s="916">
        <v>13.297999999999998</v>
      </c>
      <c r="L86" s="916">
        <v>13.942</v>
      </c>
      <c r="M86" s="916">
        <v>13.942</v>
      </c>
      <c r="N86" s="916">
        <v>13.942</v>
      </c>
      <c r="O86" s="916">
        <v>13.670999999999999</v>
      </c>
      <c r="P86" s="916">
        <v>13.670999999999999</v>
      </c>
      <c r="Q86" s="916">
        <v>13.670999999999999</v>
      </c>
    </row>
    <row r="87" spans="3:21" hidden="1">
      <c r="C87" s="898"/>
      <c r="D87" s="477" t="s">
        <v>1981</v>
      </c>
      <c r="E87" s="477"/>
      <c r="F87" s="899">
        <v>1</v>
      </c>
      <c r="G87" s="915"/>
      <c r="H87" s="915"/>
      <c r="I87" s="920"/>
      <c r="J87" s="920"/>
      <c r="K87" s="920"/>
      <c r="L87" s="920"/>
      <c r="M87" s="920"/>
      <c r="N87" s="920"/>
      <c r="O87" s="920"/>
      <c r="P87" s="920"/>
      <c r="Q87" s="920"/>
    </row>
    <row r="88" spans="3:21" hidden="1">
      <c r="C88" s="898"/>
      <c r="D88" s="904" t="s">
        <v>2338</v>
      </c>
      <c r="E88" s="904"/>
      <c r="F88" s="917"/>
      <c r="G88" s="910"/>
      <c r="H88" s="918">
        <v>0</v>
      </c>
      <c r="I88" s="916">
        <f t="shared" ref="I88:Q88" si="34">I86-(I86-I87)*$H88</f>
        <v>13.297999999999998</v>
      </c>
      <c r="J88" s="916">
        <f t="shared" si="34"/>
        <v>13.297999999999998</v>
      </c>
      <c r="K88" s="916">
        <f t="shared" si="34"/>
        <v>13.297999999999998</v>
      </c>
      <c r="L88" s="916">
        <f t="shared" si="34"/>
        <v>13.942</v>
      </c>
      <c r="M88" s="916">
        <f t="shared" si="34"/>
        <v>13.942</v>
      </c>
      <c r="N88" s="916">
        <f t="shared" si="34"/>
        <v>13.942</v>
      </c>
      <c r="O88" s="916">
        <f t="shared" si="34"/>
        <v>13.670999999999999</v>
      </c>
      <c r="P88" s="916">
        <f t="shared" si="34"/>
        <v>13.670999999999999</v>
      </c>
      <c r="Q88" s="916">
        <f t="shared" si="34"/>
        <v>13.670999999999999</v>
      </c>
    </row>
    <row r="89" spans="3:21">
      <c r="C89" s="895" t="s">
        <v>1722</v>
      </c>
      <c r="D89" s="888"/>
      <c r="E89" s="888"/>
      <c r="F89" s="914"/>
      <c r="G89" s="915">
        <v>9</v>
      </c>
      <c r="H89" s="915"/>
      <c r="I89" s="920">
        <v>8.0190000000000001</v>
      </c>
      <c r="J89" s="920">
        <v>9.7210000000000001</v>
      </c>
      <c r="K89" s="920">
        <v>10.979000000000001</v>
      </c>
      <c r="L89" s="920">
        <v>8.3709999999999987</v>
      </c>
      <c r="M89" s="920">
        <v>9.7349999999999994</v>
      </c>
      <c r="N89" s="920">
        <v>10.863</v>
      </c>
      <c r="O89" s="920">
        <v>8.3640000000000008</v>
      </c>
      <c r="P89" s="920">
        <v>9.68</v>
      </c>
      <c r="Q89" s="920">
        <v>10.783000000000001</v>
      </c>
    </row>
    <row r="90" spans="3:21" ht="12.75" hidden="1" customHeight="1">
      <c r="C90" s="898"/>
      <c r="D90" s="477" t="s">
        <v>1981</v>
      </c>
      <c r="E90" s="477"/>
      <c r="F90" s="899">
        <v>1</v>
      </c>
      <c r="G90" s="921"/>
      <c r="H90" s="921"/>
      <c r="I90" s="916"/>
      <c r="J90" s="916"/>
      <c r="K90" s="916"/>
      <c r="L90" s="916"/>
      <c r="M90" s="916"/>
      <c r="N90" s="916"/>
      <c r="O90" s="916"/>
      <c r="P90" s="916"/>
      <c r="Q90" s="916"/>
    </row>
    <row r="91" spans="3:21" hidden="1">
      <c r="C91" s="919"/>
      <c r="D91" s="904" t="s">
        <v>2338</v>
      </c>
      <c r="E91" s="904"/>
      <c r="F91" s="922"/>
      <c r="G91" s="910"/>
      <c r="H91" s="918">
        <v>0</v>
      </c>
      <c r="I91" s="923">
        <f t="shared" ref="I91:Q91" si="35">I89-(I89-I90)*$H91</f>
        <v>8.0190000000000001</v>
      </c>
      <c r="J91" s="923">
        <f t="shared" si="35"/>
        <v>9.7210000000000001</v>
      </c>
      <c r="K91" s="923">
        <f t="shared" si="35"/>
        <v>10.979000000000001</v>
      </c>
      <c r="L91" s="923">
        <f t="shared" si="35"/>
        <v>8.3709999999999987</v>
      </c>
      <c r="M91" s="923">
        <f t="shared" si="35"/>
        <v>9.7349999999999994</v>
      </c>
      <c r="N91" s="923">
        <f t="shared" si="35"/>
        <v>10.863</v>
      </c>
      <c r="O91" s="923">
        <f t="shared" si="35"/>
        <v>8.3640000000000008</v>
      </c>
      <c r="P91" s="923">
        <f t="shared" si="35"/>
        <v>9.68</v>
      </c>
      <c r="Q91" s="923">
        <f t="shared" si="35"/>
        <v>10.783000000000001</v>
      </c>
    </row>
    <row r="92" spans="3:21">
      <c r="C92" s="911"/>
      <c r="D92" s="911"/>
      <c r="E92" s="882"/>
      <c r="F92" s="924"/>
      <c r="G92" s="924"/>
      <c r="H92" s="924"/>
      <c r="I92" s="924"/>
      <c r="J92" s="924"/>
      <c r="K92" s="924"/>
      <c r="L92" s="924"/>
      <c r="M92" s="911"/>
      <c r="N92" s="911"/>
      <c r="O92" s="911"/>
      <c r="P92" s="911"/>
      <c r="Q92" s="911"/>
    </row>
    <row r="93" spans="3:21" ht="16.5">
      <c r="C93" s="875" t="s">
        <v>2791</v>
      </c>
      <c r="D93" s="876"/>
      <c r="E93" s="877"/>
      <c r="F93" s="877"/>
      <c r="G93" s="877"/>
      <c r="H93" s="877"/>
      <c r="I93" s="877"/>
      <c r="J93" s="877"/>
      <c r="K93" s="877"/>
      <c r="L93" s="877"/>
      <c r="M93" s="877"/>
      <c r="N93" s="877"/>
      <c r="O93" s="877"/>
      <c r="P93" s="877"/>
      <c r="Q93" s="877"/>
    </row>
    <row r="94" spans="3:21">
      <c r="C94" s="883" t="s">
        <v>1438</v>
      </c>
      <c r="D94" s="876"/>
      <c r="E94" s="877"/>
      <c r="F94" s="877"/>
      <c r="G94" s="877"/>
      <c r="H94" s="877"/>
      <c r="I94" s="877"/>
      <c r="J94" s="877"/>
      <c r="K94" s="877"/>
      <c r="L94" s="877"/>
      <c r="M94" s="877"/>
      <c r="N94" s="877"/>
      <c r="O94" s="877"/>
      <c r="P94" s="877"/>
      <c r="Q94" s="877"/>
    </row>
    <row r="95" spans="3:21">
      <c r="D95" s="877" t="s">
        <v>2339</v>
      </c>
      <c r="F95" s="1292" t="s">
        <v>879</v>
      </c>
      <c r="G95" s="877"/>
      <c r="H95" s="877"/>
      <c r="I95" s="1281">
        <f>係数!D5*1000</f>
        <v>0.45700000000000002</v>
      </c>
      <c r="J95" s="925" t="str">
        <f>係数!C5</f>
        <v>東京電力エナジーパートナー(株)</v>
      </c>
      <c r="K95" s="911"/>
      <c r="L95" s="911"/>
      <c r="M95" s="911" t="s">
        <v>1468</v>
      </c>
      <c r="N95" s="911"/>
      <c r="O95" s="911">
        <f>'条件(個別)'!E87</f>
        <v>0</v>
      </c>
      <c r="P95" s="1689" t="s">
        <v>2787</v>
      </c>
      <c r="Q95" s="926"/>
    </row>
    <row r="96" spans="3:21">
      <c r="C96" s="875"/>
      <c r="D96" s="877"/>
      <c r="F96" s="1292" t="s">
        <v>131</v>
      </c>
      <c r="G96" s="877"/>
      <c r="H96" s="877"/>
      <c r="I96" s="1281">
        <f>I95/J96</f>
        <v>4.6823770491803279E-2</v>
      </c>
      <c r="J96" s="929">
        <v>9.76</v>
      </c>
      <c r="K96" s="927" t="s">
        <v>1902</v>
      </c>
      <c r="L96" s="877"/>
      <c r="M96" s="877"/>
      <c r="N96" s="877"/>
      <c r="O96" s="877"/>
      <c r="P96" s="877"/>
      <c r="Q96" s="928"/>
      <c r="U96">
        <f>O95/J96</f>
        <v>0</v>
      </c>
    </row>
    <row r="97" spans="2:19">
      <c r="C97" s="875"/>
      <c r="D97" s="877" t="s">
        <v>1470</v>
      </c>
      <c r="F97" s="1292" t="s">
        <v>131</v>
      </c>
      <c r="G97" s="877"/>
      <c r="H97" s="877"/>
      <c r="I97" s="1281">
        <v>4.9799999999999997E-2</v>
      </c>
      <c r="J97" s="929"/>
      <c r="K97" s="877"/>
      <c r="L97" s="877"/>
      <c r="M97" s="877"/>
      <c r="N97" s="877"/>
      <c r="O97" s="877"/>
      <c r="P97" s="877"/>
      <c r="Q97" s="928"/>
    </row>
    <row r="98" spans="2:19" hidden="1">
      <c r="C98" s="875"/>
      <c r="D98" s="877" t="s">
        <v>1471</v>
      </c>
      <c r="F98" s="1292" t="s">
        <v>131</v>
      </c>
      <c r="G98" s="877"/>
      <c r="H98" s="877"/>
      <c r="I98" s="1281">
        <v>5.7000000000000002E-2</v>
      </c>
      <c r="J98" s="929"/>
      <c r="K98" s="877"/>
      <c r="L98" s="877"/>
      <c r="M98" s="877"/>
      <c r="N98" s="877"/>
      <c r="O98" s="877"/>
      <c r="P98" s="877"/>
      <c r="Q98" s="928"/>
    </row>
    <row r="99" spans="2:19">
      <c r="C99" s="875"/>
      <c r="D99" s="877" t="s">
        <v>1472</v>
      </c>
      <c r="F99" s="1292" t="s">
        <v>131</v>
      </c>
      <c r="G99" s="877"/>
      <c r="H99" s="877"/>
      <c r="I99" s="1281">
        <v>6.7799999999999999E-2</v>
      </c>
      <c r="J99" s="929"/>
      <c r="K99" s="877"/>
      <c r="L99" s="877"/>
      <c r="M99" s="877"/>
      <c r="N99" s="877"/>
      <c r="O99" s="877"/>
      <c r="P99" s="877"/>
      <c r="Q99" s="928"/>
    </row>
    <row r="100" spans="2:19">
      <c r="C100" s="875"/>
      <c r="D100" s="877" t="s">
        <v>1473</v>
      </c>
      <c r="F100" s="1292" t="s">
        <v>131</v>
      </c>
      <c r="G100" s="877"/>
      <c r="H100" s="877"/>
      <c r="I100" s="1281">
        <v>6.93E-2</v>
      </c>
      <c r="J100" s="929"/>
      <c r="K100" s="877"/>
      <c r="L100" s="877"/>
      <c r="M100" s="877"/>
      <c r="N100" s="877"/>
      <c r="O100" s="877"/>
      <c r="P100" s="877"/>
      <c r="Q100" s="928"/>
    </row>
    <row r="101" spans="2:19">
      <c r="C101" s="875"/>
      <c r="D101" s="877" t="s">
        <v>1474</v>
      </c>
      <c r="F101" s="1292" t="s">
        <v>131</v>
      </c>
      <c r="G101" s="877"/>
      <c r="H101" s="877"/>
      <c r="I101" s="1281">
        <f>(I99+I100)/2</f>
        <v>6.855E-2</v>
      </c>
      <c r="J101" s="1282" t="s">
        <v>1475</v>
      </c>
      <c r="K101" s="877"/>
      <c r="L101" s="877"/>
      <c r="M101" s="877"/>
      <c r="N101" s="877"/>
      <c r="O101" s="877"/>
      <c r="P101" s="877"/>
      <c r="Q101" s="928"/>
    </row>
    <row r="102" spans="2:19">
      <c r="C102" s="875"/>
      <c r="D102" s="877" t="s">
        <v>1327</v>
      </c>
      <c r="F102" s="1292" t="s">
        <v>131</v>
      </c>
      <c r="G102" s="877"/>
      <c r="H102" s="877"/>
      <c r="I102" s="1281">
        <v>5.8999999999999997E-2</v>
      </c>
      <c r="J102" s="930"/>
      <c r="K102" s="931"/>
      <c r="L102" s="931"/>
      <c r="M102" s="931"/>
      <c r="N102" s="931"/>
      <c r="O102" s="931"/>
      <c r="P102" s="931"/>
      <c r="Q102" s="932"/>
    </row>
    <row r="103" spans="2:19">
      <c r="B103" s="444"/>
      <c r="C103" s="3178" t="s">
        <v>4260</v>
      </c>
      <c r="D103" s="444"/>
      <c r="E103" s="877"/>
      <c r="F103" s="877"/>
      <c r="G103" s="877"/>
      <c r="H103" s="877"/>
      <c r="I103" s="933"/>
      <c r="J103" s="877"/>
      <c r="K103" s="877"/>
      <c r="L103" s="877"/>
      <c r="M103" s="877"/>
      <c r="N103" s="877"/>
      <c r="O103" s="877"/>
      <c r="P103" s="877"/>
      <c r="Q103" s="877"/>
      <c r="R103" s="444"/>
      <c r="S103" s="444"/>
    </row>
    <row r="104" spans="2:19">
      <c r="B104" s="444"/>
      <c r="C104" s="876"/>
      <c r="D104" s="877" t="s">
        <v>300</v>
      </c>
      <c r="E104" s="444"/>
      <c r="F104" s="882" t="s">
        <v>2794</v>
      </c>
      <c r="G104" s="877"/>
      <c r="H104" s="877"/>
      <c r="I104" s="877" t="s">
        <v>1113</v>
      </c>
      <c r="R104" s="444"/>
      <c r="S104" s="444"/>
    </row>
    <row r="105" spans="2:19">
      <c r="B105" s="444"/>
      <c r="C105" s="876"/>
      <c r="D105" s="1486" t="s">
        <v>2555</v>
      </c>
      <c r="E105" s="1486"/>
      <c r="F105" s="1486"/>
      <c r="G105" s="877"/>
      <c r="H105" s="877"/>
      <c r="I105" s="3179">
        <v>5.9299999999999999E-4</v>
      </c>
      <c r="R105" s="444"/>
      <c r="S105" s="444"/>
    </row>
    <row r="106" spans="2:19">
      <c r="B106" s="444"/>
      <c r="C106" s="876"/>
      <c r="D106" s="1486" t="s">
        <v>2556</v>
      </c>
      <c r="E106" s="1486"/>
      <c r="F106" s="1486"/>
      <c r="G106" s="877"/>
      <c r="H106" s="877"/>
      <c r="I106" s="3179">
        <v>5.1900000000000004E-4</v>
      </c>
      <c r="R106" s="444"/>
      <c r="S106" s="444"/>
    </row>
    <row r="107" spans="2:19">
      <c r="B107" s="444"/>
      <c r="C107" s="876"/>
      <c r="D107" s="1486" t="s">
        <v>3822</v>
      </c>
      <c r="E107" s="1486"/>
      <c r="F107" s="1486"/>
      <c r="G107" s="877"/>
      <c r="H107" s="877"/>
      <c r="I107" s="3179">
        <v>4.57E-4</v>
      </c>
      <c r="R107" s="444"/>
      <c r="S107" s="444"/>
    </row>
    <row r="108" spans="2:19">
      <c r="B108" s="444"/>
      <c r="C108" s="876"/>
      <c r="D108" s="1486" t="s">
        <v>3824</v>
      </c>
      <c r="E108" s="1486"/>
      <c r="F108" s="1486"/>
      <c r="G108" s="877"/>
      <c r="H108" s="877"/>
      <c r="I108" s="3179">
        <v>4.3100000000000001E-4</v>
      </c>
      <c r="R108" s="444"/>
      <c r="S108" s="444"/>
    </row>
    <row r="109" spans="2:19">
      <c r="B109" s="444"/>
      <c r="C109" s="876"/>
      <c r="D109" s="1486" t="s">
        <v>2557</v>
      </c>
      <c r="E109" s="1486"/>
      <c r="F109" s="1486"/>
      <c r="G109" s="877"/>
      <c r="H109" s="877"/>
      <c r="I109" s="3179">
        <v>5.1000000000000004E-4</v>
      </c>
      <c r="R109" s="444"/>
      <c r="S109" s="444"/>
    </row>
    <row r="110" spans="2:19">
      <c r="B110" s="444"/>
      <c r="C110" s="876"/>
      <c r="D110" s="1486" t="s">
        <v>2558</v>
      </c>
      <c r="E110" s="1486"/>
      <c r="F110" s="1486"/>
      <c r="G110" s="877"/>
      <c r="H110" s="877"/>
      <c r="I110" s="3179">
        <v>3.4000000000000002E-4</v>
      </c>
      <c r="R110" s="444"/>
      <c r="S110" s="444"/>
    </row>
    <row r="111" spans="2:19">
      <c r="B111" s="444"/>
      <c r="C111" s="876"/>
      <c r="D111" s="1486" t="s">
        <v>2559</v>
      </c>
      <c r="E111" s="1486"/>
      <c r="F111" s="1486"/>
      <c r="G111" s="877"/>
      <c r="H111" s="877"/>
      <c r="I111" s="3179">
        <v>5.6099999999999998E-4</v>
      </c>
      <c r="R111" s="444"/>
      <c r="S111" s="444"/>
    </row>
    <row r="112" spans="2:19">
      <c r="B112" s="444"/>
      <c r="C112" s="876"/>
      <c r="D112" s="1486" t="s">
        <v>2560</v>
      </c>
      <c r="E112" s="1486"/>
      <c r="F112" s="1486"/>
      <c r="G112" s="877"/>
      <c r="H112" s="877"/>
      <c r="I112" s="3179">
        <v>3.8200000000000002E-4</v>
      </c>
      <c r="R112" s="444"/>
      <c r="S112" s="444"/>
    </row>
    <row r="113" spans="2:19">
      <c r="B113" s="444"/>
      <c r="C113" s="876"/>
      <c r="D113" s="1486" t="s">
        <v>2561</v>
      </c>
      <c r="E113" s="1486"/>
      <c r="F113" s="1486"/>
      <c r="G113" s="877"/>
      <c r="H113" s="877"/>
      <c r="I113" s="3179">
        <v>3.4400000000000001E-4</v>
      </c>
      <c r="R113" s="444"/>
      <c r="S113" s="444"/>
    </row>
    <row r="114" spans="2:19">
      <c r="B114" s="444"/>
      <c r="C114" s="876"/>
      <c r="D114" s="1486" t="s">
        <v>2562</v>
      </c>
      <c r="E114" s="1486"/>
      <c r="F114" s="1486"/>
      <c r="G114" s="877"/>
      <c r="H114" s="877"/>
      <c r="I114" s="3179">
        <v>8.0999999999999996E-4</v>
      </c>
      <c r="R114" s="444"/>
      <c r="S114" s="444"/>
    </row>
    <row r="115" spans="2:19" hidden="1">
      <c r="B115" s="444"/>
      <c r="C115" s="876"/>
      <c r="D115" s="1486"/>
      <c r="E115" s="1486"/>
      <c r="F115" s="1486"/>
      <c r="G115" s="877"/>
      <c r="H115" s="877"/>
      <c r="I115" s="3179"/>
      <c r="R115" s="444"/>
      <c r="S115" s="444"/>
    </row>
    <row r="116" spans="2:19" hidden="1">
      <c r="B116" s="444"/>
      <c r="C116" s="876"/>
      <c r="D116" s="1486"/>
      <c r="E116" s="1486"/>
      <c r="F116" s="1486"/>
      <c r="G116" s="877"/>
      <c r="H116" s="877"/>
      <c r="I116" s="3179"/>
      <c r="R116" s="444"/>
      <c r="S116" s="444"/>
    </row>
    <row r="117" spans="2:19" hidden="1">
      <c r="B117" s="444"/>
      <c r="C117" s="876"/>
      <c r="D117" s="1486"/>
      <c r="E117" s="1486"/>
      <c r="F117" s="1486"/>
      <c r="G117" s="877"/>
      <c r="H117" s="877"/>
      <c r="I117" s="3179"/>
      <c r="R117" s="444"/>
      <c r="S117" s="444"/>
    </row>
    <row r="118" spans="2:19" hidden="1">
      <c r="B118" s="444"/>
      <c r="C118" s="876"/>
      <c r="D118" s="1486"/>
      <c r="E118" s="1486"/>
      <c r="F118" s="1486"/>
      <c r="G118" s="877"/>
      <c r="H118" s="877"/>
      <c r="I118" s="3179"/>
      <c r="R118" s="444"/>
      <c r="S118" s="444"/>
    </row>
    <row r="119" spans="2:19" hidden="1">
      <c r="B119" s="444"/>
      <c r="C119" s="877"/>
      <c r="D119" s="1486"/>
      <c r="E119" s="1486"/>
      <c r="F119" s="1486"/>
      <c r="G119" s="877"/>
      <c r="H119" s="877"/>
      <c r="I119" s="3179"/>
      <c r="R119" s="444"/>
      <c r="S119" s="444"/>
    </row>
    <row r="120" spans="2:19" hidden="1">
      <c r="B120" s="444"/>
      <c r="C120" s="876"/>
      <c r="D120" s="1486"/>
      <c r="E120" s="1486"/>
      <c r="F120" s="1486"/>
      <c r="G120" s="877"/>
      <c r="H120" s="877"/>
      <c r="I120" s="3179"/>
      <c r="R120" s="444"/>
      <c r="S120" s="444"/>
    </row>
    <row r="121" spans="2:19" hidden="1">
      <c r="B121" s="444"/>
      <c r="C121" s="876"/>
      <c r="D121" s="1486"/>
      <c r="E121" s="1486"/>
      <c r="F121" s="1486"/>
      <c r="G121" s="877"/>
      <c r="H121" s="877"/>
      <c r="I121" s="3179"/>
      <c r="R121" s="444"/>
      <c r="S121" s="444"/>
    </row>
    <row r="122" spans="2:19" hidden="1">
      <c r="B122" s="444"/>
      <c r="C122" s="876"/>
      <c r="D122" s="1486"/>
      <c r="E122" s="1486"/>
      <c r="F122" s="1486"/>
      <c r="G122" s="877"/>
      <c r="H122" s="877"/>
      <c r="I122" s="3179"/>
      <c r="R122" s="444"/>
      <c r="S122" s="444"/>
    </row>
    <row r="123" spans="2:19" hidden="1">
      <c r="B123" s="444"/>
      <c r="C123" s="876"/>
      <c r="D123" s="1486"/>
      <c r="E123" s="1486"/>
      <c r="F123" s="1486"/>
      <c r="G123" s="877"/>
      <c r="H123" s="877"/>
      <c r="I123" s="3179"/>
      <c r="R123" s="444"/>
      <c r="S123" s="444"/>
    </row>
    <row r="124" spans="2:19" hidden="1">
      <c r="B124" s="444"/>
      <c r="C124" s="876"/>
      <c r="D124" s="1486"/>
      <c r="E124" s="1486"/>
      <c r="F124" s="1486"/>
      <c r="G124" s="877"/>
      <c r="H124" s="877"/>
      <c r="I124" s="3179"/>
      <c r="R124" s="444"/>
      <c r="S124" s="444"/>
    </row>
    <row r="125" spans="2:19" hidden="1">
      <c r="B125" s="444"/>
      <c r="C125" s="876"/>
      <c r="D125" s="1486"/>
      <c r="E125" s="1486"/>
      <c r="F125" s="1486"/>
      <c r="G125" s="877"/>
      <c r="H125" s="877"/>
      <c r="I125" s="3179"/>
      <c r="R125" s="444"/>
      <c r="S125" s="444"/>
    </row>
    <row r="126" spans="2:19" hidden="1">
      <c r="B126" s="444"/>
      <c r="C126" s="876"/>
      <c r="D126" s="1486"/>
      <c r="E126" s="1486"/>
      <c r="F126" s="1486"/>
      <c r="G126" s="877"/>
      <c r="H126" s="877"/>
      <c r="I126" s="3179"/>
      <c r="R126" s="444"/>
      <c r="S126" s="444"/>
    </row>
    <row r="127" spans="2:19" hidden="1">
      <c r="B127" s="444"/>
      <c r="C127" s="876"/>
      <c r="D127" s="1486"/>
      <c r="E127" s="1486"/>
      <c r="F127" s="1486"/>
      <c r="G127" s="877"/>
      <c r="H127" s="877"/>
      <c r="I127" s="3179"/>
      <c r="R127" s="444"/>
      <c r="S127" s="444"/>
    </row>
    <row r="128" spans="2:19" hidden="1">
      <c r="B128" s="444"/>
      <c r="C128" s="876"/>
      <c r="D128" s="1486"/>
      <c r="E128" s="1486"/>
      <c r="F128" s="1486"/>
      <c r="G128" s="877"/>
      <c r="H128" s="877"/>
      <c r="I128" s="3179"/>
      <c r="R128" s="444"/>
      <c r="S128" s="444"/>
    </row>
    <row r="129" spans="2:19" hidden="1">
      <c r="B129" s="444"/>
      <c r="C129" s="876"/>
      <c r="D129" s="1486"/>
      <c r="E129" s="1486"/>
      <c r="F129" s="1486"/>
      <c r="G129" s="877"/>
      <c r="H129" s="877"/>
      <c r="I129" s="3179"/>
      <c r="R129" s="444"/>
      <c r="S129" s="444"/>
    </row>
    <row r="130" spans="2:19" hidden="1">
      <c r="B130" s="444"/>
      <c r="C130" s="876"/>
      <c r="D130" s="1486"/>
      <c r="E130" s="1486"/>
      <c r="F130" s="1486"/>
      <c r="G130" s="877"/>
      <c r="H130" s="877"/>
      <c r="I130" s="3179"/>
      <c r="R130" s="444"/>
      <c r="S130" s="444"/>
    </row>
    <row r="131" spans="2:19" hidden="1">
      <c r="B131" s="444"/>
      <c r="C131" s="876"/>
      <c r="D131" s="1486"/>
      <c r="E131" s="1486"/>
      <c r="F131" s="1486"/>
      <c r="G131" s="877"/>
      <c r="H131" s="877"/>
      <c r="I131" s="3179"/>
      <c r="R131" s="444"/>
      <c r="S131" s="444"/>
    </row>
    <row r="132" spans="2:19" hidden="1">
      <c r="B132" s="444"/>
      <c r="C132" s="876"/>
      <c r="D132" s="1486"/>
      <c r="E132" s="1486"/>
      <c r="F132" s="1486"/>
      <c r="G132" s="877"/>
      <c r="H132" s="877"/>
      <c r="I132" s="3179"/>
      <c r="R132" s="444"/>
      <c r="S132" s="444"/>
    </row>
    <row r="133" spans="2:19" hidden="1">
      <c r="B133" s="444"/>
      <c r="C133" s="876"/>
      <c r="D133" s="1486"/>
      <c r="E133" s="1486"/>
      <c r="F133" s="1486"/>
      <c r="G133" s="877"/>
      <c r="H133" s="877"/>
      <c r="I133" s="3179"/>
      <c r="R133" s="444"/>
      <c r="S133" s="444"/>
    </row>
    <row r="134" spans="2:19" hidden="1">
      <c r="B134" s="444"/>
      <c r="C134" s="876"/>
      <c r="D134" s="1486"/>
      <c r="E134" s="1486"/>
      <c r="F134" s="1486"/>
      <c r="G134" s="877"/>
      <c r="H134" s="877"/>
      <c r="I134" s="3179"/>
      <c r="R134" s="444"/>
      <c r="S134" s="444"/>
    </row>
    <row r="135" spans="2:19" hidden="1">
      <c r="B135" s="444"/>
      <c r="C135" s="876"/>
      <c r="D135" s="1486"/>
      <c r="E135" s="1486"/>
      <c r="F135" s="1486"/>
      <c r="G135" s="877"/>
      <c r="H135" s="877"/>
      <c r="I135" s="3179"/>
      <c r="R135" s="444"/>
      <c r="S135" s="444"/>
    </row>
    <row r="136" spans="2:19" hidden="1">
      <c r="B136" s="444"/>
      <c r="C136" s="876"/>
      <c r="D136" s="1486"/>
      <c r="E136" s="1486"/>
      <c r="F136" s="1486"/>
      <c r="G136" s="877"/>
      <c r="H136" s="877"/>
      <c r="I136" s="3179"/>
      <c r="R136" s="444"/>
      <c r="S136" s="444"/>
    </row>
    <row r="137" spans="2:19" hidden="1">
      <c r="B137" s="444"/>
      <c r="C137" s="876"/>
      <c r="D137" s="1486"/>
      <c r="E137" s="1486"/>
      <c r="F137" s="1486"/>
      <c r="G137" s="877"/>
      <c r="H137" s="877"/>
      <c r="I137" s="3179"/>
      <c r="R137" s="444"/>
      <c r="S137" s="444"/>
    </row>
    <row r="138" spans="2:19" hidden="1">
      <c r="B138" s="444"/>
      <c r="C138" s="876"/>
      <c r="D138" s="1486"/>
      <c r="E138" s="1486"/>
      <c r="F138" s="1486"/>
      <c r="G138" s="877"/>
      <c r="H138" s="877"/>
      <c r="I138" s="3179"/>
      <c r="R138" s="444"/>
      <c r="S138" s="444"/>
    </row>
    <row r="139" spans="2:19" hidden="1">
      <c r="B139" s="444"/>
      <c r="C139" s="876"/>
      <c r="D139" s="1486"/>
      <c r="E139" s="1486"/>
      <c r="F139" s="1486"/>
      <c r="G139" s="877"/>
      <c r="H139" s="877"/>
      <c r="I139" s="3179"/>
      <c r="R139" s="444"/>
      <c r="S139" s="444"/>
    </row>
    <row r="140" spans="2:19" hidden="1">
      <c r="B140" s="444"/>
      <c r="C140" s="876"/>
      <c r="D140" s="1486"/>
      <c r="E140" s="1486"/>
      <c r="F140" s="1486"/>
      <c r="G140" s="877"/>
      <c r="H140" s="877"/>
      <c r="I140" s="3179"/>
      <c r="R140" s="444"/>
      <c r="S140" s="444"/>
    </row>
    <row r="141" spans="2:19" hidden="1">
      <c r="B141" s="444"/>
      <c r="C141" s="876"/>
      <c r="D141" s="1486"/>
      <c r="E141" s="1486"/>
      <c r="F141" s="1486"/>
      <c r="G141" s="877"/>
      <c r="H141" s="877"/>
      <c r="I141" s="3179"/>
      <c r="R141" s="444"/>
      <c r="S141" s="444"/>
    </row>
    <row r="142" spans="2:19" hidden="1">
      <c r="B142" s="444"/>
      <c r="C142" s="876"/>
      <c r="D142" s="1486"/>
      <c r="E142" s="1486"/>
      <c r="F142" s="1486"/>
      <c r="G142" s="877"/>
      <c r="H142" s="877"/>
      <c r="I142" s="3179"/>
      <c r="R142" s="444"/>
      <c r="S142" s="444"/>
    </row>
    <row r="143" spans="2:19" hidden="1">
      <c r="B143" s="444"/>
      <c r="C143" s="876"/>
      <c r="D143" s="1486"/>
      <c r="E143" s="1486"/>
      <c r="F143" s="1486"/>
      <c r="G143" s="877"/>
      <c r="H143" s="877"/>
      <c r="I143" s="3179"/>
      <c r="R143" s="444"/>
      <c r="S143" s="444"/>
    </row>
    <row r="144" spans="2:19" hidden="1">
      <c r="B144" s="444"/>
      <c r="C144" s="876"/>
      <c r="D144" s="1486"/>
      <c r="E144" s="1486"/>
      <c r="F144" s="1486"/>
      <c r="G144" s="877"/>
      <c r="H144" s="877"/>
      <c r="I144" s="3179"/>
      <c r="R144" s="444"/>
      <c r="S144" s="444"/>
    </row>
    <row r="145" spans="2:19" hidden="1">
      <c r="B145" s="444"/>
      <c r="C145" s="876"/>
      <c r="D145" s="1486"/>
      <c r="E145" s="1486"/>
      <c r="F145" s="1486"/>
      <c r="G145" s="877"/>
      <c r="H145" s="877"/>
      <c r="I145" s="3179"/>
      <c r="R145" s="444"/>
      <c r="S145" s="444"/>
    </row>
    <row r="146" spans="2:19" hidden="1">
      <c r="B146" s="444"/>
      <c r="C146" s="876"/>
      <c r="D146" s="1486"/>
      <c r="E146" s="1486"/>
      <c r="F146" s="1486"/>
      <c r="G146" s="877"/>
      <c r="H146" s="877"/>
      <c r="I146" s="3179"/>
      <c r="R146" s="444"/>
      <c r="S146" s="444"/>
    </row>
    <row r="147" spans="2:19" hidden="1">
      <c r="B147" s="444"/>
      <c r="C147" s="876"/>
      <c r="D147" s="1486"/>
      <c r="E147" s="1486"/>
      <c r="F147" s="1486"/>
      <c r="G147" s="877"/>
      <c r="H147" s="877"/>
      <c r="I147" s="3179"/>
      <c r="R147" s="444"/>
      <c r="S147" s="444"/>
    </row>
    <row r="148" spans="2:19" hidden="1">
      <c r="B148" s="444"/>
      <c r="C148" s="876"/>
      <c r="D148" s="1486"/>
      <c r="E148" s="1486"/>
      <c r="F148" s="1486"/>
      <c r="G148" s="877"/>
      <c r="H148" s="877"/>
      <c r="I148" s="3179"/>
      <c r="R148" s="444"/>
      <c r="S148" s="444"/>
    </row>
    <row r="149" spans="2:19" hidden="1">
      <c r="B149" s="444"/>
      <c r="C149" s="876"/>
      <c r="D149" s="1486"/>
      <c r="E149" s="1486"/>
      <c r="F149" s="1486"/>
      <c r="G149" s="877"/>
      <c r="H149" s="877"/>
      <c r="I149" s="3179"/>
      <c r="R149" s="444"/>
      <c r="S149" s="444"/>
    </row>
    <row r="150" spans="2:19" hidden="1">
      <c r="B150" s="444"/>
      <c r="C150" s="876"/>
      <c r="D150" s="1486"/>
      <c r="E150" s="1486"/>
      <c r="F150" s="1486"/>
      <c r="G150" s="877"/>
      <c r="H150" s="877"/>
      <c r="I150" s="3179"/>
      <c r="R150" s="444"/>
      <c r="S150" s="444"/>
    </row>
    <row r="151" spans="2:19" hidden="1">
      <c r="B151" s="444"/>
      <c r="C151" s="876"/>
      <c r="D151" s="1486"/>
      <c r="E151" s="1486"/>
      <c r="F151" s="1486"/>
      <c r="G151" s="877"/>
      <c r="H151" s="877"/>
      <c r="I151" s="3179"/>
      <c r="R151" s="444"/>
      <c r="S151" s="444"/>
    </row>
    <row r="152" spans="2:19" hidden="1">
      <c r="B152" s="444"/>
      <c r="C152" s="876"/>
      <c r="D152" s="1486"/>
      <c r="E152" s="1486"/>
      <c r="F152" s="1486"/>
      <c r="G152" s="877"/>
      <c r="H152" s="877"/>
      <c r="I152" s="3179"/>
      <c r="R152" s="444"/>
      <c r="S152" s="444"/>
    </row>
    <row r="153" spans="2:19" hidden="1">
      <c r="B153" s="444"/>
      <c r="C153" s="876"/>
      <c r="D153" s="1486"/>
      <c r="E153" s="1486"/>
      <c r="F153" s="1486"/>
      <c r="G153" s="877"/>
      <c r="H153" s="877"/>
      <c r="I153" s="3179"/>
      <c r="R153" s="444"/>
      <c r="S153" s="444"/>
    </row>
    <row r="154" spans="2:19" hidden="1">
      <c r="B154" s="444"/>
      <c r="C154" s="876"/>
      <c r="D154" s="1486"/>
      <c r="E154" s="1486"/>
      <c r="F154" s="1486"/>
      <c r="G154" s="877"/>
      <c r="H154" s="877"/>
      <c r="I154" s="3179"/>
      <c r="R154" s="444"/>
      <c r="S154" s="444"/>
    </row>
    <row r="155" spans="2:19" hidden="1">
      <c r="B155" s="444"/>
      <c r="C155" s="876"/>
      <c r="D155" s="1486"/>
      <c r="E155" s="1486"/>
      <c r="F155" s="1486"/>
      <c r="G155" s="877"/>
      <c r="H155" s="877"/>
      <c r="I155" s="3179"/>
      <c r="R155" s="444"/>
      <c r="S155" s="444"/>
    </row>
    <row r="156" spans="2:19" hidden="1">
      <c r="B156" s="444"/>
      <c r="C156" s="876"/>
      <c r="D156" s="1486"/>
      <c r="E156" s="1486"/>
      <c r="F156" s="1486"/>
      <c r="G156" s="877"/>
      <c r="H156" s="877"/>
      <c r="I156" s="3179"/>
      <c r="R156" s="444"/>
      <c r="S156" s="444"/>
    </row>
    <row r="157" spans="2:19" hidden="1">
      <c r="B157" s="444"/>
      <c r="C157" s="876"/>
      <c r="D157" s="1486"/>
      <c r="E157" s="1486"/>
      <c r="F157" s="1486"/>
      <c r="G157" s="877"/>
      <c r="H157" s="877"/>
      <c r="I157" s="3179"/>
      <c r="R157" s="444"/>
      <c r="S157" s="444"/>
    </row>
    <row r="158" spans="2:19" hidden="1">
      <c r="B158" s="444"/>
      <c r="C158" s="876"/>
      <c r="D158" s="1486"/>
      <c r="E158" s="1486"/>
      <c r="F158" s="1486"/>
      <c r="G158" s="877"/>
      <c r="H158" s="877"/>
      <c r="I158" s="3179"/>
      <c r="R158" s="444"/>
      <c r="S158" s="444"/>
    </row>
    <row r="159" spans="2:19" hidden="1">
      <c r="B159" s="444"/>
      <c r="C159" s="876"/>
      <c r="D159" s="1486"/>
      <c r="E159" s="1486"/>
      <c r="F159" s="1486"/>
      <c r="G159" s="877"/>
      <c r="H159" s="877"/>
      <c r="I159" s="3179"/>
      <c r="R159" s="444"/>
      <c r="S159" s="444"/>
    </row>
    <row r="160" spans="2:19" hidden="1">
      <c r="B160" s="444"/>
      <c r="C160" s="876"/>
      <c r="D160" s="1486"/>
      <c r="E160" s="1486"/>
      <c r="F160" s="1486"/>
      <c r="G160" s="877"/>
      <c r="H160" s="877"/>
      <c r="I160" s="3179"/>
      <c r="R160" s="444"/>
      <c r="S160" s="444"/>
    </row>
    <row r="161" spans="2:19" hidden="1">
      <c r="B161" s="444"/>
      <c r="C161" s="876"/>
      <c r="D161" s="1486"/>
      <c r="E161" s="1486"/>
      <c r="F161" s="1486"/>
      <c r="G161" s="877"/>
      <c r="H161" s="877"/>
      <c r="I161" s="3179"/>
      <c r="R161" s="444"/>
      <c r="S161" s="444"/>
    </row>
    <row r="162" spans="2:19" hidden="1">
      <c r="B162" s="444"/>
      <c r="C162" s="876"/>
      <c r="D162" s="1486"/>
      <c r="E162" s="1486"/>
      <c r="F162" s="1486"/>
      <c r="G162" s="877"/>
      <c r="H162" s="877"/>
      <c r="I162" s="3179"/>
      <c r="R162" s="444"/>
      <c r="S162" s="444"/>
    </row>
    <row r="163" spans="2:19" hidden="1">
      <c r="B163" s="444"/>
      <c r="C163" s="876"/>
      <c r="D163" s="1486"/>
      <c r="E163" s="1486"/>
      <c r="F163" s="1486"/>
      <c r="G163" s="877"/>
      <c r="H163" s="877"/>
      <c r="I163" s="3179"/>
      <c r="R163" s="444"/>
      <c r="S163" s="444"/>
    </row>
    <row r="164" spans="2:19" hidden="1">
      <c r="B164" s="444"/>
      <c r="C164" s="876"/>
      <c r="D164" s="1486"/>
      <c r="E164" s="1486"/>
      <c r="F164" s="1486"/>
      <c r="G164" s="877"/>
      <c r="H164" s="877"/>
      <c r="I164" s="3179"/>
      <c r="R164" s="444"/>
      <c r="S164" s="444"/>
    </row>
    <row r="165" spans="2:19" hidden="1">
      <c r="B165" s="444"/>
      <c r="C165" s="876"/>
      <c r="D165" s="1486"/>
      <c r="E165" s="1486"/>
      <c r="F165" s="1486"/>
      <c r="G165" s="877"/>
      <c r="H165" s="877"/>
      <c r="I165" s="3179"/>
      <c r="R165" s="444"/>
      <c r="S165" s="444"/>
    </row>
    <row r="166" spans="2:19" hidden="1">
      <c r="B166" s="444"/>
      <c r="C166" s="876"/>
      <c r="D166" s="1486"/>
      <c r="E166" s="1486"/>
      <c r="F166" s="1486"/>
      <c r="G166" s="877"/>
      <c r="H166" s="877"/>
      <c r="I166" s="3179"/>
      <c r="R166" s="444"/>
      <c r="S166" s="444"/>
    </row>
    <row r="167" spans="2:19" hidden="1">
      <c r="B167" s="444"/>
      <c r="C167" s="876"/>
      <c r="D167" s="1486"/>
      <c r="E167" s="1486"/>
      <c r="F167" s="1486"/>
      <c r="G167" s="877"/>
      <c r="H167" s="877"/>
      <c r="I167" s="3179"/>
      <c r="R167" s="444"/>
      <c r="S167" s="444"/>
    </row>
    <row r="168" spans="2:19" hidden="1">
      <c r="B168" s="444"/>
      <c r="C168" s="876"/>
      <c r="D168" s="1486"/>
      <c r="E168" s="1486"/>
      <c r="F168" s="1486"/>
      <c r="G168" s="877"/>
      <c r="H168" s="877"/>
      <c r="I168" s="3179"/>
      <c r="R168" s="444"/>
      <c r="S168" s="444"/>
    </row>
    <row r="169" spans="2:19" hidden="1">
      <c r="B169" s="444"/>
      <c r="C169" s="876"/>
      <c r="D169" s="1486"/>
      <c r="E169" s="1486"/>
      <c r="F169" s="1486"/>
      <c r="G169" s="877"/>
      <c r="H169" s="877"/>
      <c r="I169" s="3179"/>
      <c r="R169" s="444"/>
      <c r="S169" s="444"/>
    </row>
    <row r="170" spans="2:19" hidden="1">
      <c r="B170" s="444"/>
      <c r="C170" s="876"/>
      <c r="D170" s="1486"/>
      <c r="E170" s="1486"/>
      <c r="F170" s="1486"/>
      <c r="G170" s="877"/>
      <c r="H170" s="877"/>
      <c r="I170" s="3179"/>
      <c r="R170" s="444"/>
      <c r="S170" s="444"/>
    </row>
    <row r="171" spans="2:19" hidden="1">
      <c r="B171" s="444"/>
      <c r="C171" s="876"/>
      <c r="D171" s="1486"/>
      <c r="E171" s="1486"/>
      <c r="F171" s="1486"/>
      <c r="G171" s="877"/>
      <c r="H171" s="877"/>
      <c r="I171" s="3179"/>
      <c r="R171" s="444"/>
      <c r="S171" s="444"/>
    </row>
    <row r="172" spans="2:19" hidden="1">
      <c r="B172" s="444"/>
      <c r="C172" s="876"/>
      <c r="D172" s="1486"/>
      <c r="E172" s="1486"/>
      <c r="F172" s="1486"/>
      <c r="G172" s="877"/>
      <c r="H172" s="877"/>
      <c r="I172" s="3179"/>
      <c r="R172" s="444"/>
      <c r="S172" s="444"/>
    </row>
    <row r="173" spans="2:19" hidden="1">
      <c r="B173" s="444"/>
      <c r="C173" s="876"/>
      <c r="D173" s="1486"/>
      <c r="E173" s="1486"/>
      <c r="F173" s="1486"/>
      <c r="G173" s="877"/>
      <c r="H173" s="877"/>
      <c r="I173" s="3179"/>
      <c r="R173" s="444"/>
      <c r="S173" s="444"/>
    </row>
    <row r="174" spans="2:19" hidden="1">
      <c r="B174" s="444"/>
      <c r="C174" s="876"/>
      <c r="D174" s="1486"/>
      <c r="E174" s="1486"/>
      <c r="F174" s="1486"/>
      <c r="G174" s="877"/>
      <c r="H174" s="877"/>
      <c r="I174" s="3179"/>
      <c r="R174" s="444"/>
      <c r="S174" s="444"/>
    </row>
    <row r="175" spans="2:19" hidden="1">
      <c r="B175" s="444"/>
      <c r="C175" s="876"/>
      <c r="D175" s="1486"/>
      <c r="E175" s="1486"/>
      <c r="F175" s="1486"/>
      <c r="G175" s="877"/>
      <c r="H175" s="877"/>
      <c r="I175" s="3179"/>
      <c r="R175" s="444"/>
      <c r="S175" s="444"/>
    </row>
    <row r="176" spans="2:19" hidden="1">
      <c r="B176" s="444"/>
      <c r="C176" s="876"/>
      <c r="D176" s="1486"/>
      <c r="E176" s="1486"/>
      <c r="F176" s="1486"/>
      <c r="G176" s="877"/>
      <c r="H176" s="877"/>
      <c r="I176" s="3179"/>
      <c r="R176" s="444"/>
      <c r="S176" s="444"/>
    </row>
    <row r="177" spans="2:19" hidden="1">
      <c r="B177" s="444"/>
      <c r="C177" s="876"/>
      <c r="D177" s="1486"/>
      <c r="E177" s="1486"/>
      <c r="F177" s="1486"/>
      <c r="G177" s="877"/>
      <c r="H177" s="877"/>
      <c r="I177" s="3179"/>
      <c r="R177" s="444"/>
      <c r="S177" s="444"/>
    </row>
    <row r="178" spans="2:19" hidden="1">
      <c r="B178" s="444"/>
      <c r="C178" s="876"/>
      <c r="D178" s="1486"/>
      <c r="E178" s="1486"/>
      <c r="F178" s="1486"/>
      <c r="G178" s="877"/>
      <c r="H178" s="877"/>
      <c r="I178" s="3179"/>
      <c r="R178" s="444"/>
      <c r="S178" s="444"/>
    </row>
    <row r="179" spans="2:19" hidden="1">
      <c r="B179" s="444"/>
      <c r="C179" s="876"/>
      <c r="D179" s="1486"/>
      <c r="E179" s="1486"/>
      <c r="F179" s="1486"/>
      <c r="G179" s="877"/>
      <c r="H179" s="877"/>
      <c r="I179" s="3179"/>
      <c r="R179" s="444"/>
      <c r="S179" s="444"/>
    </row>
    <row r="180" spans="2:19" hidden="1">
      <c r="B180" s="444"/>
      <c r="C180" s="876"/>
      <c r="D180" s="1486"/>
      <c r="E180" s="1486"/>
      <c r="F180" s="1486"/>
      <c r="G180" s="877"/>
      <c r="H180" s="877"/>
      <c r="I180" s="3179"/>
      <c r="R180" s="444"/>
      <c r="S180" s="444"/>
    </row>
    <row r="181" spans="2:19" hidden="1">
      <c r="B181" s="444"/>
      <c r="C181" s="876"/>
      <c r="D181" s="1486"/>
      <c r="E181" s="1486"/>
      <c r="F181" s="1486"/>
      <c r="G181" s="877"/>
      <c r="H181" s="877"/>
      <c r="I181" s="3179"/>
      <c r="R181" s="444"/>
      <c r="S181" s="444"/>
    </row>
    <row r="182" spans="2:19" hidden="1">
      <c r="B182" s="444"/>
      <c r="C182" s="876"/>
      <c r="D182" s="1486"/>
      <c r="E182" s="1486"/>
      <c r="F182" s="1486"/>
      <c r="G182" s="877"/>
      <c r="H182" s="877"/>
      <c r="I182" s="3179"/>
      <c r="R182" s="444"/>
      <c r="S182" s="444"/>
    </row>
    <row r="183" spans="2:19" ht="5.25" customHeight="1">
      <c r="B183" s="444"/>
      <c r="C183" s="876"/>
      <c r="D183" s="877"/>
      <c r="E183" s="444"/>
      <c r="F183" s="877"/>
      <c r="G183" s="877"/>
      <c r="H183" s="877"/>
      <c r="I183" s="3180"/>
      <c r="J183" s="877"/>
      <c r="K183" s="877"/>
      <c r="L183" s="877"/>
      <c r="M183" s="877"/>
      <c r="N183" s="877"/>
      <c r="O183" s="877"/>
      <c r="P183" s="877"/>
      <c r="Q183" s="877"/>
      <c r="R183" s="444"/>
      <c r="S183" s="444"/>
    </row>
    <row r="184" spans="2:19">
      <c r="B184" s="444"/>
      <c r="C184" s="876"/>
      <c r="D184" s="877" t="s">
        <v>1476</v>
      </c>
      <c r="E184" s="444"/>
      <c r="F184" s="877"/>
      <c r="G184" s="877"/>
      <c r="H184" s="877"/>
      <c r="I184" s="3179">
        <v>4.7699999999999999E-4</v>
      </c>
      <c r="J184" s="877"/>
      <c r="K184" s="877"/>
      <c r="L184" s="877"/>
      <c r="M184" s="877"/>
      <c r="N184" s="877"/>
      <c r="O184" s="877"/>
      <c r="P184" s="877"/>
      <c r="Q184" s="877"/>
      <c r="R184" s="444"/>
      <c r="S184" s="444"/>
    </row>
    <row r="185" spans="2:19">
      <c r="B185" s="444"/>
      <c r="C185" s="876"/>
      <c r="D185" s="876"/>
      <c r="E185" s="877"/>
      <c r="F185" s="877"/>
      <c r="G185" s="877"/>
      <c r="H185" s="877"/>
      <c r="I185" s="933"/>
      <c r="J185" s="877"/>
      <c r="K185" s="877"/>
      <c r="L185" s="877"/>
      <c r="M185" s="877"/>
      <c r="N185" s="877"/>
      <c r="O185" s="877"/>
      <c r="P185" s="877"/>
      <c r="Q185" s="877"/>
      <c r="R185" s="444"/>
      <c r="S185" s="444"/>
    </row>
    <row r="186" spans="2:19">
      <c r="B186" s="444"/>
      <c r="C186" s="883" t="s">
        <v>1477</v>
      </c>
      <c r="D186" s="876"/>
      <c r="E186" s="876"/>
      <c r="F186" s="876"/>
      <c r="G186" s="876"/>
      <c r="H186" s="876"/>
      <c r="I186" s="876"/>
      <c r="J186" s="876"/>
      <c r="K186" s="876"/>
      <c r="L186" s="876"/>
      <c r="M186" s="876"/>
      <c r="N186" s="876"/>
      <c r="O186" s="876"/>
      <c r="P186" s="876"/>
      <c r="Q186" s="876"/>
      <c r="R186" s="444"/>
      <c r="S186" s="444"/>
    </row>
    <row r="187" spans="2:19">
      <c r="B187" s="444"/>
      <c r="C187" s="444"/>
      <c r="D187" s="1295" t="s">
        <v>1903</v>
      </c>
      <c r="E187" s="1296"/>
      <c r="F187" s="1297"/>
      <c r="G187" s="444"/>
      <c r="H187" s="1298" t="s">
        <v>1939</v>
      </c>
      <c r="I187" s="1302" t="s">
        <v>834</v>
      </c>
      <c r="J187" s="1300"/>
      <c r="K187" s="1300"/>
      <c r="L187" s="1300"/>
      <c r="M187" s="1301"/>
      <c r="N187" s="1302" t="s">
        <v>1918</v>
      </c>
      <c r="O187" s="1303"/>
      <c r="P187" s="1303"/>
      <c r="Q187" s="1304"/>
      <c r="R187" s="1690" t="s">
        <v>2792</v>
      </c>
      <c r="S187" s="444"/>
    </row>
    <row r="188" spans="2:19" hidden="1">
      <c r="B188" s="444"/>
      <c r="C188" s="444"/>
      <c r="D188" s="1306"/>
      <c r="E188" s="1307"/>
      <c r="F188" s="1308"/>
      <c r="G188" s="444"/>
      <c r="H188" s="444"/>
      <c r="I188" s="1299">
        <v>300</v>
      </c>
      <c r="J188" s="1300">
        <v>2000</v>
      </c>
      <c r="K188" s="1300">
        <v>10000</v>
      </c>
      <c r="L188" s="1300">
        <v>30000</v>
      </c>
      <c r="M188" s="1301"/>
      <c r="N188" s="1309">
        <f>I96</f>
        <v>4.6823770491803279E-2</v>
      </c>
      <c r="O188" s="1310">
        <f>I97</f>
        <v>4.9799999999999997E-2</v>
      </c>
      <c r="P188" s="1310">
        <f>I101</f>
        <v>6.855E-2</v>
      </c>
      <c r="Q188" s="1310">
        <f>I102</f>
        <v>5.8999999999999997E-2</v>
      </c>
      <c r="R188" s="1298"/>
      <c r="S188" s="444"/>
    </row>
    <row r="189" spans="2:19" ht="24">
      <c r="B189" s="444"/>
      <c r="C189" s="444"/>
      <c r="D189" s="1312"/>
      <c r="E189" s="1313"/>
      <c r="F189" s="1314"/>
      <c r="G189" s="444"/>
      <c r="H189" s="444"/>
      <c r="I189" s="1315" t="s">
        <v>1919</v>
      </c>
      <c r="J189" s="1316" t="s">
        <v>1920</v>
      </c>
      <c r="K189" s="1316" t="s">
        <v>1921</v>
      </c>
      <c r="L189" s="1316" t="s">
        <v>1922</v>
      </c>
      <c r="M189" s="1315" t="s">
        <v>1923</v>
      </c>
      <c r="N189" s="1315" t="s">
        <v>1924</v>
      </c>
      <c r="O189" s="1315" t="s">
        <v>1478</v>
      </c>
      <c r="P189" s="1315" t="s">
        <v>1925</v>
      </c>
      <c r="Q189" s="1315" t="s">
        <v>1326</v>
      </c>
      <c r="R189" s="1691" t="s">
        <v>2793</v>
      </c>
      <c r="S189" s="444"/>
    </row>
    <row r="190" spans="2:19" ht="14.25" customHeight="1">
      <c r="B190" s="444"/>
      <c r="C190" s="444"/>
      <c r="D190" s="1317" t="s">
        <v>1464</v>
      </c>
      <c r="E190" s="1302" t="s">
        <v>377</v>
      </c>
      <c r="F190" s="1318"/>
      <c r="G190" s="444">
        <f>メイン!R47</f>
        <v>500</v>
      </c>
      <c r="H190" s="444">
        <f>IF(G190=0,0,IF(G190&lt;$I$188,I190,IF(G190&lt;$J$188,J190,IF(G190&lt;$K$188,K190,IF(G190&lt;$L$188,L190,M190)))))</f>
        <v>1250</v>
      </c>
      <c r="I190" s="2764">
        <v>1250</v>
      </c>
      <c r="J190" s="2764">
        <v>1250</v>
      </c>
      <c r="K190" s="2764">
        <v>1550</v>
      </c>
      <c r="L190" s="2764">
        <v>1850</v>
      </c>
      <c r="M190" s="2764">
        <v>2150</v>
      </c>
      <c r="N190" s="2765">
        <v>0.78</v>
      </c>
      <c r="O190" s="2765">
        <v>0.06</v>
      </c>
      <c r="P190" s="2765">
        <f>1-N190-O190</f>
        <v>0.15999999999999998</v>
      </c>
      <c r="Q190" s="1683" t="s">
        <v>1926</v>
      </c>
      <c r="R190" s="1322">
        <f>SUMPRODUCT(N190:Q190,$N$188:$Q$188)</f>
        <v>5.0478540983606553E-2</v>
      </c>
      <c r="S190" s="444"/>
    </row>
    <row r="191" spans="2:19" ht="14.25" customHeight="1">
      <c r="B191" s="444"/>
      <c r="C191" s="444"/>
      <c r="D191" s="2"/>
      <c r="E191" s="1302" t="s">
        <v>1904</v>
      </c>
      <c r="F191" s="1318"/>
      <c r="G191" s="444">
        <f>メイン!R48</f>
        <v>0</v>
      </c>
      <c r="H191" s="444">
        <f>IF(G191=0,0,IF(G191&lt;$I$188,I191,IF(G191&lt;$J$188,J191,IF(G191&lt;$K$188,K191,IF(G191&lt;$L$188,L191,M191)))))</f>
        <v>0</v>
      </c>
      <c r="I191" s="2764">
        <v>1050</v>
      </c>
      <c r="J191" s="2764">
        <v>1050</v>
      </c>
      <c r="K191" s="2764">
        <v>1050</v>
      </c>
      <c r="L191" s="2764">
        <v>1050</v>
      </c>
      <c r="M191" s="2764">
        <v>1050</v>
      </c>
      <c r="N191" s="2765">
        <v>0.77</v>
      </c>
      <c r="O191" s="2765">
        <v>0.09</v>
      </c>
      <c r="P191" s="2765">
        <f t="shared" ref="P191:P208" si="36">1-N191-O191</f>
        <v>0.13999999999999999</v>
      </c>
      <c r="Q191" s="1683" t="s">
        <v>1926</v>
      </c>
      <c r="R191" s="1322">
        <f t="shared" ref="R191:R211" si="37">SUMPRODUCT(N191:Q191,$N$188:$Q$188)</f>
        <v>5.0133303278688528E-2</v>
      </c>
      <c r="S191" s="444"/>
    </row>
    <row r="192" spans="2:19" ht="14.25" customHeight="1">
      <c r="B192" s="444"/>
      <c r="C192" s="444"/>
      <c r="D192" s="1323"/>
      <c r="E192" s="2766" t="s">
        <v>3831</v>
      </c>
      <c r="F192" s="1318"/>
      <c r="G192" s="444"/>
      <c r="H192" s="444"/>
      <c r="I192" s="2764">
        <v>2350</v>
      </c>
      <c r="J192" s="2764">
        <v>2350</v>
      </c>
      <c r="K192" s="2764">
        <v>2350</v>
      </c>
      <c r="L192" s="2764">
        <v>2350</v>
      </c>
      <c r="M192" s="2764">
        <v>2350</v>
      </c>
      <c r="N192" s="2765">
        <v>0.63</v>
      </c>
      <c r="O192" s="2765">
        <v>0.08</v>
      </c>
      <c r="P192" s="2765">
        <f t="shared" si="36"/>
        <v>0.28999999999999998</v>
      </c>
      <c r="Q192" s="1683" t="s">
        <v>1926</v>
      </c>
      <c r="R192" s="1322">
        <f t="shared" si="37"/>
        <v>5.336247540983606E-2</v>
      </c>
      <c r="S192" s="444"/>
    </row>
    <row r="193" spans="2:19" ht="14.25" customHeight="1">
      <c r="B193" s="444"/>
      <c r="C193" s="444"/>
      <c r="D193" s="1324" t="s">
        <v>1908</v>
      </c>
      <c r="E193" s="1302" t="s">
        <v>1909</v>
      </c>
      <c r="F193" s="1318"/>
      <c r="G193" s="444">
        <f>メイン!R50</f>
        <v>0</v>
      </c>
      <c r="H193" s="444">
        <f>IF(G193=0,0,IF(G193&lt;$I$188,I193,IF(G193&lt;$J$188,J193,IF(G193&lt;$K$188,K193,IF(G193&lt;$L$188,L193,M193)))))</f>
        <v>0</v>
      </c>
      <c r="I193" s="2764">
        <v>540</v>
      </c>
      <c r="J193" s="2764">
        <v>540</v>
      </c>
      <c r="K193" s="2764">
        <v>540</v>
      </c>
      <c r="L193" s="2764">
        <v>540</v>
      </c>
      <c r="M193" s="2764">
        <v>540</v>
      </c>
      <c r="N193" s="2765">
        <v>0.7</v>
      </c>
      <c r="O193" s="2765">
        <v>0.12</v>
      </c>
      <c r="P193" s="2765">
        <f t="shared" si="36"/>
        <v>0.18000000000000005</v>
      </c>
      <c r="Q193" s="1683" t="s">
        <v>1926</v>
      </c>
      <c r="R193" s="1322">
        <f t="shared" si="37"/>
        <v>5.10916393442623E-2</v>
      </c>
      <c r="S193" s="444"/>
    </row>
    <row r="194" spans="2:19" ht="14.25" customHeight="1">
      <c r="B194" s="444"/>
      <c r="C194" s="444"/>
      <c r="D194" s="1324"/>
      <c r="E194" s="1295" t="s">
        <v>1910</v>
      </c>
      <c r="F194" s="1315" t="s">
        <v>1911</v>
      </c>
      <c r="G194" s="444">
        <f>メイン!R51</f>
        <v>0</v>
      </c>
      <c r="H194" s="1325">
        <f>IF(G194&gt;0,I194,0)</f>
        <v>0</v>
      </c>
      <c r="I194" s="2764">
        <v>510</v>
      </c>
      <c r="J194" s="2764">
        <v>510</v>
      </c>
      <c r="K194" s="2764">
        <v>510</v>
      </c>
      <c r="L194" s="2764">
        <v>510</v>
      </c>
      <c r="M194" s="2764">
        <v>510</v>
      </c>
      <c r="N194" s="2765">
        <v>0.67</v>
      </c>
      <c r="O194" s="2765">
        <v>0.2</v>
      </c>
      <c r="P194" s="2765">
        <f t="shared" si="36"/>
        <v>0.12999999999999995</v>
      </c>
      <c r="Q194" s="1683" t="s">
        <v>1926</v>
      </c>
      <c r="R194" s="1322">
        <f t="shared" si="37"/>
        <v>5.0243426229508191E-2</v>
      </c>
      <c r="S194" s="444"/>
    </row>
    <row r="195" spans="2:19" ht="14.25" customHeight="1">
      <c r="B195" s="444"/>
      <c r="C195" s="444"/>
      <c r="D195" s="1324"/>
      <c r="E195" s="1312"/>
      <c r="F195" s="1315" t="s">
        <v>2244</v>
      </c>
      <c r="G195" s="444">
        <f>メイン!R52</f>
        <v>0</v>
      </c>
      <c r="H195" s="1325">
        <f>IF(G195&gt;0,I195,0)</f>
        <v>0</v>
      </c>
      <c r="I195" s="2764">
        <v>320</v>
      </c>
      <c r="J195" s="2764">
        <v>320</v>
      </c>
      <c r="K195" s="2764">
        <v>320</v>
      </c>
      <c r="L195" s="2764">
        <v>320</v>
      </c>
      <c r="M195" s="2764">
        <v>320</v>
      </c>
      <c r="N195" s="2765">
        <v>0.74</v>
      </c>
      <c r="O195" s="2765">
        <v>0.12</v>
      </c>
      <c r="P195" s="2765">
        <f t="shared" si="36"/>
        <v>0.14000000000000001</v>
      </c>
      <c r="Q195" s="1683" t="s">
        <v>1926</v>
      </c>
      <c r="R195" s="1322">
        <f t="shared" si="37"/>
        <v>5.0222590163934433E-2</v>
      </c>
      <c r="S195" s="444"/>
    </row>
    <row r="196" spans="2:19" ht="14.25" customHeight="1">
      <c r="B196" s="444"/>
      <c r="C196" s="444"/>
      <c r="D196" s="1324"/>
      <c r="E196" s="1302" t="s">
        <v>1912</v>
      </c>
      <c r="F196" s="1318"/>
      <c r="G196" s="444">
        <f>メイン!R53</f>
        <v>0</v>
      </c>
      <c r="H196" s="444">
        <f t="shared" ref="H196:H208" si="38">IF(G196=0,0,IF(G196&lt;$I$188,I196,IF(G196&lt;$J$188,J196,IF(G196&lt;$K$188,K196,IF(G196&lt;$L$188,L196,M196)))))</f>
        <v>0</v>
      </c>
      <c r="I196" s="2764">
        <v>360</v>
      </c>
      <c r="J196" s="2764">
        <v>360</v>
      </c>
      <c r="K196" s="2764">
        <v>360</v>
      </c>
      <c r="L196" s="2764">
        <v>360</v>
      </c>
      <c r="M196" s="2764">
        <v>360</v>
      </c>
      <c r="N196" s="2765">
        <v>0.74</v>
      </c>
      <c r="O196" s="2765">
        <v>6.9999999999999993E-2</v>
      </c>
      <c r="P196" s="2765">
        <f t="shared" si="36"/>
        <v>0.19</v>
      </c>
      <c r="Q196" s="1683" t="s">
        <v>1926</v>
      </c>
      <c r="R196" s="1322">
        <f t="shared" si="37"/>
        <v>5.1160090163934434E-2</v>
      </c>
      <c r="S196" s="444"/>
    </row>
    <row r="197" spans="2:19" ht="14.25" customHeight="1">
      <c r="B197" s="444"/>
      <c r="C197" s="444"/>
      <c r="D197" s="1323"/>
      <c r="E197" s="1302" t="s">
        <v>1913</v>
      </c>
      <c r="F197" s="1318"/>
      <c r="G197" s="444">
        <f>メイン!R54</f>
        <v>0</v>
      </c>
      <c r="H197" s="444">
        <f t="shared" si="38"/>
        <v>0</v>
      </c>
      <c r="I197" s="2764">
        <v>860</v>
      </c>
      <c r="J197" s="2764">
        <v>860</v>
      </c>
      <c r="K197" s="2764">
        <v>860</v>
      </c>
      <c r="L197" s="2764">
        <v>860</v>
      </c>
      <c r="M197" s="2764">
        <v>1100</v>
      </c>
      <c r="N197" s="2765">
        <v>0.66</v>
      </c>
      <c r="O197" s="2765">
        <v>0.11</v>
      </c>
      <c r="P197" s="2765">
        <f t="shared" si="36"/>
        <v>0.22999999999999998</v>
      </c>
      <c r="Q197" s="1683" t="s">
        <v>1926</v>
      </c>
      <c r="R197" s="1322">
        <f t="shared" si="37"/>
        <v>5.2148188524590161E-2</v>
      </c>
      <c r="S197" s="444"/>
    </row>
    <row r="198" spans="2:19" ht="14.25" customHeight="1">
      <c r="B198" s="444"/>
      <c r="C198" s="444"/>
      <c r="D198" s="1317" t="s">
        <v>1905</v>
      </c>
      <c r="E198" s="1302" t="s">
        <v>1617</v>
      </c>
      <c r="F198" s="1318"/>
      <c r="G198" s="444">
        <f>メイン!R55</f>
        <v>0</v>
      </c>
      <c r="H198" s="444">
        <f t="shared" si="38"/>
        <v>0</v>
      </c>
      <c r="I198" s="2764">
        <v>7250</v>
      </c>
      <c r="J198" s="2764">
        <v>7250</v>
      </c>
      <c r="K198" s="2764">
        <v>5000</v>
      </c>
      <c r="L198" s="2764">
        <v>2950</v>
      </c>
      <c r="M198" s="2764">
        <v>2950</v>
      </c>
      <c r="N198" s="2765">
        <v>0.73</v>
      </c>
      <c r="O198" s="2765">
        <v>0.04</v>
      </c>
      <c r="P198" s="2765">
        <f t="shared" si="36"/>
        <v>0.23</v>
      </c>
      <c r="Q198" s="1683" t="s">
        <v>1926</v>
      </c>
      <c r="R198" s="1322">
        <f t="shared" si="37"/>
        <v>5.1939852459016389E-2</v>
      </c>
      <c r="S198" s="444"/>
    </row>
    <row r="199" spans="2:19" ht="14.25" customHeight="1">
      <c r="B199" s="444"/>
      <c r="C199" s="444"/>
      <c r="D199" s="1324"/>
      <c r="E199" s="2766" t="s">
        <v>3829</v>
      </c>
      <c r="F199" s="1318"/>
      <c r="G199" s="444"/>
      <c r="H199" s="444"/>
      <c r="I199" s="2764">
        <v>12900</v>
      </c>
      <c r="J199" s="2764">
        <v>12900</v>
      </c>
      <c r="K199" s="2764">
        <v>12900</v>
      </c>
      <c r="L199" s="2764">
        <v>12900</v>
      </c>
      <c r="M199" s="2764">
        <v>12900</v>
      </c>
      <c r="N199" s="2765">
        <v>1</v>
      </c>
      <c r="O199" s="2765">
        <v>0</v>
      </c>
      <c r="P199" s="2765">
        <f t="shared" si="36"/>
        <v>0</v>
      </c>
      <c r="Q199" s="1683" t="s">
        <v>1926</v>
      </c>
      <c r="R199" s="1322">
        <f t="shared" si="37"/>
        <v>4.6823770491803279E-2</v>
      </c>
      <c r="S199" s="444"/>
    </row>
    <row r="200" spans="2:19" ht="14.25" customHeight="1">
      <c r="B200" s="444"/>
      <c r="C200" s="444"/>
      <c r="D200" s="1324"/>
      <c r="E200" s="2766" t="s">
        <v>3830</v>
      </c>
      <c r="F200" s="1318"/>
      <c r="G200" s="444"/>
      <c r="H200" s="444"/>
      <c r="I200" s="2764">
        <v>2850</v>
      </c>
      <c r="J200" s="2764">
        <v>2850</v>
      </c>
      <c r="K200" s="2764">
        <v>2850</v>
      </c>
      <c r="L200" s="2764">
        <v>2850</v>
      </c>
      <c r="M200" s="2764">
        <v>2850</v>
      </c>
      <c r="N200" s="2765">
        <v>0.71</v>
      </c>
      <c r="O200" s="2765">
        <v>0.01</v>
      </c>
      <c r="P200" s="2765">
        <f t="shared" si="36"/>
        <v>0.28000000000000003</v>
      </c>
      <c r="Q200" s="1683" t="s">
        <v>1926</v>
      </c>
      <c r="R200" s="1322">
        <f t="shared" si="37"/>
        <v>5.2936877049180327E-2</v>
      </c>
      <c r="S200" s="444"/>
    </row>
    <row r="201" spans="2:19" ht="14.25" customHeight="1">
      <c r="B201" s="444"/>
      <c r="C201" s="444"/>
      <c r="D201" s="1323"/>
      <c r="E201" s="1302" t="s">
        <v>1906</v>
      </c>
      <c r="F201" s="1318"/>
      <c r="G201" s="444">
        <f>メイン!R58</f>
        <v>0</v>
      </c>
      <c r="H201" s="444">
        <f t="shared" si="38"/>
        <v>0</v>
      </c>
      <c r="I201" s="2764">
        <v>2300</v>
      </c>
      <c r="J201" s="2764">
        <v>2300</v>
      </c>
      <c r="K201" s="2764">
        <v>2300</v>
      </c>
      <c r="L201" s="2764">
        <v>2300</v>
      </c>
      <c r="M201" s="2764">
        <v>2300</v>
      </c>
      <c r="N201" s="2765">
        <v>0.89</v>
      </c>
      <c r="O201" s="2765">
        <v>0.03</v>
      </c>
      <c r="P201" s="2765">
        <f t="shared" si="36"/>
        <v>7.9999999999999988E-2</v>
      </c>
      <c r="Q201" s="1683" t="s">
        <v>1926</v>
      </c>
      <c r="R201" s="1322">
        <f t="shared" si="37"/>
        <v>4.8651155737704926E-2</v>
      </c>
      <c r="S201" s="444"/>
    </row>
    <row r="202" spans="2:19" ht="14.25" customHeight="1">
      <c r="B202" s="444"/>
      <c r="C202" s="444"/>
      <c r="D202" s="1302" t="s">
        <v>380</v>
      </c>
      <c r="E202" s="1303"/>
      <c r="F202" s="1318"/>
      <c r="G202" s="444">
        <f>メイン!R59</f>
        <v>0</v>
      </c>
      <c r="H202" s="444">
        <f t="shared" si="38"/>
        <v>0</v>
      </c>
      <c r="I202" s="2764">
        <v>19350</v>
      </c>
      <c r="J202" s="2764">
        <v>11950</v>
      </c>
      <c r="K202" s="2764">
        <v>3150</v>
      </c>
      <c r="L202" s="2764">
        <v>3150</v>
      </c>
      <c r="M202" s="2764">
        <v>3150</v>
      </c>
      <c r="N202" s="2765">
        <v>0.51</v>
      </c>
      <c r="O202" s="2765">
        <v>0.33</v>
      </c>
      <c r="P202" s="2765">
        <f t="shared" si="36"/>
        <v>0.15999999999999998</v>
      </c>
      <c r="Q202" s="1683" t="s">
        <v>1926</v>
      </c>
      <c r="R202" s="1322">
        <f t="shared" si="37"/>
        <v>5.1282122950819672E-2</v>
      </c>
      <c r="S202" s="444"/>
    </row>
    <row r="203" spans="2:19" ht="14.25" customHeight="1">
      <c r="B203" s="444"/>
      <c r="C203" s="444"/>
      <c r="D203" s="1317" t="s">
        <v>1914</v>
      </c>
      <c r="E203" s="1302" t="s">
        <v>1915</v>
      </c>
      <c r="F203" s="1318"/>
      <c r="G203" s="444">
        <f>メイン!R60</f>
        <v>0</v>
      </c>
      <c r="H203" s="444">
        <f t="shared" si="38"/>
        <v>0</v>
      </c>
      <c r="I203" s="2764">
        <v>1350</v>
      </c>
      <c r="J203" s="2764">
        <v>1350</v>
      </c>
      <c r="K203" s="2764">
        <v>1350</v>
      </c>
      <c r="L203" s="2764">
        <v>1400</v>
      </c>
      <c r="M203" s="2764">
        <v>1400</v>
      </c>
      <c r="N203" s="2765">
        <v>0.73</v>
      </c>
      <c r="O203" s="2765">
        <v>0.13</v>
      </c>
      <c r="P203" s="2765">
        <f t="shared" si="36"/>
        <v>0.14000000000000001</v>
      </c>
      <c r="Q203" s="1683" t="s">
        <v>1926</v>
      </c>
      <c r="R203" s="1322">
        <f t="shared" si="37"/>
        <v>5.0252352459016394E-2</v>
      </c>
      <c r="S203" s="444"/>
    </row>
    <row r="204" spans="2:19" ht="14.25" customHeight="1">
      <c r="B204" s="444"/>
      <c r="C204" s="444"/>
      <c r="D204" s="1324"/>
      <c r="E204" s="1302" t="s">
        <v>1916</v>
      </c>
      <c r="F204" s="1318"/>
      <c r="G204" s="444">
        <f>メイン!R61</f>
        <v>0</v>
      </c>
      <c r="H204" s="444">
        <f t="shared" si="38"/>
        <v>0</v>
      </c>
      <c r="I204" s="2764">
        <v>1100</v>
      </c>
      <c r="J204" s="2764">
        <v>1100</v>
      </c>
      <c r="K204" s="2764">
        <v>1100</v>
      </c>
      <c r="L204" s="2764">
        <v>1100</v>
      </c>
      <c r="M204" s="2764">
        <v>1100</v>
      </c>
      <c r="N204" s="2765">
        <v>0.77</v>
      </c>
      <c r="O204" s="2765">
        <v>7.0000000000000007E-2</v>
      </c>
      <c r="P204" s="2765">
        <f t="shared" si="36"/>
        <v>0.15999999999999998</v>
      </c>
      <c r="Q204" s="1683" t="s">
        <v>1926</v>
      </c>
      <c r="R204" s="1322">
        <f t="shared" si="37"/>
        <v>5.0508303278688528E-2</v>
      </c>
      <c r="S204" s="444"/>
    </row>
    <row r="205" spans="2:19" ht="14.25" customHeight="1">
      <c r="B205" s="444"/>
      <c r="C205" s="444"/>
      <c r="D205" s="1324"/>
      <c r="E205" s="1295" t="s">
        <v>1917</v>
      </c>
      <c r="F205" s="1297"/>
      <c r="G205" s="444">
        <f>メイン!R62</f>
        <v>0</v>
      </c>
      <c r="H205" s="444">
        <f t="shared" si="38"/>
        <v>0</v>
      </c>
      <c r="I205" s="2764">
        <v>1850</v>
      </c>
      <c r="J205" s="2764">
        <v>1850</v>
      </c>
      <c r="K205" s="2764">
        <v>1850</v>
      </c>
      <c r="L205" s="2764">
        <v>1850</v>
      </c>
      <c r="M205" s="2764">
        <v>1850</v>
      </c>
      <c r="N205" s="2765">
        <v>0.69</v>
      </c>
      <c r="O205" s="2765">
        <v>0.16</v>
      </c>
      <c r="P205" s="2765">
        <f t="shared" si="36"/>
        <v>0.15000000000000005</v>
      </c>
      <c r="Q205" s="1683" t="s">
        <v>1926</v>
      </c>
      <c r="R205" s="1322">
        <f t="shared" si="37"/>
        <v>5.0558901639344261E-2</v>
      </c>
      <c r="S205" s="444"/>
    </row>
    <row r="206" spans="2:19" ht="14.25" customHeight="1">
      <c r="B206" s="444"/>
      <c r="C206" s="444"/>
      <c r="D206" s="1302" t="s">
        <v>385</v>
      </c>
      <c r="E206" s="1303"/>
      <c r="F206" s="1318"/>
      <c r="G206" s="444">
        <f>メイン!R63</f>
        <v>0</v>
      </c>
      <c r="H206" s="444">
        <f t="shared" si="38"/>
        <v>0</v>
      </c>
      <c r="I206" s="1319">
        <v>500</v>
      </c>
      <c r="J206" s="1319">
        <v>500</v>
      </c>
      <c r="K206" s="1319">
        <v>500</v>
      </c>
      <c r="L206" s="1319">
        <v>500</v>
      </c>
      <c r="M206" s="1319">
        <v>500</v>
      </c>
      <c r="N206" s="1682">
        <v>1</v>
      </c>
      <c r="O206" s="1682">
        <v>0</v>
      </c>
      <c r="P206" s="2765">
        <f t="shared" si="36"/>
        <v>0</v>
      </c>
      <c r="Q206" s="1683" t="s">
        <v>1926</v>
      </c>
      <c r="R206" s="1322">
        <f t="shared" si="37"/>
        <v>4.6823770491803279E-2</v>
      </c>
      <c r="S206" s="444"/>
    </row>
    <row r="207" spans="2:19" ht="14.25" customHeight="1">
      <c r="B207" s="444"/>
      <c r="C207" s="444"/>
      <c r="D207" s="1302" t="s">
        <v>382</v>
      </c>
      <c r="E207" s="1303"/>
      <c r="F207" s="1318"/>
      <c r="G207" s="444">
        <f>メイン!R64</f>
        <v>0</v>
      </c>
      <c r="H207" s="444">
        <f t="shared" si="38"/>
        <v>0</v>
      </c>
      <c r="I207" s="2764">
        <v>2200</v>
      </c>
      <c r="J207" s="2764">
        <v>2200</v>
      </c>
      <c r="K207" s="2764">
        <v>2200</v>
      </c>
      <c r="L207" s="2764">
        <v>2450</v>
      </c>
      <c r="M207" s="2764">
        <v>2950</v>
      </c>
      <c r="N207" s="2765">
        <v>0.48</v>
      </c>
      <c r="O207" s="2765">
        <v>0.13</v>
      </c>
      <c r="P207" s="2765">
        <f t="shared" si="36"/>
        <v>0.39</v>
      </c>
      <c r="Q207" s="1683" t="s">
        <v>1926</v>
      </c>
      <c r="R207" s="1322">
        <f t="shared" si="37"/>
        <v>5.5683909836065575E-2</v>
      </c>
      <c r="S207" s="444"/>
    </row>
    <row r="208" spans="2:19">
      <c r="B208" s="444"/>
      <c r="C208" s="444"/>
      <c r="D208" s="1302" t="s">
        <v>1907</v>
      </c>
      <c r="E208" s="1303"/>
      <c r="F208" s="1318"/>
      <c r="G208" s="444">
        <f>メイン!R65</f>
        <v>0</v>
      </c>
      <c r="H208" s="444">
        <f t="shared" si="38"/>
        <v>0</v>
      </c>
      <c r="I208" s="2764">
        <v>2450</v>
      </c>
      <c r="J208" s="2764">
        <v>2450</v>
      </c>
      <c r="K208" s="2764">
        <v>2450</v>
      </c>
      <c r="L208" s="2764">
        <v>2750</v>
      </c>
      <c r="M208" s="2764">
        <v>2750</v>
      </c>
      <c r="N208" s="2765">
        <v>0.42</v>
      </c>
      <c r="O208" s="2765">
        <v>0.14000000000000001</v>
      </c>
      <c r="P208" s="2765">
        <f t="shared" si="36"/>
        <v>0.44000000000000006</v>
      </c>
      <c r="Q208" s="1683" t="s">
        <v>1926</v>
      </c>
      <c r="R208" s="1322">
        <f t="shared" si="37"/>
        <v>5.6799983606557379E-2</v>
      </c>
      <c r="S208" s="444"/>
    </row>
    <row r="209" spans="2:27">
      <c r="B209" s="444"/>
      <c r="C209" s="444"/>
      <c r="D209" s="1306"/>
      <c r="E209" s="1313"/>
      <c r="F209" s="1314"/>
      <c r="G209" s="444">
        <f>メイン!R66</f>
        <v>0</v>
      </c>
      <c r="H209" s="444">
        <f>IF(G209&gt;=$I$188,I209,IF(G209&gt;=$J$188,J209,IF(G209&gt;=$K$188,K209,IF(G209&gt;=$L$188,L209,IF(G209&gt;=$M$188,M209,0)))))</f>
        <v>0</v>
      </c>
      <c r="I209" s="1319"/>
      <c r="J209" s="1319"/>
      <c r="K209" s="1319"/>
      <c r="L209" s="1319"/>
      <c r="M209" s="1319"/>
      <c r="N209" s="1684"/>
      <c r="O209" s="1685"/>
      <c r="P209" s="1685"/>
      <c r="Q209" s="1686"/>
      <c r="R209" s="1322">
        <f t="shared" si="37"/>
        <v>0</v>
      </c>
      <c r="S209" s="444"/>
    </row>
    <row r="210" spans="2:27">
      <c r="B210" s="444"/>
      <c r="C210" s="444"/>
      <c r="D210" s="1311" t="s">
        <v>1722</v>
      </c>
      <c r="E210" s="1312" t="s">
        <v>1938</v>
      </c>
      <c r="F210" s="1314"/>
      <c r="G210" s="444"/>
      <c r="H210" s="444" t="str">
        <f>IF(G210&gt;=$I$188,I210,IF(G210&gt;=$J$188,J210,IF(G210&gt;=$K$188,K210,IF(G210&gt;=$L$188,L210,IF(G210&gt;=$M$188,M210,0)))))</f>
        <v>-</v>
      </c>
      <c r="I210" s="1356" t="s">
        <v>1926</v>
      </c>
      <c r="J210" s="1356" t="s">
        <v>1926</v>
      </c>
      <c r="K210" s="1356" t="s">
        <v>1926</v>
      </c>
      <c r="L210" s="1356" t="s">
        <v>1926</v>
      </c>
      <c r="M210" s="1356" t="s">
        <v>1926</v>
      </c>
      <c r="N210" s="2765">
        <v>0.51</v>
      </c>
      <c r="O210" s="2765">
        <v>0.2</v>
      </c>
      <c r="P210" s="2765">
        <v>0.11</v>
      </c>
      <c r="Q210" s="2765">
        <v>0.18</v>
      </c>
      <c r="R210" s="1322">
        <f t="shared" si="37"/>
        <v>5.2000622950819669E-2</v>
      </c>
      <c r="S210" s="444"/>
    </row>
    <row r="211" spans="2:27">
      <c r="B211" s="444"/>
      <c r="C211" s="444"/>
      <c r="D211" s="1326"/>
      <c r="E211" s="1302" t="s">
        <v>388</v>
      </c>
      <c r="F211" s="1318"/>
      <c r="G211" s="444"/>
      <c r="H211" s="444">
        <f>IF(G211&gt;=$I$188,I211,IF(G211&gt;=$J$188,J211,IF(G211&gt;=$K$188,K211,IF(G211&gt;=$L$188,L211,IF(G211&gt;=$M$188,M211,0)))))</f>
        <v>0</v>
      </c>
      <c r="I211" s="3834" t="s">
        <v>3828</v>
      </c>
      <c r="J211" s="3835"/>
      <c r="K211" s="3835"/>
      <c r="L211" s="3835"/>
      <c r="M211" s="3836"/>
      <c r="N211" s="1320">
        <v>1</v>
      </c>
      <c r="O211" s="1320">
        <v>0</v>
      </c>
      <c r="P211" s="1320">
        <v>0</v>
      </c>
      <c r="Q211" s="1321" t="s">
        <v>1926</v>
      </c>
      <c r="R211" s="1322">
        <f t="shared" si="37"/>
        <v>4.6823770491803279E-2</v>
      </c>
      <c r="S211" s="444"/>
    </row>
    <row r="212" spans="2:27" hidden="1">
      <c r="B212" s="444"/>
      <c r="C212" s="444"/>
      <c r="D212" s="1327" t="s">
        <v>1939</v>
      </c>
      <c r="E212" s="1303"/>
      <c r="F212" s="1318"/>
      <c r="G212" s="444"/>
      <c r="H212" s="444"/>
      <c r="I212" s="1356" t="s">
        <v>1926</v>
      </c>
      <c r="J212" s="1356" t="s">
        <v>1926</v>
      </c>
      <c r="K212" s="1356" t="s">
        <v>1926</v>
      </c>
      <c r="L212" s="1356" t="s">
        <v>1926</v>
      </c>
      <c r="M212" s="1356" t="s">
        <v>1926</v>
      </c>
      <c r="N212" s="1320"/>
      <c r="O212" s="1320"/>
      <c r="P212" s="1320"/>
      <c r="Q212" s="1321" t="s">
        <v>1926</v>
      </c>
      <c r="R212" s="1322">
        <f>SUMPRODUCT(N212:Q212,$N$188:$Q$188)</f>
        <v>0</v>
      </c>
      <c r="S212" s="444"/>
    </row>
    <row r="213" spans="2:27">
      <c r="B213" s="444"/>
      <c r="C213" s="444"/>
      <c r="D213" s="1341" t="s">
        <v>835</v>
      </c>
      <c r="E213" s="1307" t="s">
        <v>2692</v>
      </c>
      <c r="F213" s="444"/>
      <c r="G213" s="444"/>
      <c r="H213" s="444"/>
      <c r="I213" s="444"/>
      <c r="J213" s="444"/>
      <c r="K213" s="444"/>
      <c r="L213" s="444"/>
      <c r="M213" s="444"/>
      <c r="N213" s="444"/>
      <c r="O213" s="444"/>
      <c r="P213" s="1307" t="s">
        <v>1927</v>
      </c>
      <c r="Q213" s="444"/>
      <c r="R213" s="444"/>
      <c r="S213" s="444"/>
    </row>
    <row r="214" spans="2:27" ht="14.25" customHeight="1">
      <c r="B214" s="444"/>
      <c r="C214" s="444"/>
      <c r="D214" s="444"/>
      <c r="E214" s="1307" t="s">
        <v>2715</v>
      </c>
      <c r="F214" s="444"/>
      <c r="G214" s="444"/>
      <c r="H214" s="444"/>
      <c r="I214" s="444"/>
      <c r="J214" s="444"/>
      <c r="K214" s="444"/>
      <c r="L214" s="444"/>
      <c r="M214" s="444"/>
      <c r="N214" s="444"/>
      <c r="O214" s="444"/>
      <c r="P214" s="1307"/>
      <c r="Q214" s="444"/>
      <c r="R214" s="444"/>
      <c r="S214" s="444"/>
    </row>
    <row r="215" spans="2:27" ht="14.25" customHeight="1">
      <c r="B215" s="444"/>
      <c r="C215" s="444"/>
      <c r="D215" s="444"/>
      <c r="E215" s="1614" t="s">
        <v>2716</v>
      </c>
      <c r="F215" s="444"/>
      <c r="G215" s="444"/>
      <c r="H215" s="444"/>
      <c r="I215" s="444"/>
      <c r="J215" s="444"/>
      <c r="K215" s="444"/>
      <c r="L215" s="444"/>
      <c r="M215" s="444"/>
      <c r="N215" s="444"/>
      <c r="O215" s="444"/>
      <c r="P215" s="1307"/>
      <c r="Q215" s="444"/>
      <c r="R215" s="444"/>
      <c r="S215" s="444"/>
    </row>
    <row r="216" spans="2:27" ht="6.75" customHeight="1">
      <c r="B216" s="444"/>
      <c r="C216" s="444"/>
      <c r="D216" s="444"/>
      <c r="E216" s="444"/>
      <c r="F216" s="444"/>
      <c r="G216" s="444"/>
      <c r="H216" s="444"/>
      <c r="I216" s="444"/>
      <c r="J216" s="444"/>
      <c r="K216" s="444"/>
      <c r="L216" s="444"/>
      <c r="M216" s="444"/>
      <c r="N216" s="444"/>
      <c r="O216" s="444"/>
      <c r="P216" s="444"/>
      <c r="Q216" s="444"/>
      <c r="R216" s="444"/>
      <c r="S216" s="444"/>
    </row>
    <row r="217" spans="2:27" ht="14.25" customHeight="1">
      <c r="B217" s="444"/>
      <c r="C217" s="444"/>
      <c r="D217" s="1351" t="s">
        <v>2795</v>
      </c>
      <c r="E217" s="444"/>
      <c r="F217" s="444"/>
      <c r="G217" s="444"/>
      <c r="H217" s="444"/>
      <c r="I217" s="444"/>
      <c r="J217" s="444"/>
      <c r="K217" s="444"/>
      <c r="L217" s="444"/>
      <c r="M217" s="444"/>
      <c r="O217" s="444"/>
      <c r="P217" s="444"/>
      <c r="Q217" s="1341" t="s">
        <v>2439</v>
      </c>
      <c r="R217" s="444"/>
      <c r="S217" s="444"/>
    </row>
    <row r="218" spans="2:27" ht="14.25" customHeight="1">
      <c r="B218" s="444"/>
      <c r="C218" s="444"/>
      <c r="D218" s="1327" t="s">
        <v>1928</v>
      </c>
      <c r="E218" s="1328"/>
      <c r="F218" s="1305" t="s">
        <v>2779</v>
      </c>
      <c r="G218" s="444"/>
      <c r="H218" s="444"/>
      <c r="I218" s="1298" t="s">
        <v>1939</v>
      </c>
      <c r="J218" s="1327" t="s">
        <v>1929</v>
      </c>
      <c r="K218" s="1328"/>
      <c r="L218" s="1328"/>
      <c r="M218" s="1328"/>
      <c r="N218" s="1328"/>
      <c r="O218" s="1328"/>
      <c r="P218" s="1336" t="s">
        <v>2796</v>
      </c>
      <c r="Q218" s="1304"/>
      <c r="R218" s="444"/>
      <c r="T218" s="1358" t="s">
        <v>2454</v>
      </c>
      <c r="U218" s="1357"/>
      <c r="V218" s="1357"/>
      <c r="W218" s="1357"/>
      <c r="X218" s="1357"/>
      <c r="Y218" s="1357"/>
      <c r="Z218" s="1357"/>
      <c r="AA218" s="1357"/>
    </row>
    <row r="219" spans="2:27" ht="14.25" customHeight="1">
      <c r="B219" s="444"/>
      <c r="C219" s="444"/>
      <c r="D219" s="1298" t="s">
        <v>1930</v>
      </c>
      <c r="E219" s="1298" t="s">
        <v>1931</v>
      </c>
      <c r="F219" s="1311" t="s">
        <v>1114</v>
      </c>
      <c r="G219" s="444"/>
      <c r="H219" s="444">
        <v>1</v>
      </c>
      <c r="I219" s="1305">
        <f>メイン!K19</f>
        <v>6</v>
      </c>
      <c r="J219" s="1298">
        <v>1</v>
      </c>
      <c r="K219" s="1298">
        <v>2</v>
      </c>
      <c r="L219" s="1298">
        <v>3</v>
      </c>
      <c r="M219" s="1298">
        <v>4</v>
      </c>
      <c r="N219" s="1298">
        <v>5</v>
      </c>
      <c r="O219" s="1298">
        <v>6</v>
      </c>
      <c r="P219" s="1298">
        <v>7</v>
      </c>
      <c r="Q219" s="1298">
        <v>8</v>
      </c>
      <c r="R219" s="444"/>
      <c r="T219" s="1359">
        <v>1</v>
      </c>
      <c r="U219" s="1359">
        <v>2</v>
      </c>
      <c r="V219" s="1359">
        <v>3</v>
      </c>
      <c r="W219" s="1359">
        <v>4</v>
      </c>
      <c r="X219" s="1359">
        <v>5</v>
      </c>
      <c r="Y219" s="1359">
        <v>6</v>
      </c>
      <c r="Z219" s="1359">
        <v>7</v>
      </c>
      <c r="AA219" s="1359">
        <v>8</v>
      </c>
    </row>
    <row r="220" spans="2:27" ht="14.25" customHeight="1">
      <c r="B220" s="444"/>
      <c r="C220" s="444"/>
      <c r="D220" s="1311"/>
      <c r="E220" s="444"/>
      <c r="F220" s="1298" t="s">
        <v>1976</v>
      </c>
      <c r="G220" s="1298" t="s">
        <v>2440</v>
      </c>
      <c r="H220" s="1298">
        <v>2</v>
      </c>
      <c r="I220" s="1329">
        <f>HLOOKUP($I$219,$J$219:$Q$237,H220)</f>
        <v>1119</v>
      </c>
      <c r="J220" s="1329">
        <v>1510</v>
      </c>
      <c r="K220" s="1329">
        <v>1315</v>
      </c>
      <c r="L220" s="1329">
        <v>1134</v>
      </c>
      <c r="M220" s="1329">
        <v>1316</v>
      </c>
      <c r="N220" s="1329">
        <v>1190</v>
      </c>
      <c r="O220" s="1329">
        <v>1119</v>
      </c>
      <c r="P220" s="1329">
        <v>985</v>
      </c>
      <c r="Q220" s="1329">
        <v>937</v>
      </c>
      <c r="R220" s="444"/>
      <c r="T220" s="1360">
        <f t="shared" ref="T220:AA220" si="39">MAX(J220:J237)</f>
        <v>1777</v>
      </c>
      <c r="U220" s="1360">
        <f t="shared" si="39"/>
        <v>1542</v>
      </c>
      <c r="V220" s="1360">
        <f t="shared" si="39"/>
        <v>1325</v>
      </c>
      <c r="W220" s="1360">
        <f t="shared" si="39"/>
        <v>1543</v>
      </c>
      <c r="X220" s="1360">
        <f t="shared" si="39"/>
        <v>1393</v>
      </c>
      <c r="Y220" s="1360">
        <f t="shared" si="39"/>
        <v>1308</v>
      </c>
      <c r="Z220" s="1360">
        <f t="shared" si="39"/>
        <v>1147</v>
      </c>
      <c r="AA220" s="1360">
        <f t="shared" si="39"/>
        <v>1089</v>
      </c>
    </row>
    <row r="221" spans="2:27" ht="14.25" customHeight="1">
      <c r="B221" s="444"/>
      <c r="C221" s="444"/>
      <c r="D221" s="1311" t="s">
        <v>1934</v>
      </c>
      <c r="E221" s="444" t="s">
        <v>1932</v>
      </c>
      <c r="F221" s="1298" t="s">
        <v>1933</v>
      </c>
      <c r="G221" s="1298" t="s">
        <v>1115</v>
      </c>
      <c r="H221" s="1298">
        <v>3</v>
      </c>
      <c r="I221" s="1329">
        <f t="shared" ref="I221:I236" si="40">HLOOKUP($I$219,$J$219:$Q$237,H221)</f>
        <v>1308</v>
      </c>
      <c r="J221" s="1329">
        <v>1777</v>
      </c>
      <c r="K221" s="1329">
        <v>1542</v>
      </c>
      <c r="L221" s="1329">
        <v>1325</v>
      </c>
      <c r="M221" s="1329">
        <v>1543</v>
      </c>
      <c r="N221" s="1329">
        <v>1393</v>
      </c>
      <c r="O221" s="1329">
        <v>1308</v>
      </c>
      <c r="P221" s="1329">
        <v>1147</v>
      </c>
      <c r="Q221" s="1329">
        <v>1089</v>
      </c>
      <c r="R221" s="444"/>
      <c r="T221" s="1361">
        <f>J220</f>
        <v>1510</v>
      </c>
      <c r="U221" s="1361">
        <f>K220</f>
        <v>1315</v>
      </c>
      <c r="V221" s="1361">
        <f>L226</f>
        <v>1069</v>
      </c>
      <c r="W221" s="1361">
        <f>M226</f>
        <v>1218</v>
      </c>
      <c r="X221" s="1361">
        <f>N226</f>
        <v>1080</v>
      </c>
      <c r="Y221" s="1361">
        <f>O226</f>
        <v>1081</v>
      </c>
      <c r="Z221" s="1361">
        <f>P226</f>
        <v>965</v>
      </c>
      <c r="AA221" s="1361">
        <f>Q220</f>
        <v>937</v>
      </c>
    </row>
    <row r="222" spans="2:27" ht="14.25" customHeight="1">
      <c r="B222" s="444"/>
      <c r="C222" s="444"/>
      <c r="D222" s="1311"/>
      <c r="E222" s="444"/>
      <c r="F222" s="3177" t="s">
        <v>4259</v>
      </c>
      <c r="G222" s="1298" t="s">
        <v>2573</v>
      </c>
      <c r="H222" s="444">
        <v>4</v>
      </c>
      <c r="I222" s="1329">
        <f t="shared" si="40"/>
        <v>1119</v>
      </c>
      <c r="J222" s="1329">
        <v>1510</v>
      </c>
      <c r="K222" s="1329">
        <v>1315</v>
      </c>
      <c r="L222" s="1329">
        <v>1134</v>
      </c>
      <c r="M222" s="1329">
        <v>1316</v>
      </c>
      <c r="N222" s="1329">
        <v>1190</v>
      </c>
      <c r="O222" s="1329">
        <v>1119</v>
      </c>
      <c r="P222" s="1329">
        <v>985</v>
      </c>
      <c r="Q222" s="1329">
        <v>937</v>
      </c>
      <c r="R222" s="444"/>
      <c r="S222" s="444"/>
    </row>
    <row r="223" spans="2:27" ht="14.25" customHeight="1">
      <c r="B223" s="444"/>
      <c r="C223" s="444"/>
      <c r="D223" s="1352"/>
      <c r="E223" s="1305"/>
      <c r="F223" s="1304" t="s">
        <v>1976</v>
      </c>
      <c r="G223" s="1298" t="s">
        <v>2441</v>
      </c>
      <c r="H223" s="1298">
        <v>5</v>
      </c>
      <c r="I223" s="1329">
        <f t="shared" si="40"/>
        <v>926</v>
      </c>
      <c r="J223" s="1329">
        <v>1492</v>
      </c>
      <c r="K223" s="1329">
        <v>1299</v>
      </c>
      <c r="L223" s="1329">
        <v>1096</v>
      </c>
      <c r="M223" s="1329">
        <v>1242</v>
      </c>
      <c r="N223" s="1329">
        <v>1109</v>
      </c>
      <c r="O223" s="1329">
        <v>926</v>
      </c>
      <c r="P223" s="1329">
        <v>740</v>
      </c>
      <c r="Q223" s="1329">
        <v>525</v>
      </c>
      <c r="R223" s="444"/>
      <c r="S223" s="444"/>
    </row>
    <row r="224" spans="2:27" ht="14.25" customHeight="1">
      <c r="B224" s="444"/>
      <c r="C224" s="444"/>
      <c r="D224" s="1353" t="s">
        <v>1934</v>
      </c>
      <c r="E224" s="1311" t="s">
        <v>1935</v>
      </c>
      <c r="F224" s="1304" t="s">
        <v>1933</v>
      </c>
      <c r="G224" s="1298" t="s">
        <v>1116</v>
      </c>
      <c r="H224" s="1298">
        <v>6</v>
      </c>
      <c r="I224" s="1329">
        <f t="shared" si="40"/>
        <v>1076</v>
      </c>
      <c r="J224" s="1329">
        <v>1755</v>
      </c>
      <c r="K224" s="1329">
        <v>1523</v>
      </c>
      <c r="L224" s="1329">
        <v>1279</v>
      </c>
      <c r="M224" s="1329">
        <v>1455</v>
      </c>
      <c r="N224" s="1329">
        <v>1295</v>
      </c>
      <c r="O224" s="1329">
        <v>1076</v>
      </c>
      <c r="P224" s="1329">
        <v>852</v>
      </c>
      <c r="Q224" s="1329">
        <v>595</v>
      </c>
      <c r="R224" s="444"/>
      <c r="S224" s="444"/>
    </row>
    <row r="225" spans="2:19" ht="14.25" customHeight="1">
      <c r="B225" s="444"/>
      <c r="C225" s="444"/>
      <c r="D225" s="1354"/>
      <c r="E225" s="1326"/>
      <c r="F225" s="3177" t="s">
        <v>4259</v>
      </c>
      <c r="G225" s="1298" t="s">
        <v>2574</v>
      </c>
      <c r="H225" s="444">
        <v>7</v>
      </c>
      <c r="I225" s="1329">
        <f t="shared" si="40"/>
        <v>926</v>
      </c>
      <c r="J225" s="1329">
        <v>1492</v>
      </c>
      <c r="K225" s="1329">
        <v>1299</v>
      </c>
      <c r="L225" s="1329">
        <v>1096</v>
      </c>
      <c r="M225" s="1329">
        <v>1242</v>
      </c>
      <c r="N225" s="1329">
        <v>1109</v>
      </c>
      <c r="O225" s="1329">
        <v>926</v>
      </c>
      <c r="P225" s="1329">
        <v>740</v>
      </c>
      <c r="Q225" s="1329">
        <v>525</v>
      </c>
      <c r="R225" s="444"/>
      <c r="S225" s="444"/>
    </row>
    <row r="226" spans="2:19" ht="14.25" customHeight="1">
      <c r="B226" s="444"/>
      <c r="C226" s="444"/>
      <c r="D226" s="1305"/>
      <c r="E226" s="1305"/>
      <c r="F226" s="1298" t="s">
        <v>1976</v>
      </c>
      <c r="G226" s="1298" t="s">
        <v>2442</v>
      </c>
      <c r="H226" s="1298">
        <v>8</v>
      </c>
      <c r="I226" s="1329">
        <f t="shared" si="40"/>
        <v>1081</v>
      </c>
      <c r="J226" s="1329">
        <v>1252</v>
      </c>
      <c r="K226" s="1329">
        <v>1176</v>
      </c>
      <c r="L226" s="1329">
        <v>1069</v>
      </c>
      <c r="M226" s="1329">
        <v>1218</v>
      </c>
      <c r="N226" s="1329">
        <v>1080</v>
      </c>
      <c r="O226" s="1329">
        <v>1081</v>
      </c>
      <c r="P226" s="1329">
        <v>965</v>
      </c>
      <c r="Q226" s="1329">
        <v>937</v>
      </c>
      <c r="R226" s="444"/>
      <c r="S226" s="444"/>
    </row>
    <row r="227" spans="2:19" ht="14.25" customHeight="1">
      <c r="B227" s="444"/>
      <c r="C227" s="444"/>
      <c r="D227" s="1311" t="s">
        <v>1936</v>
      </c>
      <c r="E227" s="1311" t="s">
        <v>1932</v>
      </c>
      <c r="F227" s="1298" t="s">
        <v>1933</v>
      </c>
      <c r="G227" s="1298" t="s">
        <v>1117</v>
      </c>
      <c r="H227" s="1298">
        <v>9</v>
      </c>
      <c r="I227" s="1329">
        <f t="shared" si="40"/>
        <v>1261</v>
      </c>
      <c r="J227" s="1329">
        <v>1467</v>
      </c>
      <c r="K227" s="1329">
        <v>1376</v>
      </c>
      <c r="L227" s="1329">
        <v>1248</v>
      </c>
      <c r="M227" s="1329">
        <v>1426</v>
      </c>
      <c r="N227" s="1329">
        <v>1260</v>
      </c>
      <c r="O227" s="1329">
        <v>1261</v>
      </c>
      <c r="P227" s="1329">
        <v>1122</v>
      </c>
      <c r="Q227" s="1329">
        <v>1089</v>
      </c>
      <c r="R227" s="444"/>
      <c r="S227" s="444"/>
    </row>
    <row r="228" spans="2:19" ht="14.25" customHeight="1">
      <c r="B228" s="444"/>
      <c r="C228" s="444"/>
      <c r="D228" s="1311"/>
      <c r="E228" s="1311"/>
      <c r="F228" s="3177" t="s">
        <v>4259</v>
      </c>
      <c r="G228" s="1298" t="s">
        <v>2575</v>
      </c>
      <c r="H228" s="444">
        <v>10</v>
      </c>
      <c r="I228" s="1329">
        <f t="shared" si="40"/>
        <v>1081</v>
      </c>
      <c r="J228" s="1329">
        <v>1252</v>
      </c>
      <c r="K228" s="1329">
        <v>1176</v>
      </c>
      <c r="L228" s="1329">
        <v>1069</v>
      </c>
      <c r="M228" s="1329">
        <v>1218</v>
      </c>
      <c r="N228" s="1329">
        <v>1080</v>
      </c>
      <c r="O228" s="1329">
        <v>1081</v>
      </c>
      <c r="P228" s="1329">
        <v>965</v>
      </c>
      <c r="Q228" s="1329">
        <v>937</v>
      </c>
      <c r="R228" s="444"/>
      <c r="S228" s="444"/>
    </row>
    <row r="229" spans="2:19" ht="14.25" customHeight="1">
      <c r="B229" s="444"/>
      <c r="C229" s="444"/>
      <c r="D229" s="1352"/>
      <c r="E229" s="1305"/>
      <c r="F229" s="1304" t="s">
        <v>1976</v>
      </c>
      <c r="G229" s="1298" t="s">
        <v>2443</v>
      </c>
      <c r="H229" s="1298">
        <v>11</v>
      </c>
      <c r="I229" s="1329">
        <f t="shared" si="40"/>
        <v>887</v>
      </c>
      <c r="J229" s="1329">
        <v>1233</v>
      </c>
      <c r="K229" s="1329">
        <v>1160</v>
      </c>
      <c r="L229" s="1329">
        <v>1031</v>
      </c>
      <c r="M229" s="1329">
        <v>1144</v>
      </c>
      <c r="N229" s="1329">
        <v>998</v>
      </c>
      <c r="O229" s="1329">
        <v>887</v>
      </c>
      <c r="P229" s="1329">
        <v>720</v>
      </c>
      <c r="Q229" s="1329">
        <v>525</v>
      </c>
      <c r="R229" s="444"/>
      <c r="S229" s="444"/>
    </row>
    <row r="230" spans="2:19" ht="14.25" customHeight="1">
      <c r="B230" s="444"/>
      <c r="C230" s="444"/>
      <c r="D230" s="1353" t="s">
        <v>1936</v>
      </c>
      <c r="E230" s="1311" t="s">
        <v>1935</v>
      </c>
      <c r="F230" s="1304" t="s">
        <v>1933</v>
      </c>
      <c r="G230" s="1298" t="s">
        <v>1118</v>
      </c>
      <c r="H230" s="1298">
        <v>12</v>
      </c>
      <c r="I230" s="1329">
        <f t="shared" si="40"/>
        <v>1029</v>
      </c>
      <c r="J230" s="1329">
        <v>1444</v>
      </c>
      <c r="K230" s="1329">
        <v>1357</v>
      </c>
      <c r="L230" s="1329">
        <v>1202</v>
      </c>
      <c r="M230" s="1329">
        <v>1338</v>
      </c>
      <c r="N230" s="1329">
        <v>1163</v>
      </c>
      <c r="O230" s="1329">
        <v>1029</v>
      </c>
      <c r="P230" s="1329">
        <v>828</v>
      </c>
      <c r="Q230" s="1329">
        <v>595</v>
      </c>
      <c r="R230" s="444"/>
      <c r="S230" s="444"/>
    </row>
    <row r="231" spans="2:19">
      <c r="B231" s="444"/>
      <c r="C231" s="444"/>
      <c r="D231" s="1354"/>
      <c r="E231" s="1326"/>
      <c r="F231" s="3177" t="s">
        <v>4259</v>
      </c>
      <c r="G231" s="1298" t="s">
        <v>2576</v>
      </c>
      <c r="H231" s="444">
        <v>13</v>
      </c>
      <c r="I231" s="1329">
        <f t="shared" si="40"/>
        <v>887</v>
      </c>
      <c r="J231" s="1329">
        <v>1233</v>
      </c>
      <c r="K231" s="1329">
        <v>1160</v>
      </c>
      <c r="L231" s="1329">
        <v>1031</v>
      </c>
      <c r="M231" s="1329">
        <v>1144</v>
      </c>
      <c r="N231" s="1329">
        <v>998</v>
      </c>
      <c r="O231" s="1329">
        <v>887</v>
      </c>
      <c r="P231" s="1329">
        <v>720</v>
      </c>
      <c r="Q231" s="1329">
        <v>525</v>
      </c>
      <c r="R231" s="444"/>
      <c r="S231" s="444"/>
    </row>
    <row r="232" spans="2:19">
      <c r="B232" s="444"/>
      <c r="C232" s="444"/>
      <c r="D232" s="1305"/>
      <c r="E232" s="1340"/>
      <c r="F232" s="1298" t="s">
        <v>1976</v>
      </c>
      <c r="G232" s="1298" t="s">
        <v>2444</v>
      </c>
      <c r="H232" s="1298">
        <v>14</v>
      </c>
      <c r="I232" s="1329">
        <f t="shared" si="40"/>
        <v>870</v>
      </c>
      <c r="J232" s="1329">
        <v>957</v>
      </c>
      <c r="K232" s="1329">
        <v>905</v>
      </c>
      <c r="L232" s="1329">
        <v>839</v>
      </c>
      <c r="M232" s="1329">
        <v>924</v>
      </c>
      <c r="N232" s="1329">
        <v>813</v>
      </c>
      <c r="O232" s="1329">
        <v>870</v>
      </c>
      <c r="P232" s="1329">
        <v>848</v>
      </c>
      <c r="Q232" s="1329">
        <v>937</v>
      </c>
      <c r="R232" s="444"/>
      <c r="S232" s="444"/>
    </row>
    <row r="233" spans="2:19">
      <c r="B233" s="444"/>
      <c r="C233" s="444"/>
      <c r="D233" s="1311" t="s">
        <v>1937</v>
      </c>
      <c r="E233" s="1355" t="s">
        <v>1932</v>
      </c>
      <c r="F233" s="1298" t="s">
        <v>1933</v>
      </c>
      <c r="G233" s="1298" t="s">
        <v>1119</v>
      </c>
      <c r="H233" s="1298">
        <v>15</v>
      </c>
      <c r="I233" s="1329">
        <f t="shared" si="40"/>
        <v>1009</v>
      </c>
      <c r="J233" s="1329">
        <v>1113</v>
      </c>
      <c r="K233" s="1329">
        <v>1051</v>
      </c>
      <c r="L233" s="1329">
        <v>972</v>
      </c>
      <c r="M233" s="1329">
        <v>1073</v>
      </c>
      <c r="N233" s="1329">
        <v>940</v>
      </c>
      <c r="O233" s="1329">
        <v>1009</v>
      </c>
      <c r="P233" s="1329">
        <v>983</v>
      </c>
      <c r="Q233" s="1329">
        <v>1089</v>
      </c>
      <c r="R233" s="444"/>
      <c r="S233" s="444"/>
    </row>
    <row r="234" spans="2:19">
      <c r="B234" s="444"/>
      <c r="C234" s="444"/>
      <c r="D234" s="1311"/>
      <c r="E234" s="1355"/>
      <c r="F234" s="3177" t="s">
        <v>4259</v>
      </c>
      <c r="G234" s="1298" t="s">
        <v>2577</v>
      </c>
      <c r="H234" s="444">
        <v>16</v>
      </c>
      <c r="I234" s="1329">
        <f t="shared" si="40"/>
        <v>870</v>
      </c>
      <c r="J234" s="1329">
        <v>957</v>
      </c>
      <c r="K234" s="1329">
        <v>905</v>
      </c>
      <c r="L234" s="1329">
        <v>839</v>
      </c>
      <c r="M234" s="1329">
        <v>924</v>
      </c>
      <c r="N234" s="1329">
        <v>813</v>
      </c>
      <c r="O234" s="1329">
        <v>870</v>
      </c>
      <c r="P234" s="1329">
        <v>848</v>
      </c>
      <c r="Q234" s="1329">
        <v>937</v>
      </c>
      <c r="R234" s="444"/>
      <c r="S234" s="444"/>
    </row>
    <row r="235" spans="2:19">
      <c r="B235" s="444"/>
      <c r="C235" s="444"/>
      <c r="D235" s="1352"/>
      <c r="E235" s="1305"/>
      <c r="F235" s="1304" t="s">
        <v>1976</v>
      </c>
      <c r="G235" s="1298" t="s">
        <v>2445</v>
      </c>
      <c r="H235" s="1298">
        <v>17</v>
      </c>
      <c r="I235" s="1329">
        <f t="shared" si="40"/>
        <v>677</v>
      </c>
      <c r="J235" s="1329">
        <v>939</v>
      </c>
      <c r="K235" s="1329">
        <v>889</v>
      </c>
      <c r="L235" s="1329">
        <v>801</v>
      </c>
      <c r="M235" s="1329">
        <v>850</v>
      </c>
      <c r="N235" s="1329">
        <v>732</v>
      </c>
      <c r="O235" s="1329">
        <v>677</v>
      </c>
      <c r="P235" s="1329">
        <v>603</v>
      </c>
      <c r="Q235" s="1329">
        <v>525</v>
      </c>
      <c r="R235" s="444"/>
      <c r="S235" s="444"/>
    </row>
    <row r="236" spans="2:19">
      <c r="B236" s="444"/>
      <c r="C236" s="444"/>
      <c r="D236" s="1353" t="s">
        <v>1937</v>
      </c>
      <c r="E236" s="1311" t="s">
        <v>1935</v>
      </c>
      <c r="F236" s="1304" t="s">
        <v>1933</v>
      </c>
      <c r="G236" s="1298" t="s">
        <v>2446</v>
      </c>
      <c r="H236" s="1298">
        <v>18</v>
      </c>
      <c r="I236" s="1329">
        <f t="shared" si="40"/>
        <v>777</v>
      </c>
      <c r="J236" s="1329">
        <v>1091</v>
      </c>
      <c r="K236" s="1329">
        <v>1031</v>
      </c>
      <c r="L236" s="1329">
        <v>926</v>
      </c>
      <c r="M236" s="1329">
        <v>985</v>
      </c>
      <c r="N236" s="1329">
        <v>843</v>
      </c>
      <c r="O236" s="1329">
        <v>777</v>
      </c>
      <c r="P236" s="1329">
        <v>689</v>
      </c>
      <c r="Q236" s="1329">
        <v>595</v>
      </c>
      <c r="R236" s="444"/>
      <c r="S236" s="444"/>
    </row>
    <row r="237" spans="2:19">
      <c r="B237" s="444"/>
      <c r="C237" s="444"/>
      <c r="D237" s="1354"/>
      <c r="E237" s="1326"/>
      <c r="F237" s="3177" t="s">
        <v>4259</v>
      </c>
      <c r="G237" s="1298" t="s">
        <v>2578</v>
      </c>
      <c r="H237" s="1298">
        <v>19</v>
      </c>
      <c r="I237" s="1329">
        <f>HLOOKUP($I$219,$J$219:$Q$237,H237)</f>
        <v>677</v>
      </c>
      <c r="J237" s="1329">
        <v>939</v>
      </c>
      <c r="K237" s="1329">
        <v>889</v>
      </c>
      <c r="L237" s="1329">
        <v>801</v>
      </c>
      <c r="M237" s="1329">
        <v>850</v>
      </c>
      <c r="N237" s="1329">
        <v>732</v>
      </c>
      <c r="O237" s="1329">
        <v>677</v>
      </c>
      <c r="P237" s="1329">
        <v>603</v>
      </c>
      <c r="Q237" s="1329">
        <v>525</v>
      </c>
      <c r="R237" s="444"/>
      <c r="S237" s="444"/>
    </row>
    <row r="238" spans="2:19" hidden="1">
      <c r="B238" s="444"/>
      <c r="C238" s="444"/>
      <c r="D238" s="1330" t="e">
        <f>#REF!</f>
        <v>#REF!</v>
      </c>
      <c r="E238" s="1330" t="e">
        <f>#REF!</f>
        <v>#REF!</v>
      </c>
      <c r="F238" s="444" t="e">
        <f>#REF!</f>
        <v>#REF!</v>
      </c>
      <c r="G238" s="1362" t="str">
        <f>IFERROR(D238&amp;E238&amp;#REF!,"-")</f>
        <v>-</v>
      </c>
      <c r="H238" s="1362" t="str">
        <f>IFERROR(VLOOKUP(G238,G220:H237,2,0),"-")</f>
        <v>-</v>
      </c>
      <c r="I238" s="1363">
        <f>IF(H238="-",HLOOKUP($I$219,$T$219:$AA$221,2,FALSE),VLOOKUP(H238,$H$220:$I$237,2))</f>
        <v>1308</v>
      </c>
      <c r="J238" s="444"/>
      <c r="K238" s="444"/>
      <c r="L238" s="444"/>
      <c r="M238" s="444"/>
      <c r="N238" s="444"/>
      <c r="O238" s="444"/>
      <c r="P238" s="444"/>
      <c r="Q238" s="444"/>
      <c r="R238" s="444"/>
      <c r="S238" s="444"/>
    </row>
    <row r="239" spans="2:19" hidden="1">
      <c r="B239" s="444"/>
      <c r="C239" s="444"/>
      <c r="D239" s="444"/>
      <c r="E239" s="444"/>
      <c r="F239" s="444"/>
      <c r="G239" s="444" t="e">
        <f>D238&amp;E238&amp;0</f>
        <v>#REF!</v>
      </c>
      <c r="H239" s="1362" t="str">
        <f>IFERROR(VLOOKUP(G239,G220:H237,2,0),"-")</f>
        <v>-</v>
      </c>
      <c r="I239" s="1363">
        <f>IF(H239="-",HLOOKUP($I$219,$T$219:$AA$221,3,FALSE),VLOOKUP(H239,$H$220:$I$237,2))</f>
        <v>1081</v>
      </c>
      <c r="J239" s="444"/>
      <c r="K239" s="444"/>
      <c r="L239" s="444"/>
      <c r="M239" s="444"/>
      <c r="N239" s="444"/>
      <c r="O239" s="444"/>
      <c r="P239" s="444"/>
      <c r="Q239" s="444"/>
      <c r="R239" s="444"/>
      <c r="S239" s="444"/>
    </row>
    <row r="240" spans="2:19">
      <c r="B240" s="444"/>
      <c r="C240" s="444"/>
      <c r="D240" s="876"/>
      <c r="E240" s="877"/>
      <c r="F240" s="877"/>
      <c r="G240" s="877"/>
      <c r="H240" s="877"/>
      <c r="I240" s="933"/>
      <c r="J240" s="927"/>
      <c r="K240" s="877"/>
      <c r="L240" s="877"/>
      <c r="M240" s="877"/>
      <c r="N240" s="877"/>
      <c r="O240" s="877"/>
      <c r="P240" s="877"/>
      <c r="Q240" s="877"/>
      <c r="R240" s="444"/>
      <c r="S240" s="444"/>
    </row>
    <row r="241" spans="3:17">
      <c r="C241" s="937" t="s">
        <v>2420</v>
      </c>
      <c r="D241" s="877"/>
      <c r="E241" s="877"/>
      <c r="F241" s="877"/>
      <c r="G241" s="877"/>
      <c r="H241" s="877"/>
      <c r="I241" s="877"/>
      <c r="J241" s="877"/>
      <c r="K241" s="877"/>
      <c r="L241" s="877"/>
      <c r="M241" s="877"/>
      <c r="N241" s="877"/>
      <c r="O241" s="877"/>
      <c r="P241" s="877"/>
      <c r="Q241" s="877"/>
    </row>
    <row r="242" spans="3:17">
      <c r="C242" s="938"/>
      <c r="D242" s="877"/>
      <c r="E242" s="877"/>
      <c r="F242" s="877"/>
      <c r="G242" s="877"/>
      <c r="H242" s="877"/>
      <c r="I242" s="877"/>
      <c r="J242" s="877"/>
      <c r="K242" s="877"/>
      <c r="L242" s="877"/>
      <c r="M242" s="877"/>
      <c r="N242" s="877"/>
      <c r="O242" s="877"/>
      <c r="P242" s="877"/>
      <c r="Q242" s="877"/>
    </row>
    <row r="243" spans="3:17">
      <c r="C243" s="882" t="s">
        <v>2162</v>
      </c>
      <c r="D243" s="877"/>
      <c r="E243" s="877"/>
      <c r="F243" s="877"/>
      <c r="G243" s="877"/>
      <c r="H243" s="877"/>
      <c r="I243" s="884" t="s">
        <v>635</v>
      </c>
      <c r="J243" s="880"/>
      <c r="K243" s="885"/>
      <c r="L243" s="884" t="s">
        <v>634</v>
      </c>
      <c r="M243" s="880"/>
      <c r="N243" s="885"/>
      <c r="O243" s="884" t="s">
        <v>636</v>
      </c>
      <c r="P243" s="880"/>
      <c r="Q243" s="885"/>
    </row>
    <row r="244" spans="3:17">
      <c r="C244" s="877"/>
      <c r="D244" s="882" t="s">
        <v>2163</v>
      </c>
      <c r="E244" s="877"/>
      <c r="F244" s="877"/>
      <c r="G244" s="915"/>
      <c r="H244" s="915"/>
      <c r="I244" s="891" t="s">
        <v>425</v>
      </c>
      <c r="J244" s="891" t="s">
        <v>426</v>
      </c>
      <c r="K244" s="891" t="s">
        <v>427</v>
      </c>
      <c r="L244" s="891" t="s">
        <v>425</v>
      </c>
      <c r="M244" s="891" t="s">
        <v>426</v>
      </c>
      <c r="N244" s="891" t="s">
        <v>427</v>
      </c>
      <c r="O244" s="891" t="s">
        <v>425</v>
      </c>
      <c r="P244" s="891" t="s">
        <v>426</v>
      </c>
      <c r="Q244" s="891" t="s">
        <v>427</v>
      </c>
    </row>
    <row r="245" spans="3:17">
      <c r="C245" s="877"/>
      <c r="D245" s="877"/>
      <c r="E245" s="886" t="s">
        <v>428</v>
      </c>
      <c r="F245" s="934"/>
      <c r="G245" s="915">
        <v>1</v>
      </c>
      <c r="H245" s="915"/>
      <c r="I245" s="939">
        <v>60</v>
      </c>
      <c r="J245" s="939">
        <v>60</v>
      </c>
      <c r="K245" s="939">
        <v>60</v>
      </c>
      <c r="L245" s="939">
        <v>60</v>
      </c>
      <c r="M245" s="939">
        <v>60</v>
      </c>
      <c r="N245" s="939">
        <v>60</v>
      </c>
      <c r="O245" s="939">
        <v>60</v>
      </c>
      <c r="P245" s="939">
        <v>60</v>
      </c>
      <c r="Q245" s="939">
        <v>60</v>
      </c>
    </row>
    <row r="246" spans="3:17">
      <c r="C246" s="877"/>
      <c r="D246" s="877"/>
      <c r="E246" s="886" t="s">
        <v>378</v>
      </c>
      <c r="F246" s="934"/>
      <c r="G246" s="915">
        <v>2</v>
      </c>
      <c r="H246" s="915"/>
      <c r="I246" s="939">
        <v>60</v>
      </c>
      <c r="J246" s="939">
        <v>60</v>
      </c>
      <c r="K246" s="939">
        <v>60</v>
      </c>
      <c r="L246" s="939">
        <v>60</v>
      </c>
      <c r="M246" s="939">
        <v>60</v>
      </c>
      <c r="N246" s="939">
        <v>60</v>
      </c>
      <c r="O246" s="939">
        <v>60</v>
      </c>
      <c r="P246" s="939">
        <v>60</v>
      </c>
      <c r="Q246" s="939">
        <v>60</v>
      </c>
    </row>
    <row r="247" spans="3:17">
      <c r="C247" s="877"/>
      <c r="D247" s="877"/>
      <c r="E247" s="886" t="s">
        <v>379</v>
      </c>
      <c r="F247" s="934"/>
      <c r="G247" s="915">
        <v>3</v>
      </c>
      <c r="H247" s="915"/>
      <c r="I247" s="939">
        <v>30</v>
      </c>
      <c r="J247" s="939">
        <v>30</v>
      </c>
      <c r="K247" s="939">
        <v>30</v>
      </c>
      <c r="L247" s="939">
        <v>30</v>
      </c>
      <c r="M247" s="939">
        <v>30</v>
      </c>
      <c r="N247" s="939">
        <v>30</v>
      </c>
      <c r="O247" s="939">
        <v>30</v>
      </c>
      <c r="P247" s="939">
        <v>30</v>
      </c>
      <c r="Q247" s="939">
        <v>30</v>
      </c>
    </row>
    <row r="248" spans="3:17">
      <c r="C248" s="877"/>
      <c r="D248" s="877"/>
      <c r="E248" s="886" t="s">
        <v>380</v>
      </c>
      <c r="F248" s="934"/>
      <c r="G248" s="915">
        <v>4</v>
      </c>
      <c r="H248" s="915"/>
      <c r="I248" s="939">
        <v>30</v>
      </c>
      <c r="J248" s="939">
        <v>30</v>
      </c>
      <c r="K248" s="939">
        <v>30</v>
      </c>
      <c r="L248" s="939">
        <v>30</v>
      </c>
      <c r="M248" s="939">
        <v>30</v>
      </c>
      <c r="N248" s="939">
        <v>30</v>
      </c>
      <c r="O248" s="939">
        <v>30</v>
      </c>
      <c r="P248" s="939">
        <v>30</v>
      </c>
      <c r="Q248" s="939">
        <v>30</v>
      </c>
    </row>
    <row r="249" spans="3:17">
      <c r="C249" s="877"/>
      <c r="D249" s="877"/>
      <c r="E249" s="886" t="s">
        <v>1619</v>
      </c>
      <c r="F249" s="934"/>
      <c r="G249" s="915">
        <v>5</v>
      </c>
      <c r="H249" s="915"/>
      <c r="I249" s="939">
        <v>60</v>
      </c>
      <c r="J249" s="939">
        <v>60</v>
      </c>
      <c r="K249" s="939">
        <v>60</v>
      </c>
      <c r="L249" s="939">
        <v>60</v>
      </c>
      <c r="M249" s="939">
        <v>60</v>
      </c>
      <c r="N249" s="939">
        <v>60</v>
      </c>
      <c r="O249" s="939">
        <v>60</v>
      </c>
      <c r="P249" s="939">
        <v>60</v>
      </c>
      <c r="Q249" s="939">
        <v>60</v>
      </c>
    </row>
    <row r="250" spans="3:17">
      <c r="C250" s="877"/>
      <c r="D250" s="877"/>
      <c r="E250" s="886" t="s">
        <v>385</v>
      </c>
      <c r="F250" s="934"/>
      <c r="G250" s="915">
        <v>6</v>
      </c>
      <c r="H250" s="915"/>
      <c r="I250" s="939">
        <v>30</v>
      </c>
      <c r="J250" s="939">
        <v>30</v>
      </c>
      <c r="K250" s="939">
        <v>30</v>
      </c>
      <c r="L250" s="939">
        <v>30</v>
      </c>
      <c r="M250" s="939">
        <v>30</v>
      </c>
      <c r="N250" s="939">
        <v>30</v>
      </c>
      <c r="O250" s="939">
        <v>30</v>
      </c>
      <c r="P250" s="939">
        <v>30</v>
      </c>
      <c r="Q250" s="939">
        <v>30</v>
      </c>
    </row>
    <row r="251" spans="3:17">
      <c r="C251" s="877"/>
      <c r="D251" s="877"/>
      <c r="E251" s="886" t="s">
        <v>382</v>
      </c>
      <c r="F251" s="934"/>
      <c r="G251" s="915">
        <v>7</v>
      </c>
      <c r="H251" s="915"/>
      <c r="I251" s="939">
        <v>60</v>
      </c>
      <c r="J251" s="939">
        <v>60</v>
      </c>
      <c r="K251" s="939">
        <v>60</v>
      </c>
      <c r="L251" s="939">
        <v>60</v>
      </c>
      <c r="M251" s="939">
        <v>60</v>
      </c>
      <c r="N251" s="939">
        <v>60</v>
      </c>
      <c r="O251" s="939">
        <v>60</v>
      </c>
      <c r="P251" s="939">
        <v>60</v>
      </c>
      <c r="Q251" s="939">
        <v>60</v>
      </c>
    </row>
    <row r="252" spans="3:17">
      <c r="C252" s="877"/>
      <c r="D252" s="877"/>
      <c r="E252" s="886" t="s">
        <v>276</v>
      </c>
      <c r="F252" s="934"/>
      <c r="G252" s="915">
        <v>8</v>
      </c>
      <c r="H252" s="915"/>
      <c r="I252" s="939">
        <v>60</v>
      </c>
      <c r="J252" s="939">
        <v>60</v>
      </c>
      <c r="K252" s="939">
        <v>60</v>
      </c>
      <c r="L252" s="939">
        <v>60</v>
      </c>
      <c r="M252" s="939">
        <v>60</v>
      </c>
      <c r="N252" s="939">
        <v>60</v>
      </c>
      <c r="O252" s="939">
        <v>60</v>
      </c>
      <c r="P252" s="939">
        <v>60</v>
      </c>
      <c r="Q252" s="939">
        <v>60</v>
      </c>
    </row>
    <row r="253" spans="3:17">
      <c r="C253" s="877"/>
      <c r="D253" s="877"/>
      <c r="E253" s="886" t="s">
        <v>384</v>
      </c>
      <c r="F253" s="934"/>
      <c r="G253" s="915">
        <v>9</v>
      </c>
      <c r="H253" s="915"/>
      <c r="I253" s="939">
        <v>30</v>
      </c>
      <c r="J253" s="939">
        <v>60</v>
      </c>
      <c r="K253" s="939">
        <v>90</v>
      </c>
      <c r="L253" s="939">
        <v>30</v>
      </c>
      <c r="M253" s="939">
        <v>60</v>
      </c>
      <c r="N253" s="939">
        <v>90</v>
      </c>
      <c r="O253" s="939">
        <v>30</v>
      </c>
      <c r="P253" s="939">
        <v>60</v>
      </c>
      <c r="Q253" s="939">
        <v>90</v>
      </c>
    </row>
    <row r="254" spans="3:17">
      <c r="C254" s="882"/>
      <c r="D254" s="882"/>
      <c r="E254" s="877"/>
      <c r="F254" s="877"/>
      <c r="G254" s="877"/>
      <c r="H254" s="877"/>
      <c r="I254" s="940"/>
      <c r="J254" s="940"/>
      <c r="K254" s="940"/>
      <c r="L254" s="940"/>
      <c r="M254" s="940"/>
      <c r="N254" s="940"/>
      <c r="O254" s="940"/>
      <c r="P254" s="940"/>
      <c r="Q254" s="940"/>
    </row>
    <row r="255" spans="3:17">
      <c r="C255" s="882" t="s">
        <v>1980</v>
      </c>
      <c r="D255" s="882"/>
      <c r="E255" s="877"/>
      <c r="F255" s="877"/>
      <c r="G255" s="877"/>
      <c r="H255" s="877"/>
      <c r="I255" s="482" t="s">
        <v>2164</v>
      </c>
      <c r="J255" s="483" t="s">
        <v>2797</v>
      </c>
      <c r="K255" s="483" t="s">
        <v>2165</v>
      </c>
      <c r="L255" s="482" t="s">
        <v>2164</v>
      </c>
      <c r="M255" s="483" t="s">
        <v>2797</v>
      </c>
      <c r="N255" s="483" t="s">
        <v>2165</v>
      </c>
      <c r="O255" s="482" t="s">
        <v>2164</v>
      </c>
      <c r="P255" s="483" t="s">
        <v>2797</v>
      </c>
      <c r="Q255" s="483" t="s">
        <v>2165</v>
      </c>
    </row>
    <row r="256" spans="3:17">
      <c r="C256" s="877"/>
      <c r="D256" s="877" t="s">
        <v>1464</v>
      </c>
      <c r="E256" s="877" t="s">
        <v>1983</v>
      </c>
      <c r="F256" s="877" t="s">
        <v>1984</v>
      </c>
      <c r="G256" s="877"/>
      <c r="H256" s="877"/>
      <c r="I256" s="941">
        <v>0.56699999999999995</v>
      </c>
      <c r="J256" s="941">
        <v>0</v>
      </c>
      <c r="K256" s="941">
        <v>0</v>
      </c>
      <c r="L256" s="941">
        <v>0.77200000000000002</v>
      </c>
      <c r="M256" s="941">
        <v>0</v>
      </c>
      <c r="N256" s="941">
        <v>0</v>
      </c>
      <c r="O256" s="941">
        <v>0.69599999999999995</v>
      </c>
      <c r="P256" s="941">
        <v>0</v>
      </c>
      <c r="Q256" s="941">
        <v>0</v>
      </c>
    </row>
    <row r="257" spans="3:17">
      <c r="C257" s="877"/>
      <c r="D257" s="877"/>
      <c r="E257" s="877" t="s">
        <v>1985</v>
      </c>
      <c r="F257" s="877" t="s">
        <v>1984</v>
      </c>
      <c r="G257" s="877"/>
      <c r="H257" s="877"/>
      <c r="I257" s="941">
        <v>0</v>
      </c>
      <c r="J257" s="941">
        <v>0</v>
      </c>
      <c r="K257" s="941">
        <v>0.56699999999999995</v>
      </c>
      <c r="L257" s="941">
        <v>0</v>
      </c>
      <c r="M257" s="941">
        <v>0</v>
      </c>
      <c r="N257" s="941">
        <v>0.77200000000000002</v>
      </c>
      <c r="O257" s="941">
        <v>0</v>
      </c>
      <c r="P257" s="941">
        <v>0</v>
      </c>
      <c r="Q257" s="941">
        <v>0.69599999999999995</v>
      </c>
    </row>
    <row r="258" spans="3:17">
      <c r="C258" s="877"/>
      <c r="D258" s="877"/>
      <c r="E258" s="877" t="s">
        <v>1986</v>
      </c>
      <c r="F258" s="877" t="s">
        <v>1987</v>
      </c>
      <c r="G258" s="877"/>
      <c r="H258" s="877"/>
      <c r="I258" s="941">
        <v>0.13600000000000001</v>
      </c>
      <c r="J258" s="941">
        <v>0</v>
      </c>
      <c r="K258" s="941">
        <v>0.13600000000000001</v>
      </c>
      <c r="L258" s="941">
        <v>3.7999999999999999E-2</v>
      </c>
      <c r="M258" s="941">
        <v>0</v>
      </c>
      <c r="N258" s="941">
        <v>3.7999999999999999E-2</v>
      </c>
      <c r="O258" s="941">
        <v>0.1</v>
      </c>
      <c r="P258" s="941">
        <v>0</v>
      </c>
      <c r="Q258" s="941">
        <v>0.1</v>
      </c>
    </row>
    <row r="259" spans="3:17">
      <c r="C259" s="877"/>
      <c r="D259" s="877"/>
      <c r="E259" s="877" t="s">
        <v>1988</v>
      </c>
      <c r="F259" s="877" t="s">
        <v>1987</v>
      </c>
      <c r="G259" s="877"/>
      <c r="H259" s="877"/>
      <c r="I259" s="941"/>
      <c r="J259" s="941">
        <v>0</v>
      </c>
      <c r="K259" s="941">
        <v>0</v>
      </c>
      <c r="L259" s="941"/>
      <c r="M259" s="941">
        <v>0</v>
      </c>
      <c r="N259" s="941">
        <v>0</v>
      </c>
      <c r="O259" s="941"/>
      <c r="P259" s="941">
        <v>0</v>
      </c>
      <c r="Q259" s="941">
        <v>0</v>
      </c>
    </row>
    <row r="260" spans="3:17">
      <c r="C260" s="877"/>
      <c r="D260" s="877"/>
      <c r="E260" s="877" t="s">
        <v>1989</v>
      </c>
      <c r="F260" s="877" t="s">
        <v>1987</v>
      </c>
      <c r="G260" s="877"/>
      <c r="H260" s="877"/>
      <c r="I260" s="941">
        <v>7.0000000000000007E-2</v>
      </c>
      <c r="J260" s="941">
        <v>0</v>
      </c>
      <c r="K260" s="941">
        <v>7.0000000000000007E-2</v>
      </c>
      <c r="L260" s="941">
        <v>0.10299999999999999</v>
      </c>
      <c r="M260" s="941">
        <v>0</v>
      </c>
      <c r="N260" s="941">
        <v>0.10299999999999999</v>
      </c>
      <c r="O260" s="941">
        <v>7.8E-2</v>
      </c>
      <c r="P260" s="941">
        <v>0</v>
      </c>
      <c r="Q260" s="941">
        <v>7.8E-2</v>
      </c>
    </row>
    <row r="261" spans="3:17">
      <c r="C261" s="877"/>
      <c r="D261" s="877"/>
      <c r="E261" s="877" t="s">
        <v>1720</v>
      </c>
      <c r="F261" s="877" t="s">
        <v>1987</v>
      </c>
      <c r="G261" s="877"/>
      <c r="H261" s="877"/>
      <c r="I261" s="941">
        <v>5.0000000000000001E-3</v>
      </c>
      <c r="J261" s="941">
        <v>0</v>
      </c>
      <c r="K261" s="941">
        <v>5.0000000000000001E-3</v>
      </c>
      <c r="L261" s="941">
        <v>1.2999999999999999E-2</v>
      </c>
      <c r="M261" s="941">
        <v>0</v>
      </c>
      <c r="N261" s="941">
        <v>1.26E-2</v>
      </c>
      <c r="O261" s="941">
        <v>8.0000000000000002E-3</v>
      </c>
      <c r="P261" s="941">
        <v>0</v>
      </c>
      <c r="Q261" s="941">
        <v>8.0000000000000002E-3</v>
      </c>
    </row>
    <row r="262" spans="3:17">
      <c r="C262" s="877"/>
      <c r="D262" s="877" t="s">
        <v>1465</v>
      </c>
      <c r="E262" s="877" t="s">
        <v>1983</v>
      </c>
      <c r="F262" s="877" t="s">
        <v>1984</v>
      </c>
      <c r="G262" s="877"/>
      <c r="H262" s="877"/>
      <c r="I262" s="941">
        <v>0.35199999999999998</v>
      </c>
      <c r="J262" s="941">
        <v>0</v>
      </c>
      <c r="K262" s="941">
        <v>0</v>
      </c>
      <c r="L262" s="941">
        <v>0.86499999999999999</v>
      </c>
      <c r="M262" s="941">
        <v>0</v>
      </c>
      <c r="N262" s="941">
        <v>0</v>
      </c>
      <c r="O262" s="941">
        <v>0.95799999999999996</v>
      </c>
      <c r="P262" s="941">
        <v>0</v>
      </c>
      <c r="Q262" s="941">
        <v>0</v>
      </c>
    </row>
    <row r="263" spans="3:17">
      <c r="C263" s="877"/>
      <c r="D263" s="877"/>
      <c r="E263" s="877" t="s">
        <v>1985</v>
      </c>
      <c r="F263" s="877" t="s">
        <v>1984</v>
      </c>
      <c r="G263" s="877"/>
      <c r="H263" s="877"/>
      <c r="I263" s="941">
        <v>0</v>
      </c>
      <c r="J263" s="941">
        <v>0</v>
      </c>
      <c r="K263" s="941">
        <v>0.35199999999999998</v>
      </c>
      <c r="L263" s="941">
        <v>0</v>
      </c>
      <c r="M263" s="941">
        <v>0</v>
      </c>
      <c r="N263" s="941">
        <v>0.86499999999999999</v>
      </c>
      <c r="O263" s="941">
        <v>0</v>
      </c>
      <c r="P263" s="941">
        <v>0</v>
      </c>
      <c r="Q263" s="941">
        <v>0.95799999999999996</v>
      </c>
    </row>
    <row r="264" spans="3:17">
      <c r="C264" s="877"/>
      <c r="D264" s="877"/>
      <c r="E264" s="877" t="s">
        <v>1986</v>
      </c>
      <c r="F264" s="877" t="s">
        <v>1987</v>
      </c>
      <c r="G264" s="877"/>
      <c r="H264" s="877"/>
      <c r="I264" s="941">
        <v>0.105</v>
      </c>
      <c r="J264" s="941">
        <v>0</v>
      </c>
      <c r="K264" s="941">
        <v>0.105</v>
      </c>
      <c r="L264" s="941">
        <v>5.0000000000000001E-3</v>
      </c>
      <c r="M264" s="941">
        <v>0</v>
      </c>
      <c r="N264" s="941">
        <v>5.0000000000000001E-3</v>
      </c>
      <c r="O264" s="941">
        <v>7.8E-2</v>
      </c>
      <c r="P264" s="941">
        <v>0</v>
      </c>
      <c r="Q264" s="941">
        <v>7.8E-2</v>
      </c>
    </row>
    <row r="265" spans="3:17">
      <c r="C265" s="877"/>
      <c r="D265" s="877"/>
      <c r="E265" s="877" t="s">
        <v>1988</v>
      </c>
      <c r="F265" s="877" t="s">
        <v>1987</v>
      </c>
      <c r="G265" s="877"/>
      <c r="H265" s="877"/>
      <c r="I265" s="941"/>
      <c r="J265" s="941">
        <v>0</v>
      </c>
      <c r="K265" s="941">
        <v>0</v>
      </c>
      <c r="L265" s="941"/>
      <c r="M265" s="941">
        <v>0</v>
      </c>
      <c r="N265" s="941">
        <v>0</v>
      </c>
      <c r="O265" s="941"/>
      <c r="P265" s="941">
        <v>0</v>
      </c>
      <c r="Q265" s="941">
        <v>0</v>
      </c>
    </row>
    <row r="266" spans="3:17">
      <c r="C266" s="877"/>
      <c r="D266" s="877"/>
      <c r="E266" s="877" t="s">
        <v>1989</v>
      </c>
      <c r="F266" s="877" t="s">
        <v>1987</v>
      </c>
      <c r="G266" s="877"/>
      <c r="H266" s="877"/>
      <c r="I266" s="941">
        <v>4.4999999999999998E-2</v>
      </c>
      <c r="J266" s="941">
        <v>0</v>
      </c>
      <c r="K266" s="941">
        <v>4.4999999999999998E-2</v>
      </c>
      <c r="L266" s="941">
        <v>0.112</v>
      </c>
      <c r="M266" s="941">
        <v>0</v>
      </c>
      <c r="N266" s="941">
        <v>0.112</v>
      </c>
      <c r="O266" s="941">
        <v>0.11</v>
      </c>
      <c r="P266" s="941">
        <v>0</v>
      </c>
      <c r="Q266" s="941">
        <v>0.11</v>
      </c>
    </row>
    <row r="267" spans="3:17">
      <c r="C267" s="877"/>
      <c r="D267" s="877"/>
      <c r="E267" s="877" t="s">
        <v>1720</v>
      </c>
      <c r="F267" s="877" t="s">
        <v>1987</v>
      </c>
      <c r="G267" s="877"/>
      <c r="H267" s="877"/>
      <c r="I267" s="941">
        <v>2E-3</v>
      </c>
      <c r="J267" s="941">
        <v>0</v>
      </c>
      <c r="K267" s="941">
        <v>2.3999999999999998E-3</v>
      </c>
      <c r="L267" s="941">
        <v>1.4999999999999999E-2</v>
      </c>
      <c r="M267" s="941">
        <v>0</v>
      </c>
      <c r="N267" s="941">
        <v>1.47E-2</v>
      </c>
      <c r="O267" s="941">
        <v>1.2E-2</v>
      </c>
      <c r="P267" s="941">
        <v>0</v>
      </c>
      <c r="Q267" s="941">
        <v>1.167E-2</v>
      </c>
    </row>
    <row r="268" spans="3:17">
      <c r="C268" s="877"/>
      <c r="D268" s="877" t="s">
        <v>1616</v>
      </c>
      <c r="E268" s="877" t="s">
        <v>1983</v>
      </c>
      <c r="F268" s="877" t="s">
        <v>1602</v>
      </c>
      <c r="G268" s="877"/>
      <c r="H268" s="877"/>
      <c r="I268" s="941">
        <v>0.34200000000000003</v>
      </c>
      <c r="J268" s="941">
        <v>0</v>
      </c>
      <c r="K268" s="941">
        <v>0</v>
      </c>
      <c r="L268" s="941">
        <v>0.88800000000000001</v>
      </c>
      <c r="M268" s="941">
        <v>0</v>
      </c>
      <c r="N268" s="941">
        <v>0</v>
      </c>
      <c r="O268" s="941">
        <v>0.307</v>
      </c>
      <c r="P268" s="941">
        <v>0</v>
      </c>
      <c r="Q268" s="941">
        <v>0</v>
      </c>
    </row>
    <row r="269" spans="3:17">
      <c r="C269" s="877"/>
      <c r="D269" s="877"/>
      <c r="E269" s="877" t="s">
        <v>1985</v>
      </c>
      <c r="F269" s="877" t="s">
        <v>1984</v>
      </c>
      <c r="G269" s="877"/>
      <c r="H269" s="877"/>
      <c r="I269" s="941">
        <v>0</v>
      </c>
      <c r="J269" s="941">
        <v>0</v>
      </c>
      <c r="K269" s="941">
        <v>0.34200000000000003</v>
      </c>
      <c r="L269" s="941">
        <v>0</v>
      </c>
      <c r="M269" s="941">
        <v>0</v>
      </c>
      <c r="N269" s="941">
        <v>0.88800000000000001</v>
      </c>
      <c r="O269" s="941">
        <v>0</v>
      </c>
      <c r="P269" s="941">
        <v>0</v>
      </c>
      <c r="Q269" s="941">
        <v>0.307</v>
      </c>
    </row>
    <row r="270" spans="3:17">
      <c r="C270" s="877"/>
      <c r="D270" s="877"/>
      <c r="E270" s="877" t="s">
        <v>1986</v>
      </c>
      <c r="F270" s="877" t="s">
        <v>1987</v>
      </c>
      <c r="G270" s="877"/>
      <c r="H270" s="877"/>
      <c r="I270" s="941">
        <v>7.1999999999999995E-2</v>
      </c>
      <c r="J270" s="941">
        <v>0</v>
      </c>
      <c r="K270" s="941">
        <v>7.1999999999999995E-2</v>
      </c>
      <c r="L270" s="941">
        <v>1.7000000000000001E-2</v>
      </c>
      <c r="M270" s="941">
        <v>0</v>
      </c>
      <c r="N270" s="941">
        <v>1.7000000000000001E-2</v>
      </c>
      <c r="O270" s="941">
        <v>7.0999999999999994E-2</v>
      </c>
      <c r="P270" s="941">
        <v>0</v>
      </c>
      <c r="Q270" s="941">
        <v>7.0999999999999994E-2</v>
      </c>
    </row>
    <row r="271" spans="3:17">
      <c r="C271" s="877"/>
      <c r="D271" s="877"/>
      <c r="E271" s="877" t="s">
        <v>1988</v>
      </c>
      <c r="F271" s="877" t="s">
        <v>1987</v>
      </c>
      <c r="G271" s="877"/>
      <c r="H271" s="877"/>
      <c r="I271" s="941"/>
      <c r="J271" s="941">
        <v>0</v>
      </c>
      <c r="K271" s="941">
        <v>0</v>
      </c>
      <c r="L271" s="941"/>
      <c r="M271" s="941">
        <v>0</v>
      </c>
      <c r="N271" s="941">
        <v>0</v>
      </c>
      <c r="O271" s="941"/>
      <c r="P271" s="941">
        <v>0</v>
      </c>
      <c r="Q271" s="941">
        <v>0</v>
      </c>
    </row>
    <row r="272" spans="3:17">
      <c r="C272" s="877"/>
      <c r="D272" s="877"/>
      <c r="E272" s="877" t="s">
        <v>1989</v>
      </c>
      <c r="F272" s="877" t="s">
        <v>1987</v>
      </c>
      <c r="G272" s="877"/>
      <c r="H272" s="877"/>
      <c r="I272" s="941">
        <v>2.4E-2</v>
      </c>
      <c r="J272" s="941">
        <v>0</v>
      </c>
      <c r="K272" s="941">
        <v>2.4E-2</v>
      </c>
      <c r="L272" s="941">
        <v>0.11799999999999999</v>
      </c>
      <c r="M272" s="941">
        <v>0</v>
      </c>
      <c r="N272" s="941">
        <v>0.11799999999999999</v>
      </c>
      <c r="O272" s="941">
        <v>5.2999999999999999E-2</v>
      </c>
      <c r="P272" s="941">
        <v>0</v>
      </c>
      <c r="Q272" s="941">
        <v>5.2999999999999999E-2</v>
      </c>
    </row>
    <row r="273" spans="3:17">
      <c r="C273" s="877"/>
      <c r="D273" s="877"/>
      <c r="E273" s="877" t="s">
        <v>1720</v>
      </c>
      <c r="F273" s="877" t="s">
        <v>1987</v>
      </c>
      <c r="G273" s="877"/>
      <c r="H273" s="877"/>
      <c r="I273" s="941">
        <v>2E-3</v>
      </c>
      <c r="J273" s="941">
        <v>0</v>
      </c>
      <c r="K273" s="941">
        <v>1.8600000000000001E-3</v>
      </c>
      <c r="L273" s="941">
        <v>1.4999999999999999E-2</v>
      </c>
      <c r="M273" s="941">
        <v>0</v>
      </c>
      <c r="N273" s="941">
        <v>1.4800000000000001E-2</v>
      </c>
      <c r="O273" s="941">
        <v>5.0000000000000001E-3</v>
      </c>
      <c r="P273" s="941">
        <v>0</v>
      </c>
      <c r="Q273" s="941">
        <v>4.8300000000000001E-3</v>
      </c>
    </row>
    <row r="274" spans="3:17">
      <c r="C274" s="877"/>
      <c r="D274" s="877" t="s">
        <v>1721</v>
      </c>
      <c r="E274" s="877" t="s">
        <v>1983</v>
      </c>
      <c r="F274" s="877" t="s">
        <v>1984</v>
      </c>
      <c r="G274" s="877"/>
      <c r="H274" s="877"/>
      <c r="I274" s="941">
        <v>0.34200000000000003</v>
      </c>
      <c r="J274" s="941">
        <v>0</v>
      </c>
      <c r="K274" s="941">
        <v>0</v>
      </c>
      <c r="L274" s="941">
        <v>0.88800000000000001</v>
      </c>
      <c r="M274" s="941">
        <v>0</v>
      </c>
      <c r="N274" s="941">
        <v>0</v>
      </c>
      <c r="O274" s="941">
        <v>0.307</v>
      </c>
      <c r="P274" s="941">
        <v>0</v>
      </c>
      <c r="Q274" s="941">
        <v>0</v>
      </c>
    </row>
    <row r="275" spans="3:17">
      <c r="C275" s="877"/>
      <c r="D275" s="877"/>
      <c r="E275" s="877" t="s">
        <v>1985</v>
      </c>
      <c r="F275" s="877" t="s">
        <v>1984</v>
      </c>
      <c r="G275" s="877"/>
      <c r="H275" s="877"/>
      <c r="I275" s="941">
        <v>0</v>
      </c>
      <c r="J275" s="941">
        <v>0</v>
      </c>
      <c r="K275" s="941">
        <v>0.34200000000000003</v>
      </c>
      <c r="L275" s="941">
        <v>0</v>
      </c>
      <c r="M275" s="941">
        <v>0</v>
      </c>
      <c r="N275" s="941">
        <v>0.88800000000000001</v>
      </c>
      <c r="O275" s="941">
        <v>0</v>
      </c>
      <c r="P275" s="941">
        <v>0</v>
      </c>
      <c r="Q275" s="941">
        <v>0.307</v>
      </c>
    </row>
    <row r="276" spans="3:17">
      <c r="C276" s="877"/>
      <c r="D276" s="877"/>
      <c r="E276" s="877" t="s">
        <v>1986</v>
      </c>
      <c r="F276" s="877" t="s">
        <v>1987</v>
      </c>
      <c r="G276" s="877"/>
      <c r="H276" s="877"/>
      <c r="I276" s="941">
        <v>7.1999999999999995E-2</v>
      </c>
      <c r="J276" s="941">
        <v>0</v>
      </c>
      <c r="K276" s="941">
        <v>7.1999999999999995E-2</v>
      </c>
      <c r="L276" s="941">
        <v>1.7000000000000001E-2</v>
      </c>
      <c r="M276" s="941">
        <v>0</v>
      </c>
      <c r="N276" s="941">
        <v>1.7000000000000001E-2</v>
      </c>
      <c r="O276" s="941">
        <v>7.0999999999999994E-2</v>
      </c>
      <c r="P276" s="941">
        <v>0</v>
      </c>
      <c r="Q276" s="941">
        <v>7.0999999999999994E-2</v>
      </c>
    </row>
    <row r="277" spans="3:17">
      <c r="C277" s="877"/>
      <c r="D277" s="877"/>
      <c r="E277" s="877" t="s">
        <v>1988</v>
      </c>
      <c r="F277" s="877" t="s">
        <v>1987</v>
      </c>
      <c r="G277" s="877"/>
      <c r="H277" s="877"/>
      <c r="I277" s="941"/>
      <c r="J277" s="941">
        <v>0</v>
      </c>
      <c r="K277" s="941">
        <v>0</v>
      </c>
      <c r="L277" s="941"/>
      <c r="M277" s="941">
        <v>0</v>
      </c>
      <c r="N277" s="941">
        <v>0</v>
      </c>
      <c r="O277" s="941"/>
      <c r="P277" s="941">
        <v>0</v>
      </c>
      <c r="Q277" s="941">
        <v>0</v>
      </c>
    </row>
    <row r="278" spans="3:17">
      <c r="C278" s="877"/>
      <c r="D278" s="877"/>
      <c r="E278" s="877" t="s">
        <v>1989</v>
      </c>
      <c r="F278" s="877" t="s">
        <v>1987</v>
      </c>
      <c r="G278" s="877"/>
      <c r="H278" s="877"/>
      <c r="I278" s="941">
        <v>2.4E-2</v>
      </c>
      <c r="J278" s="941">
        <v>0</v>
      </c>
      <c r="K278" s="941">
        <v>2.4E-2</v>
      </c>
      <c r="L278" s="941">
        <v>0.11799999999999999</v>
      </c>
      <c r="M278" s="941">
        <v>0</v>
      </c>
      <c r="N278" s="941">
        <v>0.11799999999999999</v>
      </c>
      <c r="O278" s="941">
        <v>5.2999999999999999E-2</v>
      </c>
      <c r="P278" s="941">
        <v>0</v>
      </c>
      <c r="Q278" s="941">
        <v>5.2999999999999999E-2</v>
      </c>
    </row>
    <row r="279" spans="3:17">
      <c r="C279" s="877"/>
      <c r="D279" s="877"/>
      <c r="E279" s="877" t="s">
        <v>1720</v>
      </c>
      <c r="F279" s="877" t="s">
        <v>1987</v>
      </c>
      <c r="G279" s="877"/>
      <c r="H279" s="877"/>
      <c r="I279" s="941">
        <v>2E-3</v>
      </c>
      <c r="J279" s="941">
        <v>0</v>
      </c>
      <c r="K279" s="941">
        <v>1.8600000000000001E-3</v>
      </c>
      <c r="L279" s="941">
        <v>1.4999999999999999E-2</v>
      </c>
      <c r="M279" s="941">
        <v>0</v>
      </c>
      <c r="N279" s="941">
        <v>1.4800000000000001E-2</v>
      </c>
      <c r="O279" s="941">
        <v>5.0000000000000001E-3</v>
      </c>
      <c r="P279" s="941">
        <v>0</v>
      </c>
      <c r="Q279" s="941">
        <v>4.8300000000000001E-3</v>
      </c>
    </row>
    <row r="280" spans="3:17">
      <c r="C280" s="877"/>
      <c r="D280" s="877" t="s">
        <v>1618</v>
      </c>
      <c r="E280" s="877" t="s">
        <v>1983</v>
      </c>
      <c r="F280" s="877" t="s">
        <v>1984</v>
      </c>
      <c r="G280" s="877"/>
      <c r="H280" s="877"/>
      <c r="I280" s="941">
        <v>0.34499999999999997</v>
      </c>
      <c r="J280" s="941">
        <v>0</v>
      </c>
      <c r="K280" s="941">
        <v>0</v>
      </c>
      <c r="L280" s="941">
        <v>0.88800000000000001</v>
      </c>
      <c r="M280" s="941">
        <v>0</v>
      </c>
      <c r="N280" s="941">
        <v>0</v>
      </c>
      <c r="O280" s="941">
        <v>0.86199999999999999</v>
      </c>
      <c r="P280" s="941">
        <v>0</v>
      </c>
      <c r="Q280" s="941">
        <v>0</v>
      </c>
    </row>
    <row r="281" spans="3:17">
      <c r="C281" s="877"/>
      <c r="D281" s="877"/>
      <c r="E281" s="877" t="s">
        <v>1985</v>
      </c>
      <c r="F281" s="877" t="s">
        <v>1984</v>
      </c>
      <c r="G281" s="877"/>
      <c r="H281" s="877"/>
      <c r="I281" s="941">
        <v>0</v>
      </c>
      <c r="J281" s="941">
        <v>0</v>
      </c>
      <c r="K281" s="941">
        <v>0.34499999999999997</v>
      </c>
      <c r="L281" s="941">
        <v>0</v>
      </c>
      <c r="M281" s="941">
        <v>0</v>
      </c>
      <c r="N281" s="941">
        <v>0.88800000000000001</v>
      </c>
      <c r="O281" s="941">
        <v>0</v>
      </c>
      <c r="P281" s="941">
        <v>0</v>
      </c>
      <c r="Q281" s="941">
        <v>0.86199999999999999</v>
      </c>
    </row>
    <row r="282" spans="3:17">
      <c r="C282" s="877"/>
      <c r="D282" s="877"/>
      <c r="E282" s="877" t="s">
        <v>1986</v>
      </c>
      <c r="F282" s="877" t="s">
        <v>1987</v>
      </c>
      <c r="G282" s="877"/>
      <c r="H282" s="877"/>
      <c r="I282" s="941">
        <v>0.13900000000000001</v>
      </c>
      <c r="J282" s="941">
        <v>0</v>
      </c>
      <c r="K282" s="941">
        <v>0.13900000000000001</v>
      </c>
      <c r="L282" s="941">
        <v>1.7000000000000001E-2</v>
      </c>
      <c r="M282" s="941">
        <v>0</v>
      </c>
      <c r="N282" s="941">
        <v>1.7000000000000001E-2</v>
      </c>
      <c r="O282" s="941">
        <v>5.8999999999999997E-2</v>
      </c>
      <c r="P282" s="941">
        <v>0</v>
      </c>
      <c r="Q282" s="941">
        <v>5.8999999999999997E-2</v>
      </c>
    </row>
    <row r="283" spans="3:17">
      <c r="C283" s="877"/>
      <c r="D283" s="877"/>
      <c r="E283" s="877" t="s">
        <v>1988</v>
      </c>
      <c r="F283" s="877" t="s">
        <v>1987</v>
      </c>
      <c r="G283" s="877"/>
      <c r="H283" s="877"/>
      <c r="I283" s="941"/>
      <c r="J283" s="941">
        <v>0</v>
      </c>
      <c r="K283" s="941">
        <v>0</v>
      </c>
      <c r="L283" s="941"/>
      <c r="M283" s="941">
        <v>0</v>
      </c>
      <c r="N283" s="941">
        <v>0</v>
      </c>
      <c r="O283" s="941"/>
      <c r="P283" s="941">
        <v>0</v>
      </c>
      <c r="Q283" s="941">
        <v>0</v>
      </c>
    </row>
    <row r="284" spans="3:17">
      <c r="C284" s="877"/>
      <c r="D284" s="877"/>
      <c r="E284" s="877" t="s">
        <v>1989</v>
      </c>
      <c r="F284" s="877" t="s">
        <v>1987</v>
      </c>
      <c r="G284" s="877"/>
      <c r="H284" s="877"/>
      <c r="I284" s="941">
        <v>0.04</v>
      </c>
      <c r="J284" s="941">
        <v>0</v>
      </c>
      <c r="K284" s="941">
        <v>0.04</v>
      </c>
      <c r="L284" s="941">
        <v>0.11799999999999999</v>
      </c>
      <c r="M284" s="941">
        <v>0</v>
      </c>
      <c r="N284" s="941">
        <v>0.11799999999999999</v>
      </c>
      <c r="O284" s="941">
        <v>0.1</v>
      </c>
      <c r="P284" s="941">
        <v>0</v>
      </c>
      <c r="Q284" s="941">
        <v>0.1</v>
      </c>
    </row>
    <row r="285" spans="3:17">
      <c r="C285" s="877"/>
      <c r="D285" s="877"/>
      <c r="E285" s="877" t="s">
        <v>1720</v>
      </c>
      <c r="F285" s="877" t="s">
        <v>1987</v>
      </c>
      <c r="G285" s="877"/>
      <c r="H285" s="877"/>
      <c r="I285" s="941">
        <v>4.0000000000000001E-3</v>
      </c>
      <c r="J285" s="941">
        <v>0</v>
      </c>
      <c r="K285" s="941">
        <v>4.3499999999999997E-3</v>
      </c>
      <c r="L285" s="941">
        <v>1.4999999999999999E-2</v>
      </c>
      <c r="M285" s="941">
        <v>0</v>
      </c>
      <c r="N285" s="941">
        <v>1.4800000000000001E-2</v>
      </c>
      <c r="O285" s="941">
        <v>1.2E-2</v>
      </c>
      <c r="P285" s="941">
        <v>0</v>
      </c>
      <c r="Q285" s="941">
        <v>1.227E-2</v>
      </c>
    </row>
    <row r="286" spans="3:17">
      <c r="C286" s="877"/>
      <c r="D286" s="877" t="s">
        <v>385</v>
      </c>
      <c r="E286" s="877" t="s">
        <v>1983</v>
      </c>
      <c r="F286" s="877" t="s">
        <v>1984</v>
      </c>
      <c r="G286" s="877"/>
      <c r="H286" s="877"/>
      <c r="I286" s="941">
        <v>0.35399999999999998</v>
      </c>
      <c r="J286" s="941">
        <v>0</v>
      </c>
      <c r="K286" s="941">
        <v>0</v>
      </c>
      <c r="L286" s="941">
        <v>0.77</v>
      </c>
      <c r="M286" s="941">
        <v>0</v>
      </c>
      <c r="N286" s="941">
        <v>0</v>
      </c>
      <c r="O286" s="941">
        <v>0.66900000000000004</v>
      </c>
      <c r="P286" s="941">
        <v>0</v>
      </c>
      <c r="Q286" s="941">
        <v>0</v>
      </c>
    </row>
    <row r="287" spans="3:17">
      <c r="C287" s="877"/>
      <c r="D287" s="877"/>
      <c r="E287" s="877" t="s">
        <v>1985</v>
      </c>
      <c r="F287" s="877" t="s">
        <v>1984</v>
      </c>
      <c r="G287" s="877"/>
      <c r="H287" s="877"/>
      <c r="I287" s="941">
        <v>0</v>
      </c>
      <c r="J287" s="941">
        <v>0</v>
      </c>
      <c r="K287" s="941">
        <v>0.35399999999999998</v>
      </c>
      <c r="L287" s="941">
        <v>0</v>
      </c>
      <c r="M287" s="941">
        <v>0</v>
      </c>
      <c r="N287" s="941">
        <v>0.77</v>
      </c>
      <c r="O287" s="941">
        <v>0</v>
      </c>
      <c r="P287" s="941">
        <v>0</v>
      </c>
      <c r="Q287" s="941">
        <v>0.66900000000000004</v>
      </c>
    </row>
    <row r="288" spans="3:17">
      <c r="C288" s="877"/>
      <c r="D288" s="877"/>
      <c r="E288" s="877" t="s">
        <v>1986</v>
      </c>
      <c r="F288" s="877" t="s">
        <v>1987</v>
      </c>
      <c r="G288" s="877"/>
      <c r="H288" s="877"/>
      <c r="I288" s="941">
        <v>8.7999999999999995E-2</v>
      </c>
      <c r="J288" s="941">
        <v>0</v>
      </c>
      <c r="K288" s="941">
        <v>8.7999999999999995E-2</v>
      </c>
      <c r="L288" s="941">
        <v>0.01</v>
      </c>
      <c r="M288" s="941">
        <v>0</v>
      </c>
      <c r="N288" s="941">
        <v>0.01</v>
      </c>
      <c r="O288" s="941">
        <v>7.6999999999999999E-2</v>
      </c>
      <c r="P288" s="941">
        <v>0</v>
      </c>
      <c r="Q288" s="941">
        <v>7.6999999999999999E-2</v>
      </c>
    </row>
    <row r="289" spans="3:17">
      <c r="C289" s="877"/>
      <c r="D289" s="877"/>
      <c r="E289" s="877" t="s">
        <v>1988</v>
      </c>
      <c r="F289" s="877" t="s">
        <v>1987</v>
      </c>
      <c r="G289" s="877"/>
      <c r="H289" s="877"/>
      <c r="I289" s="941"/>
      <c r="J289" s="941">
        <v>0</v>
      </c>
      <c r="K289" s="941">
        <v>0</v>
      </c>
      <c r="L289" s="941"/>
      <c r="M289" s="941">
        <v>0</v>
      </c>
      <c r="N289" s="941">
        <v>0</v>
      </c>
      <c r="O289" s="941"/>
      <c r="P289" s="941">
        <v>0</v>
      </c>
      <c r="Q289" s="941">
        <v>0</v>
      </c>
    </row>
    <row r="290" spans="3:17">
      <c r="C290" s="877"/>
      <c r="D290" s="877"/>
      <c r="E290" s="877" t="s">
        <v>1989</v>
      </c>
      <c r="F290" s="877" t="s">
        <v>1987</v>
      </c>
      <c r="G290" s="877"/>
      <c r="H290" s="877"/>
      <c r="I290" s="941">
        <v>3.1E-2</v>
      </c>
      <c r="J290" s="941">
        <v>0</v>
      </c>
      <c r="K290" s="941">
        <v>3.1E-2</v>
      </c>
      <c r="L290" s="941">
        <v>0.108</v>
      </c>
      <c r="M290" s="941">
        <v>0</v>
      </c>
      <c r="N290" s="941">
        <v>0.108</v>
      </c>
      <c r="O290" s="941">
        <v>0.08</v>
      </c>
      <c r="P290" s="941">
        <v>0</v>
      </c>
      <c r="Q290" s="941">
        <v>0.08</v>
      </c>
    </row>
    <row r="291" spans="3:17">
      <c r="C291" s="877"/>
      <c r="D291" s="877"/>
      <c r="E291" s="877" t="s">
        <v>1720</v>
      </c>
      <c r="F291" s="877" t="s">
        <v>1987</v>
      </c>
      <c r="G291" s="877"/>
      <c r="H291" s="877"/>
      <c r="I291" s="941">
        <v>2E-3</v>
      </c>
      <c r="J291" s="941">
        <v>0</v>
      </c>
      <c r="K291" s="941">
        <v>2.0999999999999999E-3</v>
      </c>
      <c r="L291" s="941">
        <v>8.9999999999999993E-3</v>
      </c>
      <c r="M291" s="941">
        <v>0</v>
      </c>
      <c r="N291" s="941">
        <v>9.1500000000000001E-3</v>
      </c>
      <c r="O291" s="941">
        <v>7.0000000000000001E-3</v>
      </c>
      <c r="P291" s="941">
        <v>0</v>
      </c>
      <c r="Q291" s="941">
        <v>6.6899999999999998E-3</v>
      </c>
    </row>
    <row r="292" spans="3:17">
      <c r="C292" s="877"/>
      <c r="D292" s="877" t="s">
        <v>1620</v>
      </c>
      <c r="E292" s="877" t="s">
        <v>1983</v>
      </c>
      <c r="F292" s="877" t="s">
        <v>1984</v>
      </c>
      <c r="G292" s="877"/>
      <c r="H292" s="877"/>
      <c r="I292" s="941">
        <v>0.317</v>
      </c>
      <c r="J292" s="941">
        <v>0</v>
      </c>
      <c r="K292" s="941">
        <v>0</v>
      </c>
      <c r="L292" s="941">
        <v>0.76600000000000001</v>
      </c>
      <c r="M292" s="941">
        <v>0</v>
      </c>
      <c r="N292" s="941">
        <v>0</v>
      </c>
      <c r="O292" s="941">
        <v>0.81200000000000006</v>
      </c>
      <c r="P292" s="941">
        <v>0</v>
      </c>
      <c r="Q292" s="941">
        <v>0</v>
      </c>
    </row>
    <row r="293" spans="3:17">
      <c r="C293" s="877"/>
      <c r="D293" s="877"/>
      <c r="E293" s="877" t="s">
        <v>1985</v>
      </c>
      <c r="F293" s="877" t="s">
        <v>1984</v>
      </c>
      <c r="G293" s="877"/>
      <c r="H293" s="877"/>
      <c r="I293" s="941">
        <v>0</v>
      </c>
      <c r="J293" s="941">
        <v>0</v>
      </c>
      <c r="K293" s="941">
        <v>0.317</v>
      </c>
      <c r="L293" s="941">
        <v>0</v>
      </c>
      <c r="M293" s="941">
        <v>0</v>
      </c>
      <c r="N293" s="941">
        <v>0.76600000000000001</v>
      </c>
      <c r="O293" s="941">
        <v>0</v>
      </c>
      <c r="P293" s="941">
        <v>0</v>
      </c>
      <c r="Q293" s="941">
        <v>0.81200000000000006</v>
      </c>
    </row>
    <row r="294" spans="3:17">
      <c r="C294" s="877"/>
      <c r="D294" s="877"/>
      <c r="E294" s="877" t="s">
        <v>1986</v>
      </c>
      <c r="F294" s="877" t="s">
        <v>1987</v>
      </c>
      <c r="G294" s="877"/>
      <c r="H294" s="877"/>
      <c r="I294" s="941">
        <v>7.3999999999999996E-2</v>
      </c>
      <c r="J294" s="941">
        <v>0</v>
      </c>
      <c r="K294" s="941">
        <v>7.3999999999999996E-2</v>
      </c>
      <c r="L294" s="941">
        <v>1.2E-2</v>
      </c>
      <c r="M294" s="941">
        <v>0</v>
      </c>
      <c r="N294" s="941">
        <v>1.2E-2</v>
      </c>
      <c r="O294" s="941">
        <v>0.66</v>
      </c>
      <c r="P294" s="941">
        <v>0</v>
      </c>
      <c r="Q294" s="941">
        <v>6.6000000000000003E-2</v>
      </c>
    </row>
    <row r="295" spans="3:17">
      <c r="C295" s="877"/>
      <c r="D295" s="877"/>
      <c r="E295" s="877" t="s">
        <v>1988</v>
      </c>
      <c r="F295" s="877" t="s">
        <v>1987</v>
      </c>
      <c r="G295" s="877"/>
      <c r="H295" s="877"/>
      <c r="I295" s="941"/>
      <c r="J295" s="941">
        <v>0</v>
      </c>
      <c r="K295" s="941">
        <v>0</v>
      </c>
      <c r="L295" s="941"/>
      <c r="M295" s="941">
        <v>0</v>
      </c>
      <c r="N295" s="941">
        <v>0</v>
      </c>
      <c r="O295" s="941"/>
      <c r="P295" s="941">
        <v>0</v>
      </c>
      <c r="Q295" s="941">
        <v>0</v>
      </c>
    </row>
    <row r="296" spans="3:17">
      <c r="C296" s="877"/>
      <c r="D296" s="877"/>
      <c r="E296" s="877" t="s">
        <v>1989</v>
      </c>
      <c r="F296" s="877" t="s">
        <v>1987</v>
      </c>
      <c r="G296" s="877"/>
      <c r="H296" s="877"/>
      <c r="I296" s="941">
        <v>3.4000000000000002E-2</v>
      </c>
      <c r="J296" s="941">
        <v>0</v>
      </c>
      <c r="K296" s="941">
        <v>3.4000000000000002E-2</v>
      </c>
      <c r="L296" s="941">
        <v>9.6000000000000002E-2</v>
      </c>
      <c r="M296" s="941">
        <v>0</v>
      </c>
      <c r="N296" s="941">
        <v>9.6000000000000002E-2</v>
      </c>
      <c r="O296" s="941">
        <v>8.8999999999999996E-2</v>
      </c>
      <c r="P296" s="941">
        <v>0</v>
      </c>
      <c r="Q296" s="941">
        <v>8.8999999999999996E-2</v>
      </c>
    </row>
    <row r="297" spans="3:17">
      <c r="C297" s="877"/>
      <c r="D297" s="877"/>
      <c r="E297" s="877" t="s">
        <v>1720</v>
      </c>
      <c r="F297" s="877" t="s">
        <v>1987</v>
      </c>
      <c r="G297" s="877"/>
      <c r="H297" s="877"/>
      <c r="I297" s="941">
        <v>2E-3</v>
      </c>
      <c r="J297" s="941">
        <v>0</v>
      </c>
      <c r="K297" s="941">
        <v>2E-3</v>
      </c>
      <c r="L297" s="941">
        <v>1.2999999999999999E-2</v>
      </c>
      <c r="M297" s="941">
        <v>0</v>
      </c>
      <c r="N297" s="941">
        <v>1.2999999999999999E-2</v>
      </c>
      <c r="O297" s="941">
        <v>0.01</v>
      </c>
      <c r="P297" s="941">
        <v>0</v>
      </c>
      <c r="Q297" s="941">
        <v>9.6900000000000007E-3</v>
      </c>
    </row>
    <row r="298" spans="3:17">
      <c r="C298" s="877"/>
      <c r="D298" s="877" t="s">
        <v>561</v>
      </c>
      <c r="E298" s="877" t="s">
        <v>1983</v>
      </c>
      <c r="F298" s="877" t="s">
        <v>1984</v>
      </c>
      <c r="G298" s="877"/>
      <c r="H298" s="877"/>
      <c r="I298" s="941">
        <v>0.436</v>
      </c>
      <c r="J298" s="941">
        <v>0</v>
      </c>
      <c r="K298" s="941">
        <v>0</v>
      </c>
      <c r="L298" s="941">
        <v>0.999</v>
      </c>
      <c r="M298" s="941">
        <v>0</v>
      </c>
      <c r="N298" s="941">
        <v>0</v>
      </c>
      <c r="O298" s="941">
        <v>0.81599999999999995</v>
      </c>
      <c r="P298" s="941">
        <v>0</v>
      </c>
      <c r="Q298" s="941">
        <v>0</v>
      </c>
    </row>
    <row r="299" spans="3:17">
      <c r="C299" s="877"/>
      <c r="D299" s="877"/>
      <c r="E299" s="877" t="s">
        <v>1985</v>
      </c>
      <c r="F299" s="877" t="s">
        <v>1984</v>
      </c>
      <c r="G299" s="877"/>
      <c r="H299" s="877"/>
      <c r="I299" s="941">
        <v>0</v>
      </c>
      <c r="J299" s="941">
        <v>0</v>
      </c>
      <c r="K299" s="941">
        <v>0.436</v>
      </c>
      <c r="L299" s="941">
        <v>0</v>
      </c>
      <c r="M299" s="941">
        <v>0</v>
      </c>
      <c r="N299" s="941">
        <v>0.999</v>
      </c>
      <c r="O299" s="941">
        <v>0</v>
      </c>
      <c r="P299" s="941">
        <v>0</v>
      </c>
      <c r="Q299" s="941">
        <v>0.81599999999999995</v>
      </c>
    </row>
    <row r="300" spans="3:17">
      <c r="C300" s="877"/>
      <c r="D300" s="877"/>
      <c r="E300" s="877" t="s">
        <v>1986</v>
      </c>
      <c r="F300" s="877" t="s">
        <v>1987</v>
      </c>
      <c r="G300" s="877"/>
      <c r="H300" s="877"/>
      <c r="I300" s="941">
        <v>0.10299999999999999</v>
      </c>
      <c r="J300" s="941">
        <v>0</v>
      </c>
      <c r="K300" s="941">
        <v>0.10299999999999999</v>
      </c>
      <c r="L300" s="941">
        <v>4.0000000000000001E-3</v>
      </c>
      <c r="M300" s="941">
        <v>0</v>
      </c>
      <c r="N300" s="941">
        <v>4.0000000000000001E-3</v>
      </c>
      <c r="O300" s="941">
        <v>8.4000000000000005E-2</v>
      </c>
      <c r="P300" s="941">
        <v>0</v>
      </c>
      <c r="Q300" s="941">
        <v>8.4000000000000005E-2</v>
      </c>
    </row>
    <row r="301" spans="3:17">
      <c r="C301" s="877"/>
      <c r="D301" s="877"/>
      <c r="E301" s="877" t="s">
        <v>1988</v>
      </c>
      <c r="F301" s="877" t="s">
        <v>1987</v>
      </c>
      <c r="G301" s="877"/>
      <c r="H301" s="877"/>
      <c r="I301" s="941"/>
      <c r="J301" s="941">
        <v>0</v>
      </c>
      <c r="K301" s="941">
        <v>0</v>
      </c>
      <c r="L301" s="941"/>
      <c r="M301" s="941">
        <v>0</v>
      </c>
      <c r="N301" s="941">
        <v>0</v>
      </c>
      <c r="O301" s="941"/>
      <c r="P301" s="941">
        <v>0</v>
      </c>
      <c r="Q301" s="941">
        <v>0</v>
      </c>
    </row>
    <row r="302" spans="3:17">
      <c r="C302" s="877"/>
      <c r="D302" s="877"/>
      <c r="E302" s="877" t="s">
        <v>1989</v>
      </c>
      <c r="F302" s="877" t="s">
        <v>1987</v>
      </c>
      <c r="G302" s="877"/>
      <c r="H302" s="877"/>
      <c r="I302" s="941">
        <v>3.4000000000000002E-2</v>
      </c>
      <c r="J302" s="941">
        <v>0</v>
      </c>
      <c r="K302" s="941">
        <v>3.4000000000000002E-2</v>
      </c>
      <c r="L302" s="941">
        <v>0.111</v>
      </c>
      <c r="M302" s="941">
        <v>0</v>
      </c>
      <c r="N302" s="941">
        <v>0.111</v>
      </c>
      <c r="O302" s="941">
        <v>9.2999999999999999E-2</v>
      </c>
      <c r="P302" s="941">
        <v>0</v>
      </c>
      <c r="Q302" s="941">
        <v>9.2999999999999999E-2</v>
      </c>
    </row>
    <row r="303" spans="3:17">
      <c r="C303" s="877"/>
      <c r="D303" s="877"/>
      <c r="E303" s="877" t="s">
        <v>1720</v>
      </c>
      <c r="F303" s="877" t="s">
        <v>1987</v>
      </c>
      <c r="G303" s="877"/>
      <c r="H303" s="877"/>
      <c r="I303" s="941">
        <v>5.0000000000000001E-3</v>
      </c>
      <c r="J303" s="941">
        <v>0</v>
      </c>
      <c r="K303" s="941">
        <v>4.7099999999999998E-3</v>
      </c>
      <c r="L303" s="941">
        <v>1.4E-2</v>
      </c>
      <c r="M303" s="941">
        <v>0</v>
      </c>
      <c r="N303" s="941">
        <v>1.434E-2</v>
      </c>
      <c r="O303" s="941">
        <v>1.2E-2</v>
      </c>
      <c r="P303" s="941">
        <v>0</v>
      </c>
      <c r="Q303" s="941">
        <v>1.248E-2</v>
      </c>
    </row>
    <row r="304" spans="3:17">
      <c r="C304" s="877"/>
      <c r="D304" s="877" t="s">
        <v>1722</v>
      </c>
      <c r="E304" s="877" t="s">
        <v>1983</v>
      </c>
      <c r="F304" s="877" t="s">
        <v>1984</v>
      </c>
      <c r="G304" s="877"/>
      <c r="H304" s="877"/>
      <c r="I304" s="941">
        <v>0.32300000000000001</v>
      </c>
      <c r="J304" s="941">
        <v>0</v>
      </c>
      <c r="K304" s="941">
        <v>0</v>
      </c>
      <c r="L304" s="941">
        <v>0.73399999999999999</v>
      </c>
      <c r="M304" s="941">
        <v>0</v>
      </c>
      <c r="N304" s="941">
        <v>0</v>
      </c>
      <c r="O304" s="941">
        <v>0.75</v>
      </c>
      <c r="P304" s="941">
        <v>0</v>
      </c>
      <c r="Q304" s="941">
        <v>0</v>
      </c>
    </row>
    <row r="305" spans="3:17">
      <c r="C305" s="877"/>
      <c r="D305" s="877"/>
      <c r="E305" s="877" t="s">
        <v>1985</v>
      </c>
      <c r="F305" s="877" t="s">
        <v>1984</v>
      </c>
      <c r="G305" s="877"/>
      <c r="H305" s="877"/>
      <c r="I305" s="941">
        <v>0</v>
      </c>
      <c r="J305" s="941">
        <v>0</v>
      </c>
      <c r="K305" s="941">
        <v>0.32300000000000001</v>
      </c>
      <c r="L305" s="941">
        <v>0</v>
      </c>
      <c r="M305" s="941">
        <v>0</v>
      </c>
      <c r="N305" s="941">
        <v>0.73399999999999999</v>
      </c>
      <c r="O305" s="941">
        <v>0</v>
      </c>
      <c r="P305" s="941">
        <v>0</v>
      </c>
      <c r="Q305" s="941">
        <v>0.75</v>
      </c>
    </row>
    <row r="306" spans="3:17">
      <c r="C306" s="877"/>
      <c r="D306" s="877"/>
      <c r="E306" s="877" t="s">
        <v>1986</v>
      </c>
      <c r="F306" s="877" t="s">
        <v>1987</v>
      </c>
      <c r="G306" s="877"/>
      <c r="H306" s="877"/>
      <c r="I306" s="941">
        <v>4.8000000000000001E-2</v>
      </c>
      <c r="J306" s="941">
        <v>0</v>
      </c>
      <c r="K306" s="941">
        <v>4.8000000000000001E-2</v>
      </c>
      <c r="L306" s="941">
        <v>1.2E-2</v>
      </c>
      <c r="M306" s="941">
        <v>0</v>
      </c>
      <c r="N306" s="941">
        <v>1.2E-2</v>
      </c>
      <c r="O306" s="941">
        <v>5.1999999999999998E-2</v>
      </c>
      <c r="P306" s="941">
        <v>0</v>
      </c>
      <c r="Q306" s="941">
        <v>5.1999999999999998E-2</v>
      </c>
    </row>
    <row r="307" spans="3:17">
      <c r="C307" s="877"/>
      <c r="D307" s="877"/>
      <c r="E307" s="877" t="s">
        <v>1988</v>
      </c>
      <c r="F307" s="877" t="s">
        <v>1987</v>
      </c>
      <c r="G307" s="877"/>
      <c r="H307" s="877"/>
      <c r="I307" s="941"/>
      <c r="J307" s="941">
        <v>0</v>
      </c>
      <c r="K307" s="941">
        <v>0</v>
      </c>
      <c r="L307" s="941"/>
      <c r="M307" s="941">
        <v>0</v>
      </c>
      <c r="N307" s="941">
        <v>0</v>
      </c>
      <c r="O307" s="941"/>
      <c r="P307" s="941">
        <v>0</v>
      </c>
      <c r="Q307" s="941">
        <v>0</v>
      </c>
    </row>
    <row r="308" spans="3:17">
      <c r="C308" s="877"/>
      <c r="D308" s="877"/>
      <c r="E308" s="877" t="s">
        <v>1989</v>
      </c>
      <c r="F308" s="877" t="s">
        <v>1987</v>
      </c>
      <c r="G308" s="877"/>
      <c r="H308" s="877"/>
      <c r="I308" s="941">
        <v>1.9E-2</v>
      </c>
      <c r="J308" s="941">
        <v>0</v>
      </c>
      <c r="K308" s="941">
        <v>1.9E-2</v>
      </c>
      <c r="L308" s="941">
        <v>0.1</v>
      </c>
      <c r="M308" s="941">
        <v>0</v>
      </c>
      <c r="N308" s="941">
        <v>0.1</v>
      </c>
      <c r="O308" s="941">
        <v>0.13600000000000001</v>
      </c>
      <c r="P308" s="941">
        <v>0</v>
      </c>
      <c r="Q308" s="941">
        <v>0.13600000000000001</v>
      </c>
    </row>
    <row r="309" spans="3:17">
      <c r="C309" s="877"/>
      <c r="D309" s="877"/>
      <c r="E309" s="877" t="s">
        <v>1720</v>
      </c>
      <c r="F309" s="877" t="s">
        <v>1987</v>
      </c>
      <c r="G309" s="877"/>
      <c r="H309" s="877"/>
      <c r="I309" s="941">
        <v>2E-3</v>
      </c>
      <c r="J309" s="941">
        <v>0</v>
      </c>
      <c r="K309" s="941">
        <v>1.98E-3</v>
      </c>
      <c r="L309" s="941">
        <v>1.2999999999999999E-2</v>
      </c>
      <c r="M309" s="941">
        <v>0</v>
      </c>
      <c r="N309" s="941">
        <v>1.329E-2</v>
      </c>
      <c r="O309" s="941">
        <v>0.125</v>
      </c>
      <c r="P309" s="941">
        <v>0</v>
      </c>
      <c r="Q309" s="941">
        <v>0.12509999999999999</v>
      </c>
    </row>
    <row r="310" spans="3:17">
      <c r="C310" s="882" t="s">
        <v>2166</v>
      </c>
      <c r="D310" s="882"/>
      <c r="E310" s="877"/>
      <c r="F310" s="877"/>
      <c r="G310" s="877"/>
      <c r="H310" s="877"/>
      <c r="I310" s="877"/>
      <c r="J310" s="940"/>
      <c r="K310" s="940"/>
      <c r="L310" s="940"/>
      <c r="M310" s="940"/>
      <c r="N310" s="940"/>
      <c r="O310" s="940"/>
      <c r="P310" s="940"/>
      <c r="Q310" s="940"/>
    </row>
    <row r="311" spans="3:17">
      <c r="C311" s="877"/>
      <c r="D311" s="882" t="s">
        <v>2167</v>
      </c>
      <c r="E311" s="877"/>
      <c r="F311" s="877"/>
      <c r="G311" s="877"/>
      <c r="H311" s="877"/>
      <c r="I311" s="936">
        <v>25</v>
      </c>
      <c r="J311" s="940" t="s">
        <v>2168</v>
      </c>
      <c r="K311" s="940"/>
      <c r="L311" s="940"/>
      <c r="M311" s="940"/>
      <c r="N311" s="940"/>
      <c r="O311" s="940"/>
      <c r="P311" s="940"/>
      <c r="Q311" s="940"/>
    </row>
    <row r="312" spans="3:17" hidden="1">
      <c r="C312" s="877"/>
      <c r="D312" s="892" t="s">
        <v>2169</v>
      </c>
      <c r="E312" s="877"/>
      <c r="F312" s="877"/>
      <c r="G312" s="877"/>
      <c r="H312" s="877"/>
      <c r="I312" s="936"/>
      <c r="J312" s="940"/>
      <c r="K312" s="940"/>
      <c r="L312" s="940"/>
      <c r="M312" s="940"/>
      <c r="N312" s="940"/>
      <c r="O312" s="940"/>
      <c r="P312" s="940"/>
      <c r="Q312" s="940"/>
    </row>
    <row r="313" spans="3:17">
      <c r="C313" s="877"/>
      <c r="D313" s="882" t="s">
        <v>2170</v>
      </c>
      <c r="E313" s="877"/>
      <c r="F313" s="882"/>
      <c r="G313" s="877"/>
      <c r="H313" s="877"/>
      <c r="I313" s="936">
        <v>18</v>
      </c>
      <c r="J313" s="940" t="s">
        <v>2168</v>
      </c>
      <c r="K313" s="940"/>
      <c r="L313" s="940"/>
      <c r="M313" s="940"/>
      <c r="N313" s="940"/>
      <c r="O313" s="940"/>
      <c r="P313" s="940"/>
      <c r="Q313" s="940"/>
    </row>
    <row r="314" spans="3:17">
      <c r="C314" s="877"/>
      <c r="D314" s="882" t="s">
        <v>2171</v>
      </c>
      <c r="E314" s="877"/>
      <c r="F314" s="882"/>
      <c r="G314" s="877"/>
      <c r="H314" s="877"/>
      <c r="I314" s="936">
        <v>15</v>
      </c>
      <c r="J314" s="940" t="s">
        <v>2168</v>
      </c>
      <c r="K314" s="940"/>
      <c r="L314" s="940"/>
      <c r="M314" s="940"/>
      <c r="N314" s="940"/>
      <c r="O314" s="940"/>
      <c r="P314" s="940"/>
      <c r="Q314" s="940"/>
    </row>
    <row r="315" spans="3:17">
      <c r="C315" s="877"/>
      <c r="D315" s="882"/>
      <c r="E315" s="877"/>
      <c r="F315" s="877"/>
      <c r="G315" s="877"/>
      <c r="H315" s="877"/>
      <c r="I315" s="877"/>
      <c r="J315" s="877"/>
      <c r="K315" s="940"/>
      <c r="L315" s="940"/>
      <c r="M315" s="940"/>
      <c r="N315" s="940"/>
      <c r="O315" s="940"/>
      <c r="P315" s="940"/>
      <c r="Q315" s="940"/>
    </row>
    <row r="316" spans="3:17">
      <c r="C316" s="877" t="s">
        <v>2172</v>
      </c>
      <c r="D316" s="877"/>
      <c r="E316" s="877"/>
      <c r="F316" s="877"/>
      <c r="G316" s="877"/>
      <c r="H316" s="877"/>
      <c r="I316" s="877"/>
      <c r="J316" s="877"/>
      <c r="K316" s="877"/>
      <c r="L316" s="877"/>
      <c r="M316" s="877"/>
      <c r="N316" s="877"/>
      <c r="O316" s="877"/>
      <c r="P316" s="877"/>
      <c r="Q316" s="877"/>
    </row>
    <row r="317" spans="3:17">
      <c r="C317" s="877"/>
      <c r="D317" s="877" t="s">
        <v>2167</v>
      </c>
      <c r="E317" s="877"/>
      <c r="F317" s="877"/>
      <c r="G317" s="877"/>
      <c r="H317" s="877"/>
      <c r="I317" s="935">
        <v>0.01</v>
      </c>
      <c r="J317" s="877" t="s">
        <v>2173</v>
      </c>
      <c r="K317" s="877"/>
      <c r="L317" s="877"/>
      <c r="M317" s="877"/>
      <c r="N317" s="877"/>
      <c r="O317" s="877"/>
      <c r="P317" s="877"/>
      <c r="Q317" s="877"/>
    </row>
    <row r="318" spans="3:17">
      <c r="C318" s="877"/>
      <c r="D318" s="877" t="s">
        <v>2170</v>
      </c>
      <c r="E318" s="877"/>
      <c r="F318" s="877"/>
      <c r="G318" s="877"/>
      <c r="H318" s="877"/>
      <c r="I318" s="935">
        <v>0.01</v>
      </c>
      <c r="J318" s="877" t="s">
        <v>2173</v>
      </c>
      <c r="K318" s="877"/>
      <c r="L318" s="877"/>
      <c r="M318" s="877"/>
      <c r="N318" s="877"/>
      <c r="O318" s="877"/>
      <c r="P318" s="877"/>
      <c r="Q318" s="877"/>
    </row>
    <row r="319" spans="3:17">
      <c r="C319" s="877"/>
      <c r="D319" s="877" t="s">
        <v>2171</v>
      </c>
      <c r="E319" s="877"/>
      <c r="F319" s="877"/>
      <c r="G319" s="877"/>
      <c r="H319" s="877"/>
      <c r="I319" s="935">
        <v>0.02</v>
      </c>
      <c r="J319" s="877" t="s">
        <v>2173</v>
      </c>
      <c r="K319" s="877"/>
      <c r="L319" s="877"/>
      <c r="M319" s="877"/>
      <c r="N319" s="877"/>
      <c r="O319" s="877"/>
      <c r="P319" s="877"/>
      <c r="Q319" s="877"/>
    </row>
    <row r="320" spans="3:17"/>
  </sheetData>
  <sheetProtection password="C784" sheet="1" objects="1" scenarios="1"/>
  <mergeCells count="1">
    <mergeCell ref="I211:M211"/>
  </mergeCells>
  <phoneticPr fontId="27"/>
  <conditionalFormatting sqref="D4">
    <cfRule type="cellIs" dxfId="8" priority="1" stopIfTrue="1" operator="equal">
      <formula>5</formula>
    </cfRule>
    <cfRule type="cellIs" dxfId="7" priority="2" stopIfTrue="1" operator="equal">
      <formula>4</formula>
    </cfRule>
    <cfRule type="cellIs" dxfId="6" priority="3" stopIfTrue="1" operator="equal">
      <formula>2</formula>
    </cfRule>
  </conditionalFormatting>
  <conditionalFormatting sqref="D6">
    <cfRule type="cellIs" dxfId="5" priority="7" stopIfTrue="1" operator="equal">
      <formula>5</formula>
    </cfRule>
    <cfRule type="cellIs" dxfId="4" priority="8" stopIfTrue="1" operator="equal">
      <formula>4</formula>
    </cfRule>
    <cfRule type="cellIs" dxfId="3" priority="9" stopIfTrue="1" operator="equal">
      <formula>2</formula>
    </cfRule>
  </conditionalFormatting>
  <conditionalFormatting sqref="D63">
    <cfRule type="cellIs" dxfId="2" priority="4" stopIfTrue="1" operator="equal">
      <formula>5</formula>
    </cfRule>
    <cfRule type="cellIs" dxfId="1" priority="5" stopIfTrue="1" operator="equal">
      <formula>4</formula>
    </cfRule>
    <cfRule type="cellIs" dxfId="0" priority="6"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58" fitToHeight="0" orientation="portrait" verticalDpi="300" r:id="rId1"/>
  <headerFooter alignWithMargins="0">
    <oddHeader>&amp;L&amp;F&amp;R&amp;A</oddHeader>
    <oddFooter>&amp;C&amp;P/&amp;N</oddFooter>
  </headerFooter>
  <rowBreaks count="2" manualBreakCount="2">
    <brk id="92" max="17" man="1"/>
    <brk id="240"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pageSetUpPr fitToPage="1"/>
  </sheetPr>
  <dimension ref="A1:AY205"/>
  <sheetViews>
    <sheetView showGridLines="0" topLeftCell="A30" zoomScale="70" zoomScaleNormal="70" workbookViewId="0">
      <selection activeCell="Q1" sqref="Q1:XFD1048576"/>
    </sheetView>
  </sheetViews>
  <sheetFormatPr defaultColWidth="0" defaultRowHeight="0" customHeight="1" zeroHeight="1" outlineLevelCol="2"/>
  <cols>
    <col min="1" max="1" width="0.75" style="55" customWidth="1"/>
    <col min="2" max="2" width="2.125" style="72" customWidth="1"/>
    <col min="3" max="3" width="13.375" style="72" customWidth="1"/>
    <col min="4" max="4" width="5.375" style="73" customWidth="1"/>
    <col min="5" max="5" width="9.75" style="74" customWidth="1"/>
    <col min="6" max="6" width="6.25" style="75" customWidth="1"/>
    <col min="7" max="7" width="6.5" style="75" customWidth="1"/>
    <col min="8" max="8" width="13.125" style="75" customWidth="1"/>
    <col min="9" max="9" width="6.875" style="76" customWidth="1"/>
    <col min="10" max="10" width="12.125" style="76" customWidth="1"/>
    <col min="11" max="12" width="11.875" style="75" customWidth="1"/>
    <col min="13" max="13" width="11.75" style="96" customWidth="1"/>
    <col min="14" max="14" width="8.625" style="96" customWidth="1"/>
    <col min="15" max="15" width="11.5" style="96" customWidth="1"/>
    <col min="16" max="16" width="0.75" style="55" customWidth="1"/>
    <col min="17" max="17" width="3.875" style="55" hidden="1" customWidth="1"/>
    <col min="18" max="18" width="9.875" style="64" hidden="1" customWidth="1" outlineLevel="2"/>
    <col min="19" max="19" width="9.875" style="389" hidden="1" customWidth="1" outlineLevel="2"/>
    <col min="20" max="20" width="9.875" style="64" hidden="1" customWidth="1" outlineLevel="2"/>
    <col min="21" max="21" width="9.125" style="64" hidden="1" customWidth="1" outlineLevel="2"/>
    <col min="22" max="22" width="14.5" style="64" hidden="1" customWidth="1" outlineLevel="2"/>
    <col min="23" max="23" width="11.125" style="64" hidden="1" customWidth="1" outlineLevel="2"/>
    <col min="24" max="24" width="20.5" style="64" hidden="1" customWidth="1" outlineLevel="2"/>
    <col min="25" max="25" width="18.625" style="64" hidden="1" customWidth="1" outlineLevel="2"/>
    <col min="26" max="26" width="23" style="64" hidden="1" customWidth="1" outlineLevel="2"/>
    <col min="27" max="27" width="4.5" style="64" hidden="1" customWidth="1" outlineLevel="2"/>
    <col min="28" max="29" width="6.375" style="64" hidden="1" customWidth="1" outlineLevel="2"/>
    <col min="30" max="31" width="5" style="64" hidden="1" customWidth="1" outlineLevel="2"/>
    <col min="32" max="32" width="5.125" style="64" hidden="1" customWidth="1" outlineLevel="2"/>
    <col min="33" max="41" width="9" style="64" hidden="1" customWidth="1" outlineLevel="2"/>
    <col min="42" max="42" width="11.875" style="64" hidden="1" customWidth="1" outlineLevel="2"/>
    <col min="43" max="43" width="11.625" style="64" hidden="1" customWidth="1" outlineLevel="2"/>
    <col min="44" max="44" width="8.625" style="64" hidden="1" customWidth="1" outlineLevel="2"/>
    <col min="45" max="45" width="11.5" style="64" hidden="1" customWidth="1" outlineLevel="2"/>
    <col min="46" max="46" width="9" style="64" hidden="1" customWidth="1" outlineLevel="2"/>
    <col min="47" max="47" width="11.875" style="64" hidden="1" customWidth="1" outlineLevel="2"/>
    <col min="48" max="48" width="9" style="64" hidden="1" customWidth="1" outlineLevel="1"/>
    <col min="49" max="49" width="11.625" style="64" hidden="1" customWidth="1" outlineLevel="1"/>
    <col min="50" max="50" width="8.625" style="64" hidden="1" customWidth="1" outlineLevel="1"/>
    <col min="51" max="51" width="11.5" style="64" hidden="1" customWidth="1"/>
    <col min="52" max="16384" width="9" style="64" hidden="1"/>
  </cols>
  <sheetData>
    <row r="1" spans="1:28" s="53" customFormat="1" ht="6" customHeight="1" thickBot="1">
      <c r="A1" s="46"/>
      <c r="B1" s="47"/>
      <c r="C1" s="48"/>
      <c r="D1" s="49"/>
      <c r="E1" s="46"/>
      <c r="F1" s="50"/>
      <c r="G1" s="50"/>
      <c r="H1" s="50"/>
      <c r="I1" s="51"/>
      <c r="J1" s="51"/>
      <c r="K1" s="50"/>
      <c r="L1" s="52"/>
      <c r="M1" s="46"/>
      <c r="N1" s="46"/>
      <c r="O1" s="46"/>
      <c r="P1" s="46"/>
      <c r="Q1" s="46"/>
      <c r="S1" s="54"/>
    </row>
    <row r="2" spans="1:28" ht="18.75" customHeight="1" thickTop="1">
      <c r="B2" s="64"/>
      <c r="C2" s="57"/>
      <c r="D2" s="58"/>
      <c r="E2" s="59"/>
      <c r="F2" s="60"/>
      <c r="G2" s="60"/>
      <c r="H2" s="60"/>
      <c r="I2" s="61"/>
      <c r="J2" s="62"/>
      <c r="K2" s="62"/>
      <c r="L2" s="62"/>
      <c r="M2" s="62"/>
      <c r="N2" s="60"/>
      <c r="O2" s="63"/>
      <c r="Q2" s="3221" t="s">
        <v>1852</v>
      </c>
      <c r="S2" s="64"/>
    </row>
    <row r="3" spans="1:28" ht="18.75" customHeight="1">
      <c r="B3" s="56"/>
      <c r="C3" s="57"/>
      <c r="D3" s="58"/>
      <c r="E3" s="56"/>
      <c r="F3" s="60"/>
      <c r="G3" s="60"/>
      <c r="H3" s="60"/>
      <c r="I3" s="61"/>
      <c r="J3" s="62"/>
      <c r="K3" s="62"/>
      <c r="L3" s="62"/>
      <c r="M3" s="62"/>
      <c r="N3" s="60"/>
      <c r="O3" s="65"/>
      <c r="Q3" s="3222"/>
      <c r="S3" s="64"/>
    </row>
    <row r="4" spans="1:28" ht="18.75" customHeight="1">
      <c r="B4" s="56"/>
      <c r="C4" s="57"/>
      <c r="D4" s="58"/>
      <c r="E4" s="59"/>
      <c r="F4" s="60"/>
      <c r="G4" s="60"/>
      <c r="H4" s="60"/>
      <c r="I4" s="66"/>
      <c r="J4" s="62"/>
      <c r="K4" s="62"/>
      <c r="L4" s="62"/>
      <c r="M4" s="62"/>
      <c r="N4" s="60"/>
      <c r="O4" s="63"/>
      <c r="Q4" s="3222"/>
      <c r="S4" s="64"/>
    </row>
    <row r="5" spans="1:28" ht="13.5" customHeight="1" thickBot="1">
      <c r="B5" s="67"/>
      <c r="C5" s="68"/>
      <c r="D5" s="58"/>
      <c r="E5" s="59"/>
      <c r="F5" s="60"/>
      <c r="G5" s="60"/>
      <c r="H5" s="60"/>
      <c r="I5" s="69"/>
      <c r="J5" s="70" t="s">
        <v>1774</v>
      </c>
      <c r="K5" s="3224" t="str">
        <f>メイン!C6</f>
        <v>CASBEE-川崎2025年版</v>
      </c>
      <c r="L5" s="3225"/>
      <c r="M5" s="70" t="s">
        <v>1853</v>
      </c>
      <c r="N5" s="3224" t="str">
        <f>メイン!C5</f>
        <v>CASBEE-川崎2025(v.1.1)</v>
      </c>
      <c r="O5" s="3226"/>
      <c r="Q5" s="3223"/>
      <c r="R5" s="86" t="s">
        <v>1856</v>
      </c>
      <c r="S5" s="64"/>
      <c r="U5" s="86" t="s">
        <v>1857</v>
      </c>
    </row>
    <row r="6" spans="1:28" ht="6" customHeight="1" thickTop="1" thickBot="1">
      <c r="B6" s="71"/>
      <c r="J6" s="77"/>
      <c r="K6" s="77"/>
      <c r="L6" s="78"/>
      <c r="M6" s="74"/>
      <c r="N6" s="74"/>
      <c r="O6" s="74"/>
      <c r="S6" s="64"/>
    </row>
    <row r="7" spans="1:28" ht="19.5" customHeight="1" thickBot="1">
      <c r="B7" s="79" t="s">
        <v>1854</v>
      </c>
      <c r="C7" s="80"/>
      <c r="D7" s="81"/>
      <c r="E7" s="80"/>
      <c r="F7" s="80"/>
      <c r="G7" s="80"/>
      <c r="H7" s="82"/>
      <c r="I7" s="83"/>
      <c r="J7" s="83"/>
      <c r="K7" s="83"/>
      <c r="L7" s="84" t="s">
        <v>1855</v>
      </c>
      <c r="M7" s="80"/>
      <c r="N7" s="80"/>
      <c r="O7" s="85"/>
      <c r="R7" s="98" t="s">
        <v>2000</v>
      </c>
      <c r="S7" s="98">
        <f>スコア!AD8</f>
        <v>2.5862000000000003</v>
      </c>
      <c r="U7" s="99"/>
      <c r="V7" s="99" t="s">
        <v>1860</v>
      </c>
      <c r="W7" s="100" t="s">
        <v>2001</v>
      </c>
      <c r="X7" s="100">
        <v>4</v>
      </c>
      <c r="Y7" s="100">
        <v>2</v>
      </c>
      <c r="Z7" s="101" t="s">
        <v>2002</v>
      </c>
      <c r="AA7" s="98" t="s">
        <v>2003</v>
      </c>
      <c r="AB7" s="3202" t="s">
        <v>1186</v>
      </c>
    </row>
    <row r="8" spans="1:28" ht="19.5" customHeight="1">
      <c r="B8" s="87" t="s">
        <v>1858</v>
      </c>
      <c r="C8" s="88"/>
      <c r="D8" s="89" t="str">
        <f>メイン!C11</f>
        <v>○○ビル</v>
      </c>
      <c r="E8" s="88"/>
      <c r="F8" s="88"/>
      <c r="G8" s="90"/>
      <c r="H8" s="91" t="s">
        <v>1859</v>
      </c>
      <c r="I8" s="92"/>
      <c r="J8" s="93" t="str">
        <f>メイン!C22</f>
        <v>地上○○F</v>
      </c>
      <c r="K8" s="94"/>
      <c r="L8" s="95"/>
      <c r="O8" s="97"/>
      <c r="R8" s="98" t="s">
        <v>2004</v>
      </c>
      <c r="S8" s="98">
        <f>スコア!AD121</f>
        <v>2.6993333333333331</v>
      </c>
      <c r="U8" s="101" t="s">
        <v>2005</v>
      </c>
      <c r="V8" s="99" t="s">
        <v>615</v>
      </c>
      <c r="W8" s="100">
        <v>5</v>
      </c>
      <c r="X8" s="100">
        <v>4</v>
      </c>
      <c r="Y8" s="100">
        <v>2</v>
      </c>
      <c r="Z8" s="3203">
        <f>IF(V46=0,0.9,V46)</f>
        <v>2.8</v>
      </c>
      <c r="AA8" s="98">
        <v>3</v>
      </c>
      <c r="AB8" s="3202" t="str">
        <f>IF(V46=0,"N.A.","")</f>
        <v/>
      </c>
    </row>
    <row r="9" spans="1:28" ht="19.5" customHeight="1">
      <c r="B9" s="102" t="s">
        <v>1862</v>
      </c>
      <c r="C9" s="103"/>
      <c r="D9" s="104" t="str">
        <f>メイン!C12</f>
        <v>川崎市〇〇</v>
      </c>
      <c r="E9" s="103"/>
      <c r="F9" s="105"/>
      <c r="G9" s="64"/>
      <c r="H9" s="106" t="s">
        <v>1863</v>
      </c>
      <c r="I9" s="107"/>
      <c r="J9" s="108">
        <f>メイン!C23</f>
        <v>0</v>
      </c>
      <c r="K9" s="109"/>
      <c r="L9" s="110"/>
      <c r="M9" s="64"/>
      <c r="N9" s="64"/>
      <c r="O9" s="111"/>
      <c r="R9" s="101" t="s">
        <v>616</v>
      </c>
      <c r="S9" s="101">
        <f>25*(S7-1)</f>
        <v>39.655000000000008</v>
      </c>
      <c r="U9" s="101" t="s">
        <v>617</v>
      </c>
      <c r="V9" s="118" t="s">
        <v>1870</v>
      </c>
      <c r="W9" s="100">
        <v>5</v>
      </c>
      <c r="X9" s="100">
        <v>4</v>
      </c>
      <c r="Y9" s="100">
        <v>2</v>
      </c>
      <c r="Z9" s="3203">
        <f>IF(Y46=0,0.9,Y46)</f>
        <v>1.8</v>
      </c>
      <c r="AA9" s="98">
        <v>3</v>
      </c>
      <c r="AB9" s="3202" t="str">
        <f>IF(Y46=0,"N.A.","")</f>
        <v/>
      </c>
    </row>
    <row r="10" spans="1:28" ht="18.75" customHeight="1">
      <c r="B10" s="102" t="s">
        <v>279</v>
      </c>
      <c r="C10" s="113"/>
      <c r="D10" s="104" t="str">
        <f>メイン!C14</f>
        <v>商業地域、防火地域</v>
      </c>
      <c r="E10" s="113"/>
      <c r="F10" s="113"/>
      <c r="G10" s="64"/>
      <c r="H10" s="91" t="s">
        <v>1868</v>
      </c>
      <c r="I10" s="92"/>
      <c r="J10" s="114" t="str">
        <f>メイン!C32</f>
        <v>XX</v>
      </c>
      <c r="K10" s="105" t="s">
        <v>1869</v>
      </c>
      <c r="L10" s="115"/>
      <c r="M10" s="116"/>
      <c r="N10" s="116"/>
      <c r="O10" s="117"/>
      <c r="R10" s="101" t="s">
        <v>1871</v>
      </c>
      <c r="S10" s="101">
        <f>25*(5-S8)</f>
        <v>57.516666666666673</v>
      </c>
      <c r="U10" s="101" t="s">
        <v>1505</v>
      </c>
      <c r="V10" s="124" t="s">
        <v>1872</v>
      </c>
      <c r="W10" s="100">
        <v>5</v>
      </c>
      <c r="X10" s="100">
        <v>4</v>
      </c>
      <c r="Y10" s="100">
        <v>2</v>
      </c>
      <c r="Z10" s="3203">
        <f>IF(Y57=0,0.9,Y57)</f>
        <v>3</v>
      </c>
      <c r="AA10" s="98">
        <v>3</v>
      </c>
      <c r="AB10" s="3202" t="str">
        <f>IF(Y57=0,"N.A.","")</f>
        <v/>
      </c>
    </row>
    <row r="11" spans="1:28" ht="18.75" customHeight="1">
      <c r="B11" s="119" t="s">
        <v>2542</v>
      </c>
      <c r="C11" s="120"/>
      <c r="D11" s="108" t="str">
        <f>IF(メイン!F12="","",メイン!F12)</f>
        <v>６地域</v>
      </c>
      <c r="E11" s="120"/>
      <c r="F11" s="121"/>
      <c r="G11" s="122"/>
      <c r="H11" s="106" t="str">
        <f>IF(メイン!I3=3,メイン!J33,メイン!I33)</f>
        <v>年間使用時間</v>
      </c>
      <c r="I11" s="107"/>
      <c r="J11" s="123" t="str">
        <f>IF(メイン!I3=3,メイン!C34,メイン!C33)</f>
        <v>XXX</v>
      </c>
      <c r="K11" s="1688" t="str">
        <f>IF(メイン!I3=3,メイン!D34,メイン!D33)</f>
        <v>時間/年（想定値）</v>
      </c>
      <c r="L11" s="115"/>
      <c r="M11" s="116"/>
      <c r="N11" s="116"/>
      <c r="O11" s="117"/>
      <c r="R11" s="101" t="s">
        <v>1876</v>
      </c>
      <c r="S11" s="101">
        <f>S9/S10</f>
        <v>0.68945233265720085</v>
      </c>
      <c r="U11" s="101" t="s">
        <v>1972</v>
      </c>
      <c r="V11" s="124" t="s">
        <v>1877</v>
      </c>
      <c r="W11" s="100">
        <v>5</v>
      </c>
      <c r="X11" s="100">
        <v>4</v>
      </c>
      <c r="Y11" s="100">
        <v>2</v>
      </c>
      <c r="Z11" s="3203">
        <f>IF(V57=0,0.9,V57)</f>
        <v>3</v>
      </c>
      <c r="AA11" s="98">
        <v>3</v>
      </c>
      <c r="AB11" s="3202" t="str">
        <f>IF(V57=0,"N.A.","")</f>
        <v/>
      </c>
    </row>
    <row r="12" spans="1:28" ht="18.75" customHeight="1">
      <c r="B12" s="125" t="s">
        <v>1873</v>
      </c>
      <c r="C12" s="126"/>
      <c r="D12" s="127" t="str">
        <f>メイン!C21</f>
        <v>事務所,集合住宅,</v>
      </c>
      <c r="E12" s="126"/>
      <c r="F12" s="126"/>
      <c r="G12" s="128"/>
      <c r="H12" s="106" t="s">
        <v>1874</v>
      </c>
      <c r="I12" s="129"/>
      <c r="J12" s="108" t="str">
        <f>IF(メイン!E39=0,"",メイン!E39&amp;"評価")</f>
        <v>実施設計段階評価</v>
      </c>
      <c r="K12" s="130"/>
      <c r="L12" s="115"/>
      <c r="M12" s="131" t="s">
        <v>1875</v>
      </c>
      <c r="N12" s="116"/>
      <c r="O12" s="117"/>
      <c r="R12" s="101" t="s">
        <v>618</v>
      </c>
      <c r="S12" s="136">
        <f>ROUNDDOWN(S11,1)</f>
        <v>0.6</v>
      </c>
      <c r="U12" s="101" t="s">
        <v>619</v>
      </c>
      <c r="V12" s="124" t="s">
        <v>620</v>
      </c>
      <c r="W12" s="100">
        <v>5</v>
      </c>
      <c r="X12" s="100">
        <v>4</v>
      </c>
      <c r="Y12" s="100">
        <v>2</v>
      </c>
      <c r="Z12" s="3203">
        <f>IF(S57=0,0.9,S57)</f>
        <v>2.2000000000000002</v>
      </c>
      <c r="AA12" s="98">
        <v>3</v>
      </c>
      <c r="AB12" s="3202" t="str">
        <f>IF(S57=0,"N.A.","")</f>
        <v/>
      </c>
    </row>
    <row r="13" spans="1:28" ht="17.25" customHeight="1">
      <c r="B13" s="1566" t="s">
        <v>494</v>
      </c>
      <c r="C13" s="1567"/>
      <c r="D13" s="3227" t="str">
        <f>メイン!C15</f>
        <v>202●年●月</v>
      </c>
      <c r="E13" s="3228"/>
      <c r="F13" s="1568" t="str">
        <f>メイン!F15</f>
        <v>予定</v>
      </c>
      <c r="G13" s="1569"/>
      <c r="H13" s="91" t="s">
        <v>495</v>
      </c>
      <c r="I13" s="132"/>
      <c r="J13" s="133" t="str">
        <f>IF(メイン!C39=0,"",メイン!C39)</f>
        <v>202●年●月●日</v>
      </c>
      <c r="K13" s="134"/>
      <c r="L13" s="115"/>
      <c r="M13" s="135" t="s">
        <v>2459</v>
      </c>
      <c r="N13" s="116"/>
      <c r="O13" s="117"/>
      <c r="R13" s="101" t="s">
        <v>501</v>
      </c>
      <c r="S13" s="142">
        <f>IF(AND($S$9&gt;=50,$S$11&gt;=3),1,IF(S12&lt;0.5,1,IF(S12&lt;1,2,IF(S12&lt;1.5,3,IF(S12&lt;3,4,4))))/5)</f>
        <v>0.4</v>
      </c>
      <c r="U13" s="101" t="s">
        <v>622</v>
      </c>
      <c r="V13" s="118" t="s">
        <v>498</v>
      </c>
      <c r="W13" s="100">
        <v>5</v>
      </c>
      <c r="X13" s="100">
        <v>4</v>
      </c>
      <c r="Y13" s="100">
        <v>2</v>
      </c>
      <c r="Z13" s="3203">
        <f>IF(S46=0,0.9,S46)</f>
        <v>2.9</v>
      </c>
      <c r="AA13" s="98">
        <v>3</v>
      </c>
      <c r="AB13" s="3202" t="str">
        <f>IF(S46=0,"N.A.","")</f>
        <v/>
      </c>
    </row>
    <row r="14" spans="1:28" ht="17.25" hidden="1" customHeight="1">
      <c r="B14" s="1512" t="s">
        <v>2687</v>
      </c>
      <c r="C14" s="94"/>
      <c r="D14" s="3235" t="str">
        <f>メイン!C16</f>
        <v>2016年６月～８月</v>
      </c>
      <c r="E14" s="3236"/>
      <c r="F14"/>
      <c r="G14"/>
      <c r="H14" s="91"/>
      <c r="I14" s="132"/>
      <c r="J14" s="133"/>
      <c r="K14" s="134"/>
      <c r="L14" s="115"/>
      <c r="M14" s="135"/>
      <c r="N14" s="116"/>
      <c r="O14" s="117"/>
      <c r="R14" s="101" t="s">
        <v>504</v>
      </c>
      <c r="S14" s="148">
        <f>1-S13</f>
        <v>0.6</v>
      </c>
    </row>
    <row r="15" spans="1:28" ht="14.25">
      <c r="B15" s="1570" t="s">
        <v>496</v>
      </c>
      <c r="C15" s="1571"/>
      <c r="D15" s="1572"/>
      <c r="E15" s="1573">
        <f>メイン!C17</f>
        <v>1000</v>
      </c>
      <c r="F15" s="1568" t="s">
        <v>621</v>
      </c>
      <c r="G15" s="1569"/>
      <c r="H15" s="91" t="s">
        <v>497</v>
      </c>
      <c r="I15" s="132"/>
      <c r="J15" s="141" t="str">
        <f>IF(メイン!C40=0,"",メイン!C40)</f>
        <v>○○○</v>
      </c>
      <c r="K15" s="134"/>
      <c r="L15" s="115"/>
      <c r="M15" s="135" t="s">
        <v>2460</v>
      </c>
      <c r="N15" s="116"/>
      <c r="O15" s="117"/>
      <c r="S15" s="64"/>
    </row>
    <row r="16" spans="1:28" ht="18.75" customHeight="1">
      <c r="B16" s="91" t="s">
        <v>499</v>
      </c>
      <c r="C16" s="137"/>
      <c r="D16" s="138"/>
      <c r="E16" s="139">
        <f>メイン!C18</f>
        <v>500</v>
      </c>
      <c r="F16" s="140" t="s">
        <v>623</v>
      </c>
      <c r="G16" s="64"/>
      <c r="H16" s="91" t="s">
        <v>500</v>
      </c>
      <c r="I16" s="132"/>
      <c r="J16" s="133" t="str">
        <f>IF(メイン!C41=0,"",メイン!C41)</f>
        <v>202●年●月●日</v>
      </c>
      <c r="K16" s="134"/>
      <c r="L16" s="115"/>
      <c r="M16" s="116"/>
      <c r="N16" s="116"/>
      <c r="O16" s="117"/>
      <c r="S16" s="64"/>
      <c r="V16" s="55"/>
      <c r="Z16" s="55"/>
    </row>
    <row r="17" spans="2:50" ht="18" customHeight="1" thickBot="1">
      <c r="B17" s="91" t="s">
        <v>502</v>
      </c>
      <c r="C17" s="137"/>
      <c r="D17" s="138"/>
      <c r="E17" s="143">
        <f>メイン!J69</f>
        <v>1500</v>
      </c>
      <c r="F17" s="144" t="s">
        <v>621</v>
      </c>
      <c r="G17" s="64"/>
      <c r="H17" s="91" t="s">
        <v>503</v>
      </c>
      <c r="I17" s="132"/>
      <c r="J17" s="141" t="str">
        <f>IF(メイン!C42=0,"",メイン!C42)</f>
        <v>○○○</v>
      </c>
      <c r="K17" s="134"/>
      <c r="L17" s="145"/>
      <c r="M17" s="146"/>
      <c r="N17" s="146"/>
      <c r="O17" s="147"/>
      <c r="S17" s="64"/>
      <c r="T17" s="55"/>
      <c r="U17" s="149"/>
      <c r="V17" s="55"/>
      <c r="W17" s="55"/>
      <c r="X17" s="55"/>
      <c r="Y17" s="55"/>
      <c r="Z17" s="55"/>
      <c r="AA17" s="55"/>
      <c r="AB17" s="55"/>
    </row>
    <row r="18" spans="2:50" ht="15" hidden="1" thickBot="1">
      <c r="B18" s="1511" t="s">
        <v>505</v>
      </c>
      <c r="C18" s="64"/>
      <c r="D18" s="1513" t="s">
        <v>2601</v>
      </c>
      <c r="E18"/>
      <c r="F18"/>
      <c r="G18"/>
      <c r="H18"/>
      <c r="I18"/>
      <c r="J18"/>
      <c r="K18"/>
      <c r="L18" s="150" t="s">
        <v>506</v>
      </c>
      <c r="M18" s="151" t="s">
        <v>507</v>
      </c>
      <c r="N18" s="1513" t="s">
        <v>2601</v>
      </c>
      <c r="O18" s="111"/>
      <c r="R18" s="55"/>
      <c r="S18" s="55"/>
      <c r="T18" s="55"/>
      <c r="U18" s="55"/>
      <c r="V18" s="55"/>
      <c r="W18" s="55"/>
      <c r="X18" s="55"/>
      <c r="Y18" s="55"/>
      <c r="Z18" s="55"/>
      <c r="AA18" s="55"/>
      <c r="AB18" s="55"/>
    </row>
    <row r="19" spans="2:50" ht="15" hidden="1" thickBot="1">
      <c r="B19" s="1511" t="s">
        <v>508</v>
      </c>
      <c r="C19" s="152"/>
      <c r="D19" s="1513" t="s">
        <v>2601</v>
      </c>
      <c r="E19"/>
      <c r="F19"/>
      <c r="G19"/>
      <c r="H19"/>
      <c r="I19"/>
      <c r="J19"/>
      <c r="K19"/>
      <c r="L19" s="153"/>
      <c r="M19" s="151" t="s">
        <v>509</v>
      </c>
      <c r="N19" s="1513" t="s">
        <v>2601</v>
      </c>
      <c r="O19" s="154"/>
      <c r="R19" s="144"/>
      <c r="S19" s="92"/>
      <c r="T19" s="55"/>
      <c r="U19" s="55"/>
      <c r="V19" s="92"/>
      <c r="W19" s="96"/>
      <c r="X19" s="55"/>
      <c r="Y19" s="55"/>
      <c r="Z19" s="55"/>
      <c r="AA19" s="55"/>
      <c r="AB19" s="55"/>
    </row>
    <row r="20" spans="2:50" ht="15" hidden="1" thickBot="1">
      <c r="B20" s="1511" t="s">
        <v>510</v>
      </c>
      <c r="C20" s="92"/>
      <c r="D20" s="1513" t="s">
        <v>2601</v>
      </c>
      <c r="E20"/>
      <c r="F20"/>
      <c r="G20"/>
      <c r="H20"/>
      <c r="I20"/>
      <c r="J20"/>
      <c r="K20"/>
      <c r="L20" s="153"/>
      <c r="M20" s="151" t="s">
        <v>511</v>
      </c>
      <c r="N20" s="1513" t="s">
        <v>2601</v>
      </c>
      <c r="O20" s="154"/>
      <c r="R20" s="144"/>
      <c r="S20" s="92"/>
      <c r="T20" s="55"/>
      <c r="U20" s="55"/>
      <c r="V20" s="92"/>
      <c r="W20" s="96"/>
      <c r="X20" s="55"/>
      <c r="Y20" s="55"/>
      <c r="Z20" s="55"/>
      <c r="AA20" s="55"/>
      <c r="AB20" s="55"/>
    </row>
    <row r="21" spans="2:50" ht="15" hidden="1" thickBot="1">
      <c r="B21" s="1511" t="s">
        <v>512</v>
      </c>
      <c r="C21" s="113"/>
      <c r="D21" s="1513" t="s">
        <v>2601</v>
      </c>
      <c r="E21"/>
      <c r="F21"/>
      <c r="G21"/>
      <c r="H21"/>
      <c r="I21"/>
      <c r="J21"/>
      <c r="K21"/>
      <c r="L21" s="157"/>
      <c r="M21" s="158" t="s">
        <v>513</v>
      </c>
      <c r="N21" s="1513" t="s">
        <v>2601</v>
      </c>
      <c r="O21" s="159"/>
      <c r="R21" s="144"/>
      <c r="S21" s="92"/>
      <c r="T21" s="55"/>
      <c r="U21" s="55"/>
      <c r="V21" s="92"/>
      <c r="W21" s="96"/>
      <c r="X21" s="55"/>
      <c r="Y21" s="55"/>
      <c r="Z21" s="55"/>
      <c r="AA21" s="55"/>
      <c r="AB21" s="55"/>
    </row>
    <row r="22" spans="2:50" ht="6.75" customHeight="1" thickBot="1">
      <c r="B22" s="160"/>
      <c r="C22" s="161"/>
      <c r="D22" s="160"/>
      <c r="E22" s="162"/>
      <c r="F22" s="162"/>
      <c r="G22" s="162"/>
      <c r="H22" s="162"/>
      <c r="I22" s="163"/>
      <c r="J22" s="164"/>
      <c r="K22" s="165"/>
      <c r="L22" s="162"/>
      <c r="M22" s="162"/>
      <c r="N22" s="162"/>
      <c r="O22" s="162"/>
      <c r="R22" s="144"/>
      <c r="S22" s="92"/>
      <c r="T22" s="55"/>
      <c r="U22" s="55"/>
      <c r="V22" s="92"/>
      <c r="W22" s="96"/>
      <c r="X22" s="55"/>
      <c r="Y22" s="55"/>
      <c r="Z22" s="55"/>
      <c r="AA22" s="55"/>
      <c r="AB22" s="55"/>
    </row>
    <row r="23" spans="2:50" ht="19.5" thickBot="1">
      <c r="B23" s="166" t="s">
        <v>514</v>
      </c>
      <c r="C23" s="167"/>
      <c r="D23" s="168"/>
      <c r="E23" s="169"/>
      <c r="F23" s="169"/>
      <c r="G23" s="169"/>
      <c r="H23" s="170" t="s">
        <v>515</v>
      </c>
      <c r="I23" s="171"/>
      <c r="J23" s="172"/>
      <c r="K23" s="172"/>
      <c r="L23" s="173" t="s">
        <v>516</v>
      </c>
      <c r="M23" s="167"/>
      <c r="N23" s="168"/>
      <c r="O23" s="169"/>
      <c r="R23" s="101" t="s">
        <v>624</v>
      </c>
      <c r="S23" s="99" t="s">
        <v>517</v>
      </c>
      <c r="T23" s="99" t="s">
        <v>518</v>
      </c>
      <c r="U23" s="99" t="s">
        <v>519</v>
      </c>
      <c r="AB23" s="55"/>
    </row>
    <row r="24" spans="2:50" ht="15" customHeight="1">
      <c r="B24" s="110"/>
      <c r="C24" s="64"/>
      <c r="D24" s="64"/>
      <c r="E24" s="64"/>
      <c r="F24" s="64"/>
      <c r="G24" s="64"/>
      <c r="H24" s="174"/>
      <c r="I24" s="175"/>
      <c r="J24" s="162"/>
      <c r="K24" s="176"/>
      <c r="L24" s="177"/>
      <c r="M24" s="64"/>
      <c r="N24" s="64"/>
      <c r="O24" s="111"/>
      <c r="P24" s="64"/>
      <c r="Q24" s="64"/>
      <c r="R24" s="101" t="s">
        <v>520</v>
      </c>
      <c r="S24" s="112"/>
      <c r="T24" s="178">
        <f>S10</f>
        <v>57.516666666666673</v>
      </c>
      <c r="U24" s="112">
        <v>0</v>
      </c>
      <c r="V24" s="55"/>
      <c r="W24" s="99" t="s">
        <v>521</v>
      </c>
      <c r="X24" s="99"/>
      <c r="Y24" s="55"/>
      <c r="Z24" s="99" t="s">
        <v>522</v>
      </c>
      <c r="AA24" s="99"/>
      <c r="AB24" s="55"/>
      <c r="AL24" s="64" t="str">
        <f>IF(建築環境SDGsチェックリスト!E3="実施する","表示","非表示")</f>
        <v>非表示</v>
      </c>
      <c r="AP24" s="3237"/>
      <c r="AQ24" s="3237"/>
      <c r="AR24" s="3237"/>
      <c r="AS24" s="3237"/>
      <c r="AU24" s="3237"/>
      <c r="AV24" s="3237"/>
      <c r="AW24" s="3237"/>
      <c r="AX24" s="3237"/>
    </row>
    <row r="25" spans="2:50" ht="15" customHeight="1">
      <c r="B25" s="179"/>
      <c r="C25" s="180">
        <f>S12</f>
        <v>0.6</v>
      </c>
      <c r="D25" s="64"/>
      <c r="E25" s="64"/>
      <c r="F25" s="64"/>
      <c r="G25" s="64"/>
      <c r="H25" s="181"/>
      <c r="I25" s="182"/>
      <c r="J25" s="183"/>
      <c r="K25" s="184"/>
      <c r="L25" s="185"/>
      <c r="M25" s="64"/>
      <c r="N25" s="64"/>
      <c r="O25" s="111"/>
      <c r="P25" s="64"/>
      <c r="Q25" s="64"/>
      <c r="R25" s="101" t="s">
        <v>523</v>
      </c>
      <c r="S25" s="112"/>
      <c r="T25" s="178">
        <f>S9</f>
        <v>39.655000000000008</v>
      </c>
      <c r="U25" s="112">
        <v>0</v>
      </c>
      <c r="V25" s="55"/>
      <c r="W25" s="112">
        <v>50</v>
      </c>
      <c r="X25" s="112">
        <v>50</v>
      </c>
      <c r="Y25" s="55"/>
      <c r="Z25" s="112">
        <v>0</v>
      </c>
      <c r="AA25" s="112">
        <v>100</v>
      </c>
      <c r="AB25" s="55"/>
      <c r="AP25" s="3237"/>
      <c r="AQ25" s="3237"/>
      <c r="AR25" s="3237"/>
      <c r="AS25" s="3237"/>
      <c r="AU25" s="3237"/>
      <c r="AV25" s="3237"/>
      <c r="AW25" s="3237"/>
      <c r="AX25" s="3237"/>
    </row>
    <row r="26" spans="2:50" ht="15" customHeight="1">
      <c r="B26" s="110"/>
      <c r="C26" s="64"/>
      <c r="D26" s="64"/>
      <c r="E26" s="64"/>
      <c r="F26" s="64"/>
      <c r="G26" s="64"/>
      <c r="H26" s="181"/>
      <c r="I26" s="64"/>
      <c r="J26" s="183"/>
      <c r="K26" s="184"/>
      <c r="L26" s="185"/>
      <c r="M26" s="64"/>
      <c r="N26" s="64"/>
      <c r="O26" s="111"/>
      <c r="P26" s="64"/>
      <c r="Q26" s="64"/>
      <c r="R26" s="112">
        <v>0</v>
      </c>
      <c r="S26" s="99">
        <f>T24</f>
        <v>57.516666666666673</v>
      </c>
      <c r="T26" s="186">
        <f>T24</f>
        <v>57.516666666666673</v>
      </c>
      <c r="U26" s="99">
        <v>0.1</v>
      </c>
      <c r="V26" s="55"/>
      <c r="W26" s="112">
        <v>0</v>
      </c>
      <c r="X26" s="112">
        <v>100</v>
      </c>
      <c r="Y26" s="55"/>
      <c r="Z26" s="112">
        <v>50</v>
      </c>
      <c r="AA26" s="112">
        <v>50</v>
      </c>
      <c r="AB26" s="55"/>
      <c r="AP26" s="3237"/>
      <c r="AQ26" s="3237"/>
      <c r="AR26" s="3237"/>
      <c r="AS26" s="3237"/>
      <c r="AU26" s="3237"/>
      <c r="AV26" s="3237"/>
      <c r="AW26" s="3237"/>
      <c r="AX26" s="3237"/>
    </row>
    <row r="27" spans="2:50" ht="15" customHeight="1">
      <c r="B27" s="187"/>
      <c r="C27" s="188"/>
      <c r="D27" s="188"/>
      <c r="E27" s="188"/>
      <c r="F27" s="188"/>
      <c r="G27" s="188"/>
      <c r="H27" s="189"/>
      <c r="I27" s="190"/>
      <c r="J27" s="191"/>
      <c r="K27" s="192"/>
      <c r="L27" s="110"/>
      <c r="M27" s="64"/>
      <c r="O27" s="111"/>
      <c r="P27" s="64"/>
      <c r="Q27" s="64"/>
      <c r="R27" s="112">
        <v>0</v>
      </c>
      <c r="S27" s="99">
        <v>0</v>
      </c>
      <c r="T27" s="99">
        <f>T25</f>
        <v>39.655000000000008</v>
      </c>
      <c r="U27" s="193">
        <f>T25</f>
        <v>39.655000000000008</v>
      </c>
      <c r="V27" s="55"/>
      <c r="W27" s="55"/>
      <c r="X27" s="55"/>
      <c r="Y27" s="55"/>
      <c r="Z27" s="55"/>
      <c r="AA27" s="55"/>
      <c r="AB27" s="55"/>
      <c r="AP27" s="3237"/>
      <c r="AQ27" s="3237"/>
      <c r="AR27" s="3237"/>
      <c r="AS27" s="3237"/>
      <c r="AU27" s="3237"/>
      <c r="AV27" s="3237"/>
      <c r="AW27" s="3237"/>
      <c r="AX27" s="3237"/>
    </row>
    <row r="28" spans="2:50" ht="15" customHeight="1">
      <c r="B28" s="110"/>
      <c r="C28" s="64"/>
      <c r="D28" s="64"/>
      <c r="E28" s="64"/>
      <c r="F28" s="64"/>
      <c r="G28" s="64"/>
      <c r="H28" s="194" t="str">
        <f>U36</f>
        <v>標準計算</v>
      </c>
      <c r="I28" s="64"/>
      <c r="J28" s="183"/>
      <c r="K28" s="183"/>
      <c r="L28" s="110"/>
      <c r="M28" s="64"/>
      <c r="N28" s="64"/>
      <c r="O28" s="111"/>
      <c r="P28" s="64"/>
      <c r="Q28" s="64"/>
      <c r="S28" s="64"/>
      <c r="V28" s="55"/>
      <c r="W28" s="55"/>
      <c r="X28" s="55"/>
      <c r="Y28" s="55"/>
      <c r="Z28" s="55"/>
      <c r="AA28" s="55"/>
      <c r="AB28" s="55"/>
      <c r="AP28" s="3237"/>
      <c r="AQ28" s="3237"/>
      <c r="AR28" s="3237"/>
      <c r="AS28" s="3237"/>
      <c r="AU28" s="3237"/>
      <c r="AV28" s="3237"/>
      <c r="AW28" s="3237"/>
      <c r="AX28" s="3237"/>
    </row>
    <row r="29" spans="2:50" ht="15" customHeight="1">
      <c r="B29" s="110"/>
      <c r="C29" s="64"/>
      <c r="D29" s="64"/>
      <c r="E29" s="64"/>
      <c r="F29" s="64"/>
      <c r="G29" s="64"/>
      <c r="H29" s="110"/>
      <c r="I29" s="64"/>
      <c r="J29" s="183"/>
      <c r="K29" s="184"/>
      <c r="L29" s="195"/>
      <c r="M29" s="196"/>
      <c r="N29" s="197"/>
      <c r="O29" s="198"/>
      <c r="P29" s="64"/>
      <c r="Q29" s="64"/>
      <c r="R29" s="199" t="s">
        <v>625</v>
      </c>
      <c r="S29" s="99" t="s">
        <v>626</v>
      </c>
      <c r="T29" s="200">
        <v>0</v>
      </c>
      <c r="U29" s="200">
        <f>100/6</f>
        <v>16.666666666666668</v>
      </c>
      <c r="V29" s="201">
        <f>U29*2</f>
        <v>33.333333333333336</v>
      </c>
      <c r="W29" s="200">
        <f>U29*3</f>
        <v>50</v>
      </c>
      <c r="X29" s="200">
        <f>U29*4</f>
        <v>66.666666666666671</v>
      </c>
      <c r="Y29" s="200">
        <f>U29*5</f>
        <v>83.333333333333343</v>
      </c>
      <c r="Z29" s="200">
        <v>100</v>
      </c>
      <c r="AA29" s="55"/>
      <c r="AB29" s="55"/>
      <c r="AP29" s="3237"/>
      <c r="AQ29" s="3237"/>
      <c r="AR29" s="3237"/>
      <c r="AS29" s="3237"/>
      <c r="AU29" s="3237"/>
      <c r="AV29" s="3237"/>
      <c r="AW29" s="3237"/>
      <c r="AX29" s="3237"/>
    </row>
    <row r="30" spans="2:50" ht="15" customHeight="1">
      <c r="B30" s="110"/>
      <c r="C30" s="64"/>
      <c r="D30" s="64"/>
      <c r="E30" s="64"/>
      <c r="F30" s="64"/>
      <c r="G30" s="64"/>
      <c r="H30" s="110"/>
      <c r="I30" s="64"/>
      <c r="J30" s="183"/>
      <c r="K30" s="184"/>
      <c r="L30" s="195"/>
      <c r="M30" s="196"/>
      <c r="N30" s="197"/>
      <c r="O30" s="198"/>
      <c r="P30" s="64"/>
      <c r="Q30" s="64"/>
      <c r="R30" s="199"/>
      <c r="S30" s="99" t="s">
        <v>627</v>
      </c>
      <c r="T30" s="200">
        <v>100</v>
      </c>
      <c r="U30" s="200">
        <v>100</v>
      </c>
      <c r="V30" s="200">
        <v>100</v>
      </c>
      <c r="W30" s="200">
        <v>100</v>
      </c>
      <c r="X30" s="200">
        <v>100</v>
      </c>
      <c r="Y30" s="200">
        <v>100</v>
      </c>
      <c r="Z30" s="200">
        <v>100</v>
      </c>
      <c r="AA30" s="55"/>
      <c r="AB30" s="55"/>
      <c r="AP30" s="3237"/>
      <c r="AQ30" s="3237"/>
      <c r="AR30" s="3237"/>
      <c r="AS30" s="3237"/>
      <c r="AU30" s="3237"/>
      <c r="AV30" s="3237"/>
      <c r="AW30" s="3237"/>
      <c r="AX30" s="3237"/>
    </row>
    <row r="31" spans="2:50" ht="15" customHeight="1">
      <c r="B31" s="110"/>
      <c r="C31" s="64"/>
      <c r="D31" s="64"/>
      <c r="E31" s="64"/>
      <c r="F31" s="64"/>
      <c r="G31" s="64"/>
      <c r="H31" s="110"/>
      <c r="I31" s="64"/>
      <c r="J31" s="183"/>
      <c r="K31" s="184"/>
      <c r="L31" s="202"/>
      <c r="M31" s="203"/>
      <c r="N31" s="204"/>
      <c r="O31" s="205"/>
      <c r="P31" s="64"/>
      <c r="Q31" s="64"/>
      <c r="R31" s="199">
        <v>3</v>
      </c>
      <c r="S31" s="99" t="s">
        <v>628</v>
      </c>
      <c r="T31" s="200">
        <v>50</v>
      </c>
      <c r="U31" s="200">
        <f t="shared" ref="U31:V34" si="0">U$29*$R31</f>
        <v>50</v>
      </c>
      <c r="V31" s="200">
        <f t="shared" si="0"/>
        <v>100</v>
      </c>
      <c r="W31" s="200">
        <v>100</v>
      </c>
      <c r="X31" s="200">
        <v>100</v>
      </c>
      <c r="Y31" s="200">
        <v>100</v>
      </c>
      <c r="Z31" s="200">
        <v>100</v>
      </c>
      <c r="AA31" s="55"/>
      <c r="AB31" s="55"/>
      <c r="AP31" s="3237"/>
      <c r="AQ31" s="3237"/>
      <c r="AR31" s="3237"/>
      <c r="AS31" s="3237"/>
      <c r="AU31" s="3237"/>
      <c r="AV31" s="3237"/>
      <c r="AW31" s="3237"/>
      <c r="AX31" s="3237"/>
    </row>
    <row r="32" spans="2:50" ht="15" customHeight="1">
      <c r="B32" s="110"/>
      <c r="C32" s="64"/>
      <c r="D32" s="64"/>
      <c r="E32" s="64"/>
      <c r="F32" s="64"/>
      <c r="G32" s="64"/>
      <c r="H32" s="110"/>
      <c r="I32" s="64"/>
      <c r="J32" s="183"/>
      <c r="K32" s="184"/>
      <c r="L32" s="195"/>
      <c r="M32" s="196"/>
      <c r="N32" s="197"/>
      <c r="O32" s="198"/>
      <c r="P32" s="64"/>
      <c r="Q32" s="64"/>
      <c r="R32" s="199">
        <v>1.5</v>
      </c>
      <c r="S32" s="99" t="s">
        <v>629</v>
      </c>
      <c r="T32" s="200">
        <v>0</v>
      </c>
      <c r="U32" s="200">
        <f t="shared" si="0"/>
        <v>25</v>
      </c>
      <c r="V32" s="200">
        <f t="shared" si="0"/>
        <v>50</v>
      </c>
      <c r="W32" s="200">
        <f t="shared" ref="W32:X34" si="1">W$29*$R32</f>
        <v>75</v>
      </c>
      <c r="X32" s="200">
        <f t="shared" si="1"/>
        <v>100</v>
      </c>
      <c r="Y32" s="200">
        <v>100</v>
      </c>
      <c r="Z32" s="200">
        <v>100</v>
      </c>
      <c r="AA32" s="55"/>
      <c r="AB32" s="55"/>
      <c r="AP32" s="3237"/>
      <c r="AQ32" s="3237"/>
      <c r="AR32" s="3237"/>
      <c r="AS32" s="3237"/>
      <c r="AU32" s="3237"/>
      <c r="AV32" s="3237"/>
      <c r="AW32" s="3237"/>
      <c r="AX32" s="3237"/>
    </row>
    <row r="33" spans="2:50" ht="15" customHeight="1">
      <c r="B33" s="110"/>
      <c r="C33" s="64"/>
      <c r="D33" s="64"/>
      <c r="E33" s="64"/>
      <c r="F33" s="64"/>
      <c r="G33" s="64"/>
      <c r="H33" s="110"/>
      <c r="I33" s="64"/>
      <c r="J33" s="183"/>
      <c r="K33" s="184"/>
      <c r="L33" s="195"/>
      <c r="M33" s="196"/>
      <c r="N33" s="197"/>
      <c r="O33" s="198"/>
      <c r="P33" s="64"/>
      <c r="Q33" s="64"/>
      <c r="R33" s="199">
        <v>1</v>
      </c>
      <c r="S33" s="99" t="s">
        <v>630</v>
      </c>
      <c r="T33" s="200">
        <v>0</v>
      </c>
      <c r="U33" s="200">
        <f t="shared" si="0"/>
        <v>16.666666666666668</v>
      </c>
      <c r="V33" s="200">
        <f t="shared" si="0"/>
        <v>33.333333333333336</v>
      </c>
      <c r="W33" s="200">
        <f t="shared" si="1"/>
        <v>50</v>
      </c>
      <c r="X33" s="200">
        <f t="shared" si="1"/>
        <v>66.666666666666671</v>
      </c>
      <c r="Y33" s="200">
        <f>Y$29*$R33</f>
        <v>83.333333333333343</v>
      </c>
      <c r="Z33" s="200">
        <f>Z$29*$R33</f>
        <v>100</v>
      </c>
      <c r="AA33" s="55"/>
      <c r="AB33" s="55"/>
      <c r="AP33" s="3237"/>
      <c r="AQ33" s="3237"/>
      <c r="AR33" s="3237"/>
      <c r="AS33" s="3237"/>
      <c r="AU33" s="3237"/>
      <c r="AV33" s="3237"/>
      <c r="AW33" s="3237"/>
      <c r="AX33" s="3237"/>
    </row>
    <row r="34" spans="2:50" ht="15" customHeight="1">
      <c r="B34" s="110"/>
      <c r="C34" s="64"/>
      <c r="D34" s="64"/>
      <c r="E34" s="64"/>
      <c r="F34" s="64"/>
      <c r="G34" s="64"/>
      <c r="H34" s="110"/>
      <c r="I34" s="64"/>
      <c r="J34" s="183"/>
      <c r="K34" s="184"/>
      <c r="L34" s="195"/>
      <c r="M34" s="196"/>
      <c r="N34" s="197"/>
      <c r="O34" s="198"/>
      <c r="P34" s="64"/>
      <c r="Q34" s="64"/>
      <c r="R34" s="199">
        <v>0.5</v>
      </c>
      <c r="S34" s="99" t="s">
        <v>631</v>
      </c>
      <c r="T34" s="200">
        <v>0</v>
      </c>
      <c r="U34" s="200">
        <f t="shared" si="0"/>
        <v>8.3333333333333339</v>
      </c>
      <c r="V34" s="200">
        <f t="shared" si="0"/>
        <v>16.666666666666668</v>
      </c>
      <c r="W34" s="200">
        <f t="shared" si="1"/>
        <v>25</v>
      </c>
      <c r="X34" s="200">
        <f t="shared" si="1"/>
        <v>33.333333333333336</v>
      </c>
      <c r="Y34" s="200">
        <f>Y$29*$R34</f>
        <v>41.666666666666671</v>
      </c>
      <c r="Z34" s="200">
        <f>Z$29*$R34</f>
        <v>50</v>
      </c>
      <c r="AA34" s="55"/>
      <c r="AB34" s="55"/>
      <c r="AP34" s="3237"/>
      <c r="AQ34" s="3237"/>
      <c r="AR34" s="3237"/>
      <c r="AS34" s="3237"/>
      <c r="AU34" s="3237"/>
      <c r="AV34" s="3237"/>
      <c r="AW34" s="3237"/>
      <c r="AX34" s="3237"/>
    </row>
    <row r="35" spans="2:50" ht="15" customHeight="1">
      <c r="B35" s="110"/>
      <c r="C35" s="64"/>
      <c r="D35" s="64"/>
      <c r="E35" s="64"/>
      <c r="F35" s="64"/>
      <c r="G35" s="64"/>
      <c r="H35" s="181"/>
      <c r="I35" s="182"/>
      <c r="J35" s="183"/>
      <c r="K35" s="184"/>
      <c r="L35" s="195"/>
      <c r="M35" s="64"/>
      <c r="N35" s="64"/>
      <c r="O35" s="111"/>
      <c r="P35" s="64"/>
      <c r="Q35" s="64"/>
      <c r="R35" s="206"/>
      <c r="S35" s="149"/>
      <c r="T35" s="207"/>
      <c r="U35" s="207"/>
      <c r="V35" s="207"/>
      <c r="W35" s="207"/>
      <c r="X35" s="207"/>
      <c r="Y35" s="207"/>
      <c r="Z35" s="207"/>
      <c r="AA35" s="55"/>
      <c r="AB35" s="55"/>
      <c r="AP35" s="3237"/>
      <c r="AQ35" s="3237"/>
      <c r="AR35" s="3237"/>
      <c r="AS35" s="3237"/>
      <c r="AU35" s="3237"/>
      <c r="AV35" s="3237"/>
      <c r="AW35" s="3237"/>
      <c r="AX35" s="3237"/>
    </row>
    <row r="36" spans="2:50" ht="15" customHeight="1">
      <c r="B36" s="110"/>
      <c r="C36" s="64"/>
      <c r="D36" s="64"/>
      <c r="E36" s="64"/>
      <c r="F36" s="64"/>
      <c r="G36" s="64"/>
      <c r="H36" s="208"/>
      <c r="I36" s="209"/>
      <c r="J36" s="209"/>
      <c r="K36" s="210"/>
      <c r="L36" s="195"/>
      <c r="M36" s="64"/>
      <c r="N36" s="211"/>
      <c r="O36" s="111"/>
      <c r="P36" s="64"/>
      <c r="Q36" s="64"/>
      <c r="R36" s="101" t="s">
        <v>632</v>
      </c>
      <c r="S36" s="142">
        <f>IF(T36&lt;=0.3,1,IF(T36&lt;=0.6,0.8,IF(T36&lt;=0.8,0.6,IF(T36&lt;=1,0.4,0.2))))</f>
        <v>0.4</v>
      </c>
      <c r="T36" s="207">
        <f>IF(U36=W36,X42,X43)</f>
        <v>0.98521560009150777</v>
      </c>
      <c r="U36" s="212" t="str">
        <f>メイン!C43</f>
        <v>標準計算</v>
      </c>
      <c r="V36" s="213" t="s">
        <v>633</v>
      </c>
      <c r="W36" s="212" t="s">
        <v>373</v>
      </c>
      <c r="X36" s="212" t="s">
        <v>524</v>
      </c>
      <c r="Y36" s="207"/>
      <c r="Z36" s="207"/>
      <c r="AA36" s="55"/>
      <c r="AB36" s="55"/>
      <c r="AP36" s="3237"/>
      <c r="AQ36" s="3237"/>
      <c r="AR36" s="3237"/>
      <c r="AS36" s="3237"/>
      <c r="AU36" s="3237"/>
      <c r="AV36" s="3237"/>
      <c r="AW36" s="3237"/>
      <c r="AX36" s="3237"/>
    </row>
    <row r="37" spans="2:50" ht="15" customHeight="1">
      <c r="B37" s="110"/>
      <c r="C37" s="64"/>
      <c r="D37" s="64"/>
      <c r="E37" s="64"/>
      <c r="F37" s="64"/>
      <c r="G37" s="64"/>
      <c r="H37" s="3229" t="str">
        <f>IF(U36=W36,X36,X37)</f>
        <v>このグラフは、LR3中の「地球温暖化への配慮」の内容を、一般的な建物（参照値）と比べたライフサイクルCO2 排出量の目安で示したものです</v>
      </c>
      <c r="I37" s="3230"/>
      <c r="J37" s="3230"/>
      <c r="K37" s="3231"/>
      <c r="L37" s="195"/>
      <c r="M37" s="64"/>
      <c r="N37" s="214"/>
      <c r="O37" s="111"/>
      <c r="P37" s="64"/>
      <c r="Q37" s="64"/>
      <c r="R37" s="101" t="s">
        <v>1177</v>
      </c>
      <c r="S37" s="148">
        <f>1-S36</f>
        <v>0.6</v>
      </c>
      <c r="T37" s="207"/>
      <c r="U37" s="212" t="s">
        <v>1737</v>
      </c>
      <c r="V37" s="207" t="str">
        <f>IF(U36=W37,V36,"")</f>
        <v/>
      </c>
      <c r="W37" s="212" t="s">
        <v>375</v>
      </c>
      <c r="X37" s="212" t="s">
        <v>588</v>
      </c>
      <c r="Y37" s="207"/>
      <c r="Z37" s="207"/>
      <c r="AA37" s="55"/>
      <c r="AB37" s="55"/>
      <c r="AP37" s="3237"/>
      <c r="AQ37" s="3237"/>
      <c r="AR37" s="3237"/>
      <c r="AS37" s="3237"/>
      <c r="AU37" s="3237"/>
      <c r="AV37" s="3237"/>
      <c r="AW37" s="3237"/>
      <c r="AX37" s="3237"/>
    </row>
    <row r="38" spans="2:50" ht="15" customHeight="1">
      <c r="B38" s="110"/>
      <c r="C38" s="50"/>
      <c r="D38" s="64"/>
      <c r="E38" s="64"/>
      <c r="F38" s="64"/>
      <c r="G38" s="64"/>
      <c r="H38" s="3229"/>
      <c r="I38" s="3230"/>
      <c r="J38" s="3230"/>
      <c r="K38" s="3231"/>
      <c r="L38" s="110"/>
      <c r="M38" s="215"/>
      <c r="N38" s="64"/>
      <c r="O38" s="111"/>
      <c r="P38" s="64"/>
      <c r="Q38" s="64"/>
      <c r="S38" s="64"/>
      <c r="AA38" s="55"/>
      <c r="AB38" s="55"/>
      <c r="AP38" s="3237"/>
      <c r="AQ38" s="3237"/>
      <c r="AR38" s="3237"/>
      <c r="AS38" s="3237"/>
      <c r="AU38" s="3237"/>
      <c r="AV38" s="3237"/>
      <c r="AW38" s="3237"/>
      <c r="AX38" s="3237"/>
    </row>
    <row r="39" spans="2:50" ht="15" customHeight="1" thickBot="1">
      <c r="B39" s="216"/>
      <c r="C39" s="155"/>
      <c r="D39" s="155"/>
      <c r="E39" s="155"/>
      <c r="F39" s="155"/>
      <c r="G39" s="155"/>
      <c r="H39" s="3232"/>
      <c r="I39" s="3233"/>
      <c r="J39" s="3233"/>
      <c r="K39" s="3234"/>
      <c r="L39" s="216"/>
      <c r="M39" s="217"/>
      <c r="N39" s="155"/>
      <c r="O39" s="218"/>
      <c r="P39" s="64"/>
      <c r="Q39" s="64"/>
      <c r="R39" s="219" t="s">
        <v>1178</v>
      </c>
      <c r="S39" s="220" t="s">
        <v>589</v>
      </c>
      <c r="T39" s="220" t="s">
        <v>590</v>
      </c>
      <c r="U39" s="220" t="s">
        <v>591</v>
      </c>
      <c r="V39" s="220" t="s">
        <v>1179</v>
      </c>
      <c r="W39" s="220" t="s">
        <v>1180</v>
      </c>
      <c r="X39" s="220" t="s">
        <v>1181</v>
      </c>
      <c r="Y39" s="98" t="s">
        <v>1182</v>
      </c>
      <c r="AA39" s="212"/>
      <c r="AP39" s="3237"/>
      <c r="AQ39" s="3237"/>
      <c r="AR39" s="3237"/>
      <c r="AS39" s="3237"/>
      <c r="AU39" s="3237"/>
      <c r="AV39" s="3237"/>
      <c r="AW39" s="3237"/>
      <c r="AX39" s="3237"/>
    </row>
    <row r="40" spans="2:50" ht="18" customHeight="1" thickBot="1">
      <c r="B40" s="221" t="s">
        <v>1183</v>
      </c>
      <c r="C40" s="222"/>
      <c r="D40" s="223"/>
      <c r="E40" s="222"/>
      <c r="F40" s="222"/>
      <c r="G40" s="222"/>
      <c r="H40" s="224"/>
      <c r="I40" s="225"/>
      <c r="J40" s="222"/>
      <c r="K40" s="222"/>
      <c r="L40" s="222"/>
      <c r="M40" s="226"/>
      <c r="N40" s="226"/>
      <c r="O40" s="227"/>
      <c r="R40" s="98" t="s">
        <v>592</v>
      </c>
      <c r="S40" s="228">
        <f>IF($U$36=$W$36,'条件(標準)'!$D9,'条件(個別)'!$D9)</f>
        <v>19.584666666666667</v>
      </c>
      <c r="T40" s="228">
        <f>IF($U$36=$W$36,'条件(標準)'!$D34,'条件(個別)'!$D34)</f>
        <v>10.979333333333333</v>
      </c>
      <c r="U40" s="228">
        <f>IF($U$36=$W$36,'条件(標準)'!$D46,'条件(個別)'!$D46)</f>
        <v>41.050272198907102</v>
      </c>
      <c r="V40" s="229"/>
      <c r="W40" s="229"/>
      <c r="X40" s="230">
        <v>1</v>
      </c>
      <c r="Y40" s="98">
        <f>IF(COUNTIF(S40:W40,Z41)&gt;0,Z41,SUM(S40:W40))</f>
        <v>71.614272198907102</v>
      </c>
      <c r="AA40" s="231"/>
    </row>
    <row r="41" spans="2:50" ht="18.75">
      <c r="B41" s="232" t="s">
        <v>593</v>
      </c>
      <c r="C41" s="233"/>
      <c r="D41" s="233"/>
      <c r="E41" s="234"/>
      <c r="F41" s="233"/>
      <c r="G41" s="233"/>
      <c r="H41" s="233"/>
      <c r="I41" s="233"/>
      <c r="J41" s="233"/>
      <c r="K41" s="235"/>
      <c r="L41" s="236"/>
      <c r="M41" s="237" t="s">
        <v>594</v>
      </c>
      <c r="N41" s="238">
        <f>スコア!U8</f>
        <v>2.5</v>
      </c>
      <c r="O41" s="239"/>
      <c r="R41" s="98" t="s">
        <v>595</v>
      </c>
      <c r="S41" s="228">
        <f>IF($U$36=$W$36,'条件(標準)'!$E9,'条件(個別)'!$E9)</f>
        <v>19.584666666666667</v>
      </c>
      <c r="T41" s="228">
        <f>IF($U$36=$W$36,'条件(標準)'!$E34,'条件(個別)'!$E34)</f>
        <v>10.979333333333333</v>
      </c>
      <c r="U41" s="228">
        <f>IF($U$36=$W$36,'条件(標準)'!$E46,'条件(個別)'!$E46)</f>
        <v>39.991498159562845</v>
      </c>
      <c r="V41" s="229"/>
      <c r="W41" s="229"/>
      <c r="X41" s="230">
        <f>IF(OR(Y40=Z41,Y41=Z41),Z41,Y41/Y40)</f>
        <v>0.98521560009150777</v>
      </c>
      <c r="Y41" s="98">
        <f>IF(COUNTIF(S41:W41,Z41)&gt;0,Z41,SUM(S41:W41))</f>
        <v>70.555498159562845</v>
      </c>
      <c r="Z41" s="64" t="str">
        <f>CO2計算!R115</f>
        <v>N.A.</v>
      </c>
      <c r="AA41" s="231"/>
    </row>
    <row r="42" spans="2:50" ht="15">
      <c r="B42" s="110"/>
      <c r="C42" s="86" t="str">
        <f>スコア!B9&amp;" "&amp;スコア!C9</f>
        <v>Q1 室内環境</v>
      </c>
      <c r="D42" s="240"/>
      <c r="E42" s="240"/>
      <c r="F42" s="240"/>
      <c r="G42" s="240"/>
      <c r="H42" s="240" t="str">
        <f>"     "&amp;スコア!B62&amp;" "&amp;スコア!C62</f>
        <v xml:space="preserve">     Q2 サービス性能</v>
      </c>
      <c r="I42" s="240"/>
      <c r="J42" s="55"/>
      <c r="K42" s="55"/>
      <c r="L42" s="241" t="str">
        <f>スコア!B112&amp;" "&amp;スコア!C112</f>
        <v>Q3 室外環境（敷地内）</v>
      </c>
      <c r="M42" s="241"/>
      <c r="N42" s="55"/>
      <c r="O42" s="154"/>
      <c r="R42" s="98" t="s">
        <v>596</v>
      </c>
      <c r="S42" s="228"/>
      <c r="T42" s="228"/>
      <c r="U42" s="228"/>
      <c r="V42" s="242">
        <f>IF($U$36=$W$36,'条件(標準)'!E9+'条件(標準)'!E34+'条件(標準)'!E47,'条件(個別)'!E9+'条件(個別)'!E34+'条件(個別)'!E47)</f>
        <v>70.555498159562845</v>
      </c>
      <c r="W42" s="229"/>
      <c r="X42" s="230">
        <f>IF(OR(Y40=Z42,Y42=Z42),Z42,Y42/Y40)</f>
        <v>0.98521560009150777</v>
      </c>
      <c r="Y42" s="98">
        <f>IF(COUNTIF(S42:W42,Z42)&gt;0,Z42,SUM(S42:W42))</f>
        <v>70.555498159562845</v>
      </c>
      <c r="Z42" s="64" t="str">
        <f>CO2計算!R115</f>
        <v>N.A.</v>
      </c>
      <c r="AA42" s="231"/>
    </row>
    <row r="43" spans="2:50" ht="15" customHeight="1">
      <c r="B43" s="110"/>
      <c r="C43" s="243"/>
      <c r="D43" s="244"/>
      <c r="E43" s="245"/>
      <c r="F43" s="64"/>
      <c r="G43" s="240">
        <f>S46</f>
        <v>2.9</v>
      </c>
      <c r="H43" s="64"/>
      <c r="I43" s="245"/>
      <c r="J43" s="64"/>
      <c r="K43" s="240">
        <f>V46</f>
        <v>2.8</v>
      </c>
      <c r="L43" s="64"/>
      <c r="M43" s="246"/>
      <c r="N43" s="245"/>
      <c r="O43" s="247">
        <f>Y46</f>
        <v>1.8</v>
      </c>
      <c r="R43" s="98" t="s">
        <v>597</v>
      </c>
      <c r="S43" s="228"/>
      <c r="T43" s="228"/>
      <c r="U43" s="228"/>
      <c r="V43" s="242"/>
      <c r="W43" s="248">
        <f>IF($U$36=$W$36,'条件(標準)'!E9+'条件(標準)'!E34+'条件(標準)'!E52,'条件(個別)'!E9+'条件(個別)'!E34+'条件(個別)'!E52)</f>
        <v>70.555498159562845</v>
      </c>
      <c r="X43" s="230">
        <f>IF(OR(Y40=Z43,Y43=Z43),Z43,Y43/Y40)</f>
        <v>0.98521560009150777</v>
      </c>
      <c r="Y43" s="98">
        <f>IF(COUNTIF(S43:W43,Z43)&gt;0,Z43,SUM(S43:W43))</f>
        <v>70.555498159562845</v>
      </c>
      <c r="Z43" s="64" t="str">
        <f>CO2計算!R115</f>
        <v>N.A.</v>
      </c>
      <c r="AA43" s="231"/>
    </row>
    <row r="44" spans="2:50" ht="15" customHeight="1">
      <c r="B44" s="110"/>
      <c r="C44" s="64"/>
      <c r="D44" s="64"/>
      <c r="E44" s="64"/>
      <c r="F44" s="64"/>
      <c r="L44" s="55"/>
      <c r="M44" s="55"/>
      <c r="N44" s="55"/>
      <c r="O44" s="154"/>
      <c r="S44" s="64"/>
      <c r="AA44" s="55"/>
      <c r="AB44" s="55"/>
      <c r="AC44" s="249"/>
      <c r="AF44" s="249"/>
      <c r="AG44" s="249"/>
      <c r="AI44" s="249"/>
    </row>
    <row r="45" spans="2:50" ht="15" customHeight="1">
      <c r="B45" s="110"/>
      <c r="C45" s="64"/>
      <c r="D45" s="64"/>
      <c r="E45" s="64"/>
      <c r="F45" s="64"/>
      <c r="L45" s="55"/>
      <c r="M45" s="55"/>
      <c r="N45" s="55"/>
      <c r="O45" s="154"/>
      <c r="R45" s="101"/>
      <c r="S45" s="101" t="s">
        <v>1861</v>
      </c>
      <c r="T45" s="101" t="s">
        <v>598</v>
      </c>
      <c r="U45" s="101"/>
      <c r="V45" s="101" t="s">
        <v>1861</v>
      </c>
      <c r="W45" s="101" t="s">
        <v>598</v>
      </c>
      <c r="X45" s="101"/>
      <c r="Y45" s="101" t="s">
        <v>1861</v>
      </c>
      <c r="Z45" s="101" t="s">
        <v>598</v>
      </c>
      <c r="AA45" s="55"/>
      <c r="AB45" s="55"/>
    </row>
    <row r="46" spans="2:50" ht="15" customHeight="1">
      <c r="B46" s="110"/>
      <c r="C46" s="64"/>
      <c r="D46" s="64"/>
      <c r="E46" s="64"/>
      <c r="F46" s="64"/>
      <c r="L46" s="55"/>
      <c r="M46" s="55"/>
      <c r="N46" s="55"/>
      <c r="O46" s="154"/>
      <c r="R46" s="250" t="s">
        <v>769</v>
      </c>
      <c r="S46" s="251">
        <f>スコア!U9</f>
        <v>2.9</v>
      </c>
      <c r="T46" s="101">
        <f>スコア!AD9</f>
        <v>2.96</v>
      </c>
      <c r="U46" s="99" t="s">
        <v>1184</v>
      </c>
      <c r="V46" s="252">
        <f>スコア!U62</f>
        <v>2.8</v>
      </c>
      <c r="W46" s="101">
        <f>スコア!AD62</f>
        <v>2.8239999999999998</v>
      </c>
      <c r="X46" s="250" t="s">
        <v>770</v>
      </c>
      <c r="Y46" s="252">
        <f>スコア!U112</f>
        <v>1.8</v>
      </c>
      <c r="Z46" s="101">
        <f>スコア!AD112</f>
        <v>1.85</v>
      </c>
      <c r="AA46" s="55"/>
      <c r="AB46" s="55"/>
    </row>
    <row r="47" spans="2:50" ht="15" customHeight="1">
      <c r="B47" s="110"/>
      <c r="C47" s="64"/>
      <c r="D47" s="64"/>
      <c r="E47" s="64"/>
      <c r="F47" s="64"/>
      <c r="L47" s="55"/>
      <c r="M47" s="55"/>
      <c r="N47" s="55"/>
      <c r="O47" s="154"/>
      <c r="S47" s="64"/>
      <c r="AA47" s="55"/>
      <c r="AB47" s="55"/>
    </row>
    <row r="48" spans="2:50" ht="15" customHeight="1">
      <c r="B48" s="110"/>
      <c r="C48" s="64"/>
      <c r="D48" s="64"/>
      <c r="E48" s="64"/>
      <c r="F48" s="64"/>
      <c r="L48" s="55"/>
      <c r="M48" s="55"/>
      <c r="N48" s="55"/>
      <c r="O48" s="154"/>
      <c r="R48" s="101"/>
      <c r="S48" s="101" t="s">
        <v>1185</v>
      </c>
      <c r="T48" s="101" t="s">
        <v>1186</v>
      </c>
      <c r="U48" s="101"/>
      <c r="V48" s="101" t="s">
        <v>1185</v>
      </c>
      <c r="W48" s="101" t="s">
        <v>1186</v>
      </c>
      <c r="X48" s="101"/>
      <c r="Y48" s="253" t="s">
        <v>1185</v>
      </c>
      <c r="Z48" s="101" t="s">
        <v>1186</v>
      </c>
      <c r="AA48" s="55"/>
      <c r="AB48" s="55"/>
    </row>
    <row r="49" spans="1:28" ht="15" customHeight="1">
      <c r="B49" s="110"/>
      <c r="C49" s="64"/>
      <c r="D49" s="64"/>
      <c r="E49" s="64"/>
      <c r="F49" s="64"/>
      <c r="G49" s="254"/>
      <c r="H49" s="254"/>
      <c r="L49" s="55"/>
      <c r="M49" s="55"/>
      <c r="N49" s="55"/>
      <c r="O49" s="154"/>
      <c r="R49" s="255" t="s">
        <v>771</v>
      </c>
      <c r="S49" s="251">
        <f>スコア!U10</f>
        <v>3</v>
      </c>
      <c r="T49" s="101" t="str">
        <f>IF(S49=0,"N.A.","")</f>
        <v/>
      </c>
      <c r="U49" s="99" t="s">
        <v>772</v>
      </c>
      <c r="V49" s="252">
        <f>スコア!U63</f>
        <v>2.9</v>
      </c>
      <c r="W49" s="101" t="str">
        <f>IF(V49=0,"N.A.","")</f>
        <v/>
      </c>
      <c r="X49" s="255" t="s">
        <v>773</v>
      </c>
      <c r="Y49" s="252">
        <f>スコア!U113</f>
        <v>1</v>
      </c>
      <c r="Z49" s="101" t="str">
        <f>IF(Y49=0,"N.A.","")</f>
        <v/>
      </c>
      <c r="AA49" s="55"/>
      <c r="AB49" s="55"/>
    </row>
    <row r="50" spans="1:28" ht="15" customHeight="1">
      <c r="B50" s="110"/>
      <c r="C50" s="64"/>
      <c r="D50" s="64"/>
      <c r="E50" s="64"/>
      <c r="F50" s="64"/>
      <c r="G50" s="254"/>
      <c r="H50" s="254"/>
      <c r="L50" s="55"/>
      <c r="M50" s="55"/>
      <c r="N50" s="55"/>
      <c r="O50" s="154"/>
      <c r="R50" s="255" t="s">
        <v>774</v>
      </c>
      <c r="S50" s="251">
        <f>スコア!U20</f>
        <v>3</v>
      </c>
      <c r="T50" s="101" t="str">
        <f>IF(S50=0,"N.A.","")</f>
        <v/>
      </c>
      <c r="U50" s="99" t="s">
        <v>775</v>
      </c>
      <c r="V50" s="252">
        <f>スコア!U78</f>
        <v>2.8</v>
      </c>
      <c r="W50" s="101" t="str">
        <f>IF(V50=0,"N.A.","")</f>
        <v/>
      </c>
      <c r="X50" s="255" t="s">
        <v>1187</v>
      </c>
      <c r="Y50" s="252">
        <f>スコア!U116</f>
        <v>2</v>
      </c>
      <c r="Z50" s="101" t="str">
        <f>IF(Y50=0,"N.A.","")</f>
        <v/>
      </c>
      <c r="AA50" s="55"/>
      <c r="AB50" s="55"/>
    </row>
    <row r="51" spans="1:28" ht="15" customHeight="1">
      <c r="B51" s="110"/>
      <c r="C51" s="64"/>
      <c r="D51" s="64"/>
      <c r="E51" s="64"/>
      <c r="F51" s="64"/>
      <c r="G51" s="134"/>
      <c r="H51" s="129"/>
      <c r="I51" s="256"/>
      <c r="J51" s="256"/>
      <c r="K51" s="257"/>
      <c r="L51" s="258"/>
      <c r="M51" s="258"/>
      <c r="N51" s="258"/>
      <c r="O51" s="259"/>
      <c r="R51" s="255" t="s">
        <v>776</v>
      </c>
      <c r="S51" s="251">
        <f>スコア!U35</f>
        <v>2.8</v>
      </c>
      <c r="T51" s="101" t="str">
        <f>IF(S51=0,"N.A.","")</f>
        <v/>
      </c>
      <c r="U51" s="99" t="s">
        <v>777</v>
      </c>
      <c r="V51" s="252">
        <f>スコア!U100</f>
        <v>2.6</v>
      </c>
      <c r="W51" s="101" t="str">
        <f>IF(V51=0,"N.A.","")</f>
        <v/>
      </c>
      <c r="X51" s="255" t="s">
        <v>70</v>
      </c>
      <c r="Y51" s="252">
        <f>スコア!U117</f>
        <v>2.5</v>
      </c>
      <c r="Z51" s="101" t="str">
        <f>IF(Y51=0,"N.A.","")</f>
        <v/>
      </c>
      <c r="AA51" s="55"/>
      <c r="AB51" s="55"/>
    </row>
    <row r="52" spans="1:28" ht="18" customHeight="1">
      <c r="A52" s="260"/>
      <c r="B52" s="261" t="s">
        <v>1188</v>
      </c>
      <c r="C52" s="262"/>
      <c r="D52" s="263"/>
      <c r="E52" s="262"/>
      <c r="F52" s="262"/>
      <c r="G52" s="262"/>
      <c r="H52" s="233"/>
      <c r="I52" s="233"/>
      <c r="J52" s="233"/>
      <c r="K52" s="235"/>
      <c r="L52" s="236"/>
      <c r="M52" s="237" t="s">
        <v>1189</v>
      </c>
      <c r="N52" s="264">
        <f>スコア!U121</f>
        <v>2.6</v>
      </c>
      <c r="O52" s="239"/>
      <c r="R52" s="255" t="s">
        <v>71</v>
      </c>
      <c r="S52" s="251">
        <f>スコア!U48</f>
        <v>3</v>
      </c>
      <c r="T52" s="101" t="str">
        <f>IF(S52=0,"N.A.","")</f>
        <v/>
      </c>
      <c r="U52" s="55"/>
      <c r="V52" s="55"/>
      <c r="W52" s="55"/>
      <c r="X52" s="55"/>
      <c r="Y52" s="55"/>
      <c r="Z52" s="55"/>
      <c r="AA52" s="55"/>
      <c r="AB52" s="55"/>
    </row>
    <row r="53" spans="1:28" ht="15">
      <c r="B53" s="265"/>
      <c r="C53" s="241" t="str">
        <f>スコア!B122&amp;" "&amp;スコア!C122</f>
        <v>LR1 エネルギー</v>
      </c>
      <c r="D53" s="241"/>
      <c r="E53" s="266"/>
      <c r="F53" s="241"/>
      <c r="G53" s="241"/>
      <c r="H53" s="241" t="str">
        <f>"     "&amp;スコア!B145&amp;" "&amp;スコア!C145</f>
        <v xml:space="preserve">     LR2 資源・マテリアル</v>
      </c>
      <c r="I53" s="241"/>
      <c r="J53" s="241"/>
      <c r="K53" s="241"/>
      <c r="L53" s="86" t="str">
        <f>スコア!B172&amp;" "&amp;スコア!C172</f>
        <v>LR3 敷地外環境</v>
      </c>
      <c r="M53" s="241"/>
      <c r="N53" s="241"/>
      <c r="O53" s="267"/>
      <c r="R53" s="55"/>
      <c r="S53" s="55"/>
      <c r="T53" s="101"/>
      <c r="U53" s="55"/>
      <c r="V53" s="55"/>
      <c r="W53" s="55"/>
      <c r="X53" s="55"/>
      <c r="Y53" s="55"/>
      <c r="Z53" s="55"/>
      <c r="AA53" s="55"/>
      <c r="AB53" s="55"/>
    </row>
    <row r="54" spans="1:28" ht="15">
      <c r="B54" s="268"/>
      <c r="C54" s="243"/>
      <c r="D54" s="244"/>
      <c r="E54" s="245"/>
      <c r="F54" s="64"/>
      <c r="G54" s="240">
        <f>S57</f>
        <v>2.2000000000000002</v>
      </c>
      <c r="H54" s="64"/>
      <c r="I54" s="245"/>
      <c r="J54" s="64"/>
      <c r="K54" s="240">
        <f>V57</f>
        <v>3</v>
      </c>
      <c r="L54" s="245"/>
      <c r="M54" s="64"/>
      <c r="N54" s="269"/>
      <c r="O54" s="247">
        <f>Y57</f>
        <v>3</v>
      </c>
      <c r="R54" s="55" t="str">
        <f>IF(S49=0,"N.A.","")</f>
        <v/>
      </c>
      <c r="S54" s="55"/>
      <c r="T54" s="55"/>
      <c r="U54" s="55"/>
      <c r="V54" s="55"/>
      <c r="W54" s="55"/>
      <c r="X54" s="55"/>
      <c r="Y54" s="55"/>
      <c r="Z54" s="55"/>
      <c r="AA54" s="55"/>
      <c r="AB54" s="55"/>
    </row>
    <row r="55" spans="1:28" ht="14.25">
      <c r="B55" s="268"/>
      <c r="C55" s="270"/>
      <c r="D55" s="270"/>
      <c r="E55" s="271"/>
      <c r="F55" s="134"/>
      <c r="G55" s="134"/>
      <c r="H55" s="134"/>
      <c r="O55" s="97"/>
      <c r="S55" s="64"/>
      <c r="AA55" s="55"/>
      <c r="AB55" s="55"/>
    </row>
    <row r="56" spans="1:28" ht="15.75" customHeight="1">
      <c r="B56" s="268"/>
      <c r="C56" s="96"/>
      <c r="D56" s="272"/>
      <c r="I56" s="273"/>
      <c r="O56" s="97"/>
      <c r="R56" s="101"/>
      <c r="S56" s="101" t="s">
        <v>1190</v>
      </c>
      <c r="T56" s="101" t="s">
        <v>1191</v>
      </c>
      <c r="U56" s="101"/>
      <c r="V56" s="101" t="s">
        <v>1190</v>
      </c>
      <c r="W56" s="101" t="s">
        <v>1191</v>
      </c>
      <c r="X56" s="101"/>
      <c r="Y56" s="101" t="s">
        <v>1190</v>
      </c>
      <c r="Z56" s="101" t="s">
        <v>1191</v>
      </c>
      <c r="AA56" s="55"/>
      <c r="AB56" s="55"/>
    </row>
    <row r="57" spans="1:28" ht="15.75" customHeight="1">
      <c r="B57" s="268"/>
      <c r="I57" s="273"/>
      <c r="O57" s="97"/>
      <c r="R57" s="99" t="s">
        <v>1192</v>
      </c>
      <c r="S57" s="252">
        <f>スコア!U122</f>
        <v>2.2000000000000002</v>
      </c>
      <c r="T57" s="101">
        <f>スコア!AD122</f>
        <v>2.2033333333333336</v>
      </c>
      <c r="U57" s="99" t="s">
        <v>72</v>
      </c>
      <c r="V57" s="274">
        <f>スコア!U145</f>
        <v>3</v>
      </c>
      <c r="W57" s="101">
        <f>スコア!AD145</f>
        <v>3.06</v>
      </c>
      <c r="X57" s="99" t="s">
        <v>1969</v>
      </c>
      <c r="Y57" s="252">
        <f>スコア!U172</f>
        <v>3</v>
      </c>
      <c r="Z57" s="101">
        <f>スコア!AD172</f>
        <v>2.9999999999999996</v>
      </c>
      <c r="AA57" s="55"/>
      <c r="AB57" s="55"/>
    </row>
    <row r="58" spans="1:28" ht="15.75" customHeight="1">
      <c r="B58" s="275"/>
      <c r="I58" s="273"/>
      <c r="O58" s="97"/>
      <c r="S58" s="64"/>
      <c r="Y58" s="276"/>
      <c r="AA58" s="55"/>
      <c r="AB58" s="55"/>
    </row>
    <row r="59" spans="1:28" ht="15.75" customHeight="1">
      <c r="B59" s="275"/>
      <c r="I59" s="273"/>
      <c r="O59" s="97"/>
      <c r="R59" s="101"/>
      <c r="S59" s="101" t="s">
        <v>1193</v>
      </c>
      <c r="T59" s="101" t="s">
        <v>1194</v>
      </c>
      <c r="U59" s="101"/>
      <c r="V59" s="101" t="s">
        <v>1193</v>
      </c>
      <c r="W59" s="101" t="s">
        <v>1194</v>
      </c>
      <c r="X59" s="101"/>
      <c r="Y59" s="253" t="s">
        <v>1193</v>
      </c>
      <c r="Z59" s="101" t="s">
        <v>1194</v>
      </c>
      <c r="AA59" s="55"/>
      <c r="AB59" s="55"/>
    </row>
    <row r="60" spans="1:28" ht="15.75" customHeight="1">
      <c r="B60" s="275"/>
      <c r="I60" s="273"/>
      <c r="O60" s="97"/>
      <c r="R60" s="99" t="s">
        <v>1970</v>
      </c>
      <c r="S60" s="277">
        <f>スコア!U123</f>
        <v>3.6</v>
      </c>
      <c r="T60" s="101" t="str">
        <f>IF(S60=0,"N.A.","")</f>
        <v/>
      </c>
      <c r="U60" s="278" t="s">
        <v>1971</v>
      </c>
      <c r="V60" s="252">
        <f>スコア!U146</f>
        <v>3</v>
      </c>
      <c r="W60" s="101" t="str">
        <f>IF(V60=0,"N.A.","")</f>
        <v/>
      </c>
      <c r="X60" s="99" t="s">
        <v>2181</v>
      </c>
      <c r="Y60" s="252">
        <f>スコア!U173</f>
        <v>3</v>
      </c>
      <c r="Z60" s="101" t="str">
        <f>IF(Y60=0,"N.A.","")</f>
        <v/>
      </c>
      <c r="AA60" s="55"/>
      <c r="AB60" s="55"/>
    </row>
    <row r="61" spans="1:28" ht="15.75" customHeight="1">
      <c r="B61" s="275"/>
      <c r="I61" s="273"/>
      <c r="O61" s="97"/>
      <c r="R61" s="99" t="s">
        <v>2182</v>
      </c>
      <c r="S61" s="277">
        <f>スコア!U124</f>
        <v>2.2999999999999998</v>
      </c>
      <c r="T61" s="101" t="str">
        <f>IF(S61=0,"N.A.","")</f>
        <v/>
      </c>
      <c r="U61" s="278" t="s">
        <v>2183</v>
      </c>
      <c r="V61" s="252">
        <f>スコア!U151</f>
        <v>3.1</v>
      </c>
      <c r="W61" s="101" t="str">
        <f>IF(V61=0,"N.A.","")</f>
        <v/>
      </c>
      <c r="X61" s="99" t="s">
        <v>2184</v>
      </c>
      <c r="Y61" s="252">
        <f>スコア!U174</f>
        <v>3</v>
      </c>
      <c r="Z61" s="101" t="str">
        <f>IF(Y61=0,"N.A.","")</f>
        <v/>
      </c>
      <c r="AA61" s="55"/>
      <c r="AB61" s="55"/>
    </row>
    <row r="62" spans="1:28" ht="15.75" customHeight="1" thickBot="1">
      <c r="B62" s="279"/>
      <c r="C62" s="280"/>
      <c r="D62" s="281"/>
      <c r="E62" s="280"/>
      <c r="F62" s="282"/>
      <c r="G62" s="282"/>
      <c r="H62" s="282"/>
      <c r="I62" s="283"/>
      <c r="J62" s="156"/>
      <c r="K62" s="156"/>
      <c r="L62" s="156"/>
      <c r="M62" s="284"/>
      <c r="N62" s="284"/>
      <c r="O62" s="285"/>
      <c r="R62" s="99" t="s">
        <v>2185</v>
      </c>
      <c r="S62" s="277">
        <f>スコア!U129</f>
        <v>1.3</v>
      </c>
      <c r="T62" s="101" t="str">
        <f>IF(S62=0,"N.A.","")</f>
        <v/>
      </c>
      <c r="U62" s="286" t="s">
        <v>2186</v>
      </c>
      <c r="V62" s="287">
        <f>スコア!U166</f>
        <v>3</v>
      </c>
      <c r="W62" s="101" t="str">
        <f>IF(V62=0,"N.A.","")</f>
        <v/>
      </c>
      <c r="X62" s="99" t="s">
        <v>2187</v>
      </c>
      <c r="Y62" s="252">
        <f>スコア!U183</f>
        <v>3</v>
      </c>
      <c r="Z62" s="101" t="str">
        <f>IF(Y62=0,"N.A.","")</f>
        <v/>
      </c>
      <c r="AA62" s="55"/>
      <c r="AB62" s="55"/>
    </row>
    <row r="63" spans="1:28" ht="15.75" customHeight="1">
      <c r="B63" s="288"/>
      <c r="C63" s="273"/>
      <c r="D63" s="289"/>
      <c r="R63" s="99" t="s">
        <v>2188</v>
      </c>
      <c r="S63" s="277">
        <f>スコア!U138</f>
        <v>3</v>
      </c>
      <c r="T63" s="101" t="str">
        <f>IF(S63=0,"N.A.","")</f>
        <v/>
      </c>
      <c r="U63" s="55"/>
      <c r="V63" s="290"/>
      <c r="W63" s="290"/>
      <c r="X63" s="290"/>
      <c r="Y63" s="290"/>
      <c r="Z63" s="290"/>
      <c r="AA63" s="55"/>
      <c r="AB63" s="55"/>
    </row>
    <row r="64" spans="1:28" ht="8.25" customHeight="1">
      <c r="B64" s="55"/>
      <c r="C64" s="55"/>
      <c r="D64" s="55"/>
      <c r="E64" s="55"/>
      <c r="F64" s="55"/>
      <c r="G64" s="55"/>
      <c r="H64" s="55"/>
      <c r="I64" s="55"/>
      <c r="J64" s="55"/>
      <c r="K64" s="55"/>
      <c r="L64" s="55"/>
      <c r="M64" s="55"/>
      <c r="N64" s="55"/>
      <c r="O64" s="55"/>
      <c r="R64" s="55"/>
      <c r="S64" s="55"/>
      <c r="T64" s="55"/>
      <c r="U64" s="55"/>
      <c r="V64" s="55"/>
      <c r="W64" s="55"/>
      <c r="X64" s="55"/>
      <c r="Y64" s="55"/>
      <c r="Z64" s="55"/>
      <c r="AA64" s="55"/>
      <c r="AB64" s="55"/>
    </row>
    <row r="65" spans="1:28" ht="16.5" hidden="1" thickBot="1">
      <c r="B65" s="291" t="s">
        <v>2189</v>
      </c>
      <c r="C65" s="292"/>
      <c r="D65" s="293"/>
      <c r="E65" s="292"/>
      <c r="F65" s="292"/>
      <c r="G65" s="292"/>
      <c r="H65" s="292"/>
      <c r="I65" s="292"/>
      <c r="J65" s="294"/>
      <c r="K65" s="295"/>
      <c r="L65" s="295"/>
      <c r="M65" s="295"/>
      <c r="N65" s="296"/>
      <c r="O65" s="297" t="s">
        <v>2190</v>
      </c>
      <c r="R65" s="55"/>
      <c r="S65" s="55"/>
      <c r="T65" s="55"/>
      <c r="U65" s="55"/>
      <c r="V65" s="55"/>
      <c r="W65" s="55"/>
      <c r="X65" s="55"/>
      <c r="Y65" s="55"/>
      <c r="Z65" s="55"/>
      <c r="AA65" s="55"/>
      <c r="AB65" s="55"/>
    </row>
    <row r="66" spans="1:28" ht="15.75" hidden="1">
      <c r="B66" s="298" t="s">
        <v>1096</v>
      </c>
      <c r="C66" s="299"/>
      <c r="D66" s="300"/>
      <c r="E66" s="299"/>
      <c r="F66" s="299"/>
      <c r="G66" s="299"/>
      <c r="H66" s="299"/>
      <c r="I66" s="299"/>
      <c r="J66" s="301"/>
      <c r="K66" s="302"/>
      <c r="L66" s="303"/>
      <c r="M66" s="303"/>
      <c r="N66" s="301"/>
      <c r="O66" s="304" t="s">
        <v>1563</v>
      </c>
      <c r="R66" s="55"/>
      <c r="S66" s="55"/>
      <c r="T66" s="55"/>
      <c r="U66" s="55"/>
      <c r="V66" s="55"/>
      <c r="W66" s="55"/>
      <c r="X66" s="55"/>
      <c r="Y66" s="55"/>
      <c r="Z66" s="55"/>
      <c r="AA66" s="55"/>
      <c r="AB66" s="55"/>
    </row>
    <row r="67" spans="1:28" ht="14.25" hidden="1">
      <c r="B67" s="305"/>
      <c r="C67" s="306"/>
      <c r="D67" s="307"/>
      <c r="E67" s="308" t="s">
        <v>1097</v>
      </c>
      <c r="F67" s="309"/>
      <c r="G67" s="309"/>
      <c r="H67" s="308" t="s">
        <v>424</v>
      </c>
      <c r="I67" s="309"/>
      <c r="J67" s="308" t="s">
        <v>790</v>
      </c>
      <c r="K67" s="310"/>
      <c r="L67" s="308" t="s">
        <v>791</v>
      </c>
      <c r="M67" s="309"/>
      <c r="N67" s="309"/>
      <c r="O67" s="311" t="s">
        <v>792</v>
      </c>
      <c r="R67" s="55"/>
      <c r="S67" s="55"/>
      <c r="T67" s="55"/>
      <c r="U67" s="55"/>
      <c r="V67" s="55"/>
      <c r="W67" s="55"/>
      <c r="X67" s="55"/>
      <c r="Y67" s="55"/>
      <c r="Z67" s="55"/>
      <c r="AA67" s="55"/>
      <c r="AB67" s="55"/>
    </row>
    <row r="68" spans="1:28" ht="14.25" hidden="1">
      <c r="B68" s="312"/>
      <c r="C68" s="313" t="s">
        <v>793</v>
      </c>
      <c r="D68" s="314"/>
      <c r="E68" s="315"/>
      <c r="F68" s="316" t="s">
        <v>794</v>
      </c>
      <c r="G68" s="317"/>
      <c r="H68" s="315"/>
      <c r="I68" s="316" t="s">
        <v>795</v>
      </c>
      <c r="J68" s="318"/>
      <c r="K68" s="316" t="s">
        <v>794</v>
      </c>
      <c r="L68" s="319"/>
      <c r="M68" s="320"/>
      <c r="N68" s="321"/>
      <c r="O68" s="322"/>
      <c r="R68" s="55"/>
      <c r="S68" s="55"/>
      <c r="T68" s="55"/>
      <c r="U68" s="55"/>
      <c r="V68" s="55"/>
      <c r="W68" s="55"/>
      <c r="X68" s="55"/>
      <c r="Y68" s="55"/>
      <c r="Z68" s="55"/>
      <c r="AA68" s="55"/>
      <c r="AB68" s="55"/>
    </row>
    <row r="69" spans="1:28" ht="15.75" hidden="1">
      <c r="B69" s="312"/>
      <c r="C69" s="323" t="s">
        <v>796</v>
      </c>
      <c r="D69" s="324"/>
      <c r="E69" s="325"/>
      <c r="F69" s="134" t="s">
        <v>797</v>
      </c>
      <c r="G69" s="134"/>
      <c r="H69" s="325"/>
      <c r="I69" s="134" t="s">
        <v>798</v>
      </c>
      <c r="J69" s="326"/>
      <c r="K69" s="134" t="s">
        <v>797</v>
      </c>
      <c r="L69" s="319"/>
      <c r="M69" s="64"/>
      <c r="N69" s="320"/>
      <c r="O69" s="327"/>
      <c r="S69" s="64"/>
      <c r="W69" s="55"/>
      <c r="X69" s="55"/>
      <c r="Y69" s="55"/>
      <c r="Z69" s="55"/>
      <c r="AA69" s="55"/>
      <c r="AB69" s="55"/>
    </row>
    <row r="70" spans="1:28" ht="14.25" hidden="1">
      <c r="A70" s="328"/>
      <c r="B70" s="329"/>
      <c r="C70" s="330" t="s">
        <v>799</v>
      </c>
      <c r="D70" s="324"/>
      <c r="E70" s="325"/>
      <c r="F70" s="317" t="s">
        <v>800</v>
      </c>
      <c r="G70" s="317"/>
      <c r="H70" s="325"/>
      <c r="I70" s="317" t="s">
        <v>801</v>
      </c>
      <c r="J70" s="326"/>
      <c r="K70" s="317" t="s">
        <v>800</v>
      </c>
      <c r="L70" s="319"/>
      <c r="M70" s="64"/>
      <c r="N70" s="331"/>
      <c r="O70" s="327"/>
      <c r="P70" s="328"/>
      <c r="S70" s="64"/>
      <c r="W70" s="55"/>
      <c r="X70" s="55"/>
      <c r="Y70" s="55"/>
      <c r="Z70" s="55"/>
      <c r="AA70" s="55"/>
      <c r="AB70" s="55"/>
    </row>
    <row r="71" spans="1:28" ht="15.75" hidden="1">
      <c r="B71" s="312"/>
      <c r="C71" s="332" t="s">
        <v>802</v>
      </c>
      <c r="D71" s="324"/>
      <c r="E71" s="325"/>
      <c r="F71" s="134" t="s">
        <v>797</v>
      </c>
      <c r="G71" s="134"/>
      <c r="H71" s="325"/>
      <c r="I71" s="134" t="s">
        <v>798</v>
      </c>
      <c r="J71" s="326"/>
      <c r="K71" s="134" t="s">
        <v>797</v>
      </c>
      <c r="L71" s="319"/>
      <c r="M71" s="64"/>
      <c r="N71" s="320"/>
      <c r="O71" s="333"/>
      <c r="S71" s="64"/>
      <c r="W71" s="55"/>
      <c r="X71" s="55"/>
      <c r="Y71" s="55"/>
      <c r="Z71" s="55"/>
      <c r="AA71" s="55"/>
      <c r="AB71" s="55"/>
    </row>
    <row r="72" spans="1:28" ht="14.25" hidden="1">
      <c r="B72" s="312"/>
      <c r="C72" s="332" t="s">
        <v>803</v>
      </c>
      <c r="D72" s="324"/>
      <c r="E72" s="325"/>
      <c r="F72" s="334" t="s">
        <v>804</v>
      </c>
      <c r="G72" s="134"/>
      <c r="H72" s="325"/>
      <c r="I72" s="334" t="s">
        <v>805</v>
      </c>
      <c r="J72" s="326"/>
      <c r="K72" s="334" t="s">
        <v>804</v>
      </c>
      <c r="L72" s="319"/>
      <c r="M72" s="64"/>
      <c r="N72" s="320"/>
      <c r="O72" s="97"/>
      <c r="S72" s="64"/>
      <c r="W72" s="55"/>
      <c r="X72" s="55"/>
      <c r="Y72" s="55"/>
      <c r="Z72" s="55"/>
      <c r="AA72" s="55"/>
      <c r="AB72" s="55"/>
    </row>
    <row r="73" spans="1:28" ht="14.25" hidden="1">
      <c r="B73" s="312"/>
      <c r="C73" s="332" t="s">
        <v>806</v>
      </c>
      <c r="D73" s="324"/>
      <c r="E73" s="325"/>
      <c r="F73" s="334" t="s">
        <v>804</v>
      </c>
      <c r="G73" s="134"/>
      <c r="H73" s="325"/>
      <c r="I73" s="334" t="s">
        <v>805</v>
      </c>
      <c r="J73" s="326"/>
      <c r="K73" s="334" t="s">
        <v>804</v>
      </c>
      <c r="L73" s="319"/>
      <c r="M73" s="64"/>
      <c r="N73" s="320"/>
      <c r="O73" s="327"/>
      <c r="S73" s="64"/>
      <c r="W73" s="55"/>
      <c r="X73" s="55"/>
      <c r="Y73" s="55"/>
      <c r="Z73" s="55"/>
      <c r="AA73" s="55"/>
      <c r="AB73" s="55"/>
    </row>
    <row r="74" spans="1:28" ht="15" hidden="1" thickBot="1">
      <c r="B74" s="335"/>
      <c r="C74" s="336"/>
      <c r="D74" s="337"/>
      <c r="E74" s="338"/>
      <c r="F74" s="339"/>
      <c r="G74" s="280"/>
      <c r="H74" s="338"/>
      <c r="I74" s="339"/>
      <c r="J74" s="340"/>
      <c r="K74" s="339"/>
      <c r="L74" s="319"/>
      <c r="M74" s="64"/>
      <c r="N74" s="341"/>
      <c r="O74" s="342"/>
      <c r="S74" s="64"/>
      <c r="W74" s="55"/>
      <c r="X74" s="55"/>
      <c r="Y74" s="55"/>
      <c r="Z74" s="55"/>
      <c r="AA74" s="55"/>
      <c r="AB74" s="55"/>
    </row>
    <row r="75" spans="1:28" ht="16.5" hidden="1" thickBot="1">
      <c r="B75" s="343" t="s">
        <v>807</v>
      </c>
      <c r="C75" s="344"/>
      <c r="D75" s="345"/>
      <c r="E75" s="346"/>
      <c r="F75" s="347"/>
      <c r="G75" s="347"/>
      <c r="H75" s="347"/>
      <c r="I75" s="347"/>
      <c r="J75" s="347"/>
      <c r="K75" s="347"/>
      <c r="L75" s="347"/>
      <c r="M75" s="347"/>
      <c r="N75" s="347"/>
      <c r="O75" s="348"/>
      <c r="S75" s="64"/>
      <c r="W75" s="55"/>
      <c r="X75" s="55"/>
      <c r="Y75" s="55"/>
      <c r="Z75" s="55"/>
      <c r="AA75" s="55"/>
      <c r="AB75" s="55"/>
    </row>
    <row r="76" spans="1:28" ht="15.75" hidden="1">
      <c r="B76" s="349" t="s">
        <v>808</v>
      </c>
      <c r="C76" s="350"/>
      <c r="D76" s="351"/>
      <c r="E76" s="352"/>
      <c r="F76" s="353"/>
      <c r="G76" s="353"/>
      <c r="H76" s="353"/>
      <c r="I76" s="351"/>
      <c r="J76" s="354" t="s">
        <v>809</v>
      </c>
      <c r="K76" s="355"/>
      <c r="L76" s="356"/>
      <c r="M76" s="350"/>
      <c r="N76" s="350"/>
      <c r="O76" s="357"/>
      <c r="S76" s="64"/>
      <c r="W76" s="55"/>
      <c r="X76" s="55"/>
      <c r="Y76" s="55"/>
      <c r="Z76" s="55"/>
      <c r="AA76" s="55"/>
      <c r="AB76" s="55"/>
    </row>
    <row r="77" spans="1:28" ht="15" hidden="1">
      <c r="B77" s="358"/>
      <c r="C77" s="359" t="s">
        <v>810</v>
      </c>
      <c r="D77" s="360"/>
      <c r="E77" s="360"/>
      <c r="F77" s="360"/>
      <c r="G77" s="360"/>
      <c r="H77" s="360"/>
      <c r="I77" s="360"/>
      <c r="J77" s="361" t="s">
        <v>811</v>
      </c>
      <c r="K77" s="64"/>
      <c r="L77" s="362"/>
      <c r="M77" s="64"/>
      <c r="N77" s="64"/>
      <c r="O77" s="111"/>
      <c r="S77" s="64"/>
      <c r="W77" s="55"/>
      <c r="X77" s="55"/>
      <c r="Y77" s="55"/>
      <c r="Z77" s="55"/>
      <c r="AA77" s="55"/>
      <c r="AB77" s="55"/>
    </row>
    <row r="78" spans="1:28" ht="15" hidden="1">
      <c r="B78" s="358"/>
      <c r="C78" s="359"/>
      <c r="D78" s="360"/>
      <c r="E78" s="360"/>
      <c r="F78" s="360"/>
      <c r="G78" s="360"/>
      <c r="H78" s="360"/>
      <c r="I78" s="360"/>
      <c r="J78" s="361"/>
      <c r="K78" s="64"/>
      <c r="L78" s="362"/>
      <c r="M78" s="64"/>
      <c r="N78" s="64"/>
      <c r="O78" s="111"/>
      <c r="S78" s="64"/>
      <c r="W78" s="55"/>
      <c r="X78" s="55"/>
      <c r="Y78" s="55"/>
      <c r="Z78" s="55"/>
      <c r="AA78" s="55"/>
      <c r="AB78" s="55"/>
    </row>
    <row r="79" spans="1:28" ht="15" hidden="1" thickBot="1">
      <c r="B79" s="363"/>
      <c r="C79" s="364"/>
      <c r="D79" s="365"/>
      <c r="E79" s="365"/>
      <c r="F79" s="365"/>
      <c r="G79" s="365"/>
      <c r="H79" s="365"/>
      <c r="I79" s="365"/>
      <c r="J79" s="366"/>
      <c r="K79" s="155"/>
      <c r="L79" s="367"/>
      <c r="M79" s="367"/>
      <c r="N79" s="367"/>
      <c r="O79" s="368"/>
      <c r="S79" s="64"/>
    </row>
    <row r="80" spans="1:28" ht="14.25" hidden="1">
      <c r="B80" s="134"/>
      <c r="C80" s="134"/>
      <c r="D80" s="270"/>
      <c r="E80" s="134"/>
      <c r="S80" s="64"/>
    </row>
    <row r="81" spans="2:19" ht="14.25" hidden="1">
      <c r="B81" s="369"/>
      <c r="C81" s="370"/>
      <c r="D81" s="371"/>
      <c r="E81" s="372"/>
      <c r="F81" s="372"/>
      <c r="G81" s="372"/>
      <c r="H81" s="372"/>
      <c r="I81" s="373"/>
      <c r="J81" s="374"/>
      <c r="K81" s="373"/>
      <c r="L81" s="375"/>
      <c r="M81" s="373"/>
      <c r="N81" s="376"/>
      <c r="O81" s="377"/>
      <c r="S81" s="64"/>
    </row>
    <row r="82" spans="2:19" ht="14.25" hidden="1">
      <c r="B82" s="378"/>
      <c r="C82" s="379" t="s">
        <v>812</v>
      </c>
      <c r="D82" s="380" t="s">
        <v>1564</v>
      </c>
      <c r="E82" s="381" t="s">
        <v>1565</v>
      </c>
      <c r="G82" s="64"/>
      <c r="H82" s="381" t="s">
        <v>1566</v>
      </c>
      <c r="J82" s="381" t="s">
        <v>1567</v>
      </c>
      <c r="L82" s="381" t="s">
        <v>1568</v>
      </c>
      <c r="N82" s="380" t="s">
        <v>1569</v>
      </c>
      <c r="O82" s="382"/>
      <c r="S82" s="64"/>
    </row>
    <row r="83" spans="2:19" ht="14.25" hidden="1">
      <c r="B83" s="378"/>
      <c r="C83" s="379" t="s">
        <v>2300</v>
      </c>
      <c r="D83" s="383" t="s">
        <v>2134</v>
      </c>
      <c r="E83" s="384"/>
      <c r="F83" s="385"/>
      <c r="G83" s="385"/>
      <c r="H83" s="385"/>
      <c r="I83" s="386"/>
      <c r="J83" s="386"/>
      <c r="K83" s="387"/>
      <c r="L83" s="387"/>
      <c r="O83" s="388"/>
    </row>
    <row r="84" spans="2:19" ht="14.25" hidden="1">
      <c r="B84" s="390"/>
      <c r="C84" s="379" t="s">
        <v>2135</v>
      </c>
      <c r="D84" s="383" t="s">
        <v>2136</v>
      </c>
      <c r="E84" s="383"/>
      <c r="G84" s="391"/>
      <c r="O84" s="388"/>
    </row>
    <row r="85" spans="2:19" ht="14.25" hidden="1">
      <c r="B85" s="390"/>
      <c r="C85" s="379"/>
      <c r="D85" s="383" t="s">
        <v>2137</v>
      </c>
      <c r="E85" s="383"/>
      <c r="G85" s="391"/>
      <c r="O85" s="388"/>
    </row>
    <row r="86" spans="2:19" ht="14.25" hidden="1">
      <c r="B86" s="392"/>
      <c r="C86" s="393" t="s">
        <v>2138</v>
      </c>
      <c r="D86" s="394" t="s">
        <v>1570</v>
      </c>
      <c r="E86" s="395"/>
      <c r="F86" s="257"/>
      <c r="G86" s="396"/>
      <c r="H86" s="257"/>
      <c r="I86" s="256"/>
      <c r="J86" s="256"/>
      <c r="K86" s="257"/>
      <c r="L86" s="257"/>
      <c r="M86" s="397"/>
      <c r="N86" s="397"/>
      <c r="O86" s="398"/>
    </row>
    <row r="87" spans="2:19" ht="14.25">
      <c r="G87" s="391"/>
    </row>
    <row r="88" spans="2:19" ht="14.25">
      <c r="G88" s="391"/>
      <c r="L88" s="391"/>
    </row>
    <row r="89" spans="2:19" ht="14.25">
      <c r="E89" s="96"/>
      <c r="F89" s="391"/>
      <c r="G89" s="391"/>
      <c r="H89" s="391"/>
      <c r="I89" s="387"/>
      <c r="L89" s="391"/>
    </row>
    <row r="90" spans="2:19" ht="14.25">
      <c r="C90" s="399"/>
      <c r="D90" s="272"/>
      <c r="E90" s="96"/>
      <c r="F90" s="391"/>
      <c r="G90" s="391"/>
      <c r="H90" s="391"/>
      <c r="I90" s="387"/>
      <c r="J90" s="387"/>
      <c r="K90" s="391"/>
      <c r="L90" s="391"/>
    </row>
    <row r="91" spans="2:19" ht="14.25">
      <c r="B91" s="400"/>
      <c r="C91" s="401"/>
      <c r="D91" s="402"/>
      <c r="E91" s="96"/>
      <c r="F91" s="391"/>
      <c r="G91" s="385"/>
      <c r="H91" s="385"/>
      <c r="I91" s="386"/>
      <c r="J91" s="386"/>
      <c r="K91" s="387"/>
      <c r="L91" s="387"/>
    </row>
    <row r="92" spans="2:19" ht="14.25" hidden="1">
      <c r="B92" s="400"/>
      <c r="C92" s="400"/>
      <c r="D92" s="403"/>
      <c r="G92" s="385"/>
      <c r="H92" s="385"/>
      <c r="I92" s="386"/>
      <c r="J92" s="386"/>
      <c r="K92" s="387"/>
      <c r="L92" s="387"/>
    </row>
    <row r="93" spans="2:19" ht="14.25" hidden="1"/>
    <row r="94" spans="2:19" ht="14.25" hidden="1"/>
    <row r="95" spans="2:19" ht="14.25" hidden="1"/>
    <row r="96" spans="2:19" ht="14.25" hidden="1"/>
    <row r="97" ht="14.25" hidden="1"/>
    <row r="98" ht="14.25" hidden="1"/>
    <row r="99" ht="14.25" hidden="1"/>
    <row r="100" ht="14.25" hidden="1"/>
    <row r="101" ht="14.25" hidden="1"/>
    <row r="102" ht="14.25" hidden="1"/>
    <row r="103" ht="14.25" hidden="1"/>
    <row r="104" ht="14.25" hidden="1"/>
    <row r="105" ht="14.25" hidden="1"/>
    <row r="106" ht="14.25" hidden="1"/>
    <row r="107" ht="14.25" hidden="1"/>
    <row r="108" ht="14.25" hidden="1"/>
    <row r="109" ht="14.25" hidden="1"/>
    <row r="110" ht="14.25" hidden="1"/>
    <row r="111" ht="14.25" hidden="1"/>
    <row r="112"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customHeight="1"/>
    <row r="196" ht="14.25" hidden="1" customHeight="1"/>
    <row r="197" ht="14.25" hidden="1" customHeight="1"/>
    <row r="198" ht="14.25" hidden="1" customHeight="1"/>
    <row r="199" ht="14.25" hidden="1" customHeight="1"/>
    <row r="200" ht="14.25" hidden="1" customHeight="1"/>
    <row r="201" ht="14.25" hidden="1" customHeight="1"/>
    <row r="202" ht="14.25" hidden="1" customHeight="1"/>
    <row r="203" ht="14.25" hidden="1" customHeight="1"/>
    <row r="204" ht="14.25" hidden="1" customHeight="1"/>
    <row r="205" ht="14.25" hidden="1" customHeight="1"/>
  </sheetData>
  <sheetProtection algorithmName="SHA-512" hashValue="cKwYoxyhcdzflT8H404L+xJcRjAmpVqVSc9gfKIXyypT2qCp3VOWqDdjNdxjEXmQz68rl8cq5qRwBwaueZ8sSQ==" saltValue="q8XH36nz4h4jkjcmJt7iCw==" spinCount="100000" sheet="1" objects="1" scenarios="1"/>
  <mergeCells count="8">
    <mergeCell ref="AP24:AS39"/>
    <mergeCell ref="AU24:AX39"/>
    <mergeCell ref="Q2:Q5"/>
    <mergeCell ref="K5:L5"/>
    <mergeCell ref="N5:O5"/>
    <mergeCell ref="D13:E13"/>
    <mergeCell ref="H37:K39"/>
    <mergeCell ref="D14:E14"/>
  </mergeCells>
  <phoneticPr fontId="27"/>
  <conditionalFormatting sqref="H36:K36">
    <cfRule type="expression" dxfId="326" priority="2" stopIfTrue="1">
      <formula>$U$36=$W$37</formula>
    </cfRule>
  </conditionalFormatting>
  <conditionalFormatting sqref="I28:K35 H29:H35">
    <cfRule type="expression" dxfId="325" priority="1" stopIfTrue="1">
      <formula>$U$36=$W$37</formula>
    </cfRule>
  </conditionalFormatting>
  <hyperlinks>
    <hyperlink ref="Q2" location="メイン!A1" display="戻る" xr:uid="{00000000-0004-0000-0100-000000000000}"/>
  </hyperlinks>
  <printOptions horizontalCentered="1"/>
  <pageMargins left="0.59055118110236227" right="0.59055118110236227" top="0.78740157480314965" bottom="0.59055118110236227" header="0.51181102362204722" footer="0.51181102362204722"/>
  <pageSetup paperSize="9" scale="69" orientation="portrait" verticalDpi="4294967293" r:id="rId1"/>
  <headerFooter alignWithMargins="0">
    <oddHeader>&amp;L&amp;F&amp;R&amp;A</oddHeader>
    <oddFooter>&amp;C&amp;P/&amp;N</oddFooter>
  </headerFooter>
  <colBreaks count="1" manualBreakCount="1">
    <brk id="1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S38"/>
  <sheetViews>
    <sheetView showGridLines="0" zoomScale="115" zoomScaleNormal="115" workbookViewId="0">
      <selection activeCell="A2" sqref="A2"/>
    </sheetView>
  </sheetViews>
  <sheetFormatPr defaultColWidth="0" defaultRowHeight="13.5" customHeight="1" zeroHeight="1"/>
  <cols>
    <col min="1" max="1" width="1.125" customWidth="1"/>
    <col min="2" max="18" width="8.75" customWidth="1"/>
    <col min="19" max="19" width="1.5" customWidth="1"/>
    <col min="20" max="16384" width="8.75" hidden="1"/>
  </cols>
  <sheetData>
    <row r="1" spans="2:18" ht="13.5" customHeight="1">
      <c r="B1" s="1229"/>
      <c r="C1" s="1229"/>
      <c r="D1" s="1229"/>
      <c r="E1" s="1229"/>
      <c r="F1" s="1229"/>
      <c r="G1" s="1229"/>
      <c r="H1" s="1229"/>
      <c r="I1" s="1229"/>
      <c r="J1" s="1229"/>
      <c r="K1" s="1229"/>
      <c r="L1" s="1229"/>
      <c r="M1" s="1229"/>
      <c r="N1" s="1229"/>
      <c r="O1" s="1229"/>
      <c r="P1" s="1229"/>
      <c r="Q1" s="1229"/>
      <c r="R1" s="1229"/>
    </row>
    <row r="2" spans="2:18" ht="13.5" customHeight="1">
      <c r="B2" s="1229"/>
      <c r="C2" s="1229"/>
      <c r="D2" s="1229"/>
      <c r="E2" s="1229"/>
      <c r="F2" s="1229"/>
      <c r="G2" s="1229"/>
      <c r="H2" s="1229"/>
      <c r="I2" s="1229"/>
      <c r="J2" s="1229"/>
      <c r="K2" s="1229"/>
      <c r="L2" s="1229"/>
      <c r="M2" s="1229"/>
      <c r="N2" s="1229"/>
      <c r="O2" s="1229"/>
      <c r="P2" s="1229"/>
      <c r="Q2" s="1229"/>
      <c r="R2" s="1229"/>
    </row>
    <row r="3" spans="2:18" ht="13.5" customHeight="1">
      <c r="B3" s="1229"/>
      <c r="C3" s="1229"/>
      <c r="D3" s="1229"/>
      <c r="E3" s="1229"/>
      <c r="F3" s="1229"/>
      <c r="G3" s="1229"/>
      <c r="H3" s="1229"/>
      <c r="I3" s="1229"/>
      <c r="J3" s="1229"/>
      <c r="K3" s="1229"/>
      <c r="L3" s="1229"/>
      <c r="M3" s="1229"/>
      <c r="N3" s="1229"/>
      <c r="O3" s="1229"/>
      <c r="P3" s="1229"/>
      <c r="Q3" s="1229"/>
      <c r="R3" s="1229"/>
    </row>
    <row r="4" spans="2:18" ht="13.5" customHeight="1">
      <c r="B4" s="1229"/>
      <c r="C4" s="1229"/>
      <c r="D4" s="1229"/>
      <c r="E4" s="1229"/>
      <c r="F4" s="1229"/>
      <c r="G4" s="1229"/>
      <c r="H4" s="1229"/>
      <c r="I4" s="1229"/>
      <c r="J4" s="1229"/>
      <c r="K4" s="1229"/>
      <c r="L4" s="1229"/>
      <c r="M4" s="1229"/>
      <c r="N4" s="1229"/>
      <c r="O4" s="1229"/>
      <c r="P4" s="1229"/>
      <c r="Q4" s="1229"/>
      <c r="R4" s="1229"/>
    </row>
    <row r="5" spans="2:18" ht="13.5" customHeight="1">
      <c r="B5" s="1229"/>
      <c r="C5" s="1229"/>
      <c r="D5" s="1229"/>
      <c r="E5" s="1229"/>
      <c r="F5" s="1229"/>
      <c r="G5" s="1229"/>
      <c r="H5" s="1229"/>
      <c r="I5" s="1229"/>
      <c r="J5" s="1229"/>
      <c r="K5" s="1229"/>
      <c r="L5" s="1229"/>
      <c r="M5" s="1229"/>
      <c r="N5" s="1229"/>
      <c r="O5" s="1229"/>
      <c r="P5" s="1229"/>
      <c r="Q5" s="1229"/>
      <c r="R5" s="1229"/>
    </row>
    <row r="6" spans="2:18" ht="13.5" customHeight="1">
      <c r="B6" s="1229"/>
      <c r="C6" s="1229"/>
      <c r="D6" s="1229"/>
      <c r="E6" s="1229"/>
      <c r="F6" s="1229"/>
      <c r="G6" s="1229"/>
      <c r="H6" s="1229"/>
      <c r="I6" s="1229"/>
      <c r="J6" s="1229"/>
      <c r="K6" s="1229"/>
      <c r="L6" s="1229"/>
      <c r="M6" s="1229"/>
      <c r="N6" s="1229"/>
      <c r="O6" s="1229"/>
      <c r="P6" s="1229"/>
      <c r="Q6" s="1229"/>
      <c r="R6" s="1229"/>
    </row>
    <row r="7" spans="2:18" ht="13.5" customHeight="1">
      <c r="B7" s="1229"/>
      <c r="C7" s="1229"/>
      <c r="D7" s="1229"/>
      <c r="E7" s="1229"/>
      <c r="F7" s="1229"/>
      <c r="G7" s="1229"/>
      <c r="H7" s="1229"/>
      <c r="I7" s="1229"/>
      <c r="J7" s="1229"/>
      <c r="K7" s="1229"/>
      <c r="L7" s="1229"/>
      <c r="M7" s="1229"/>
      <c r="N7" s="1229"/>
      <c r="O7" s="1229"/>
      <c r="P7" s="1229"/>
      <c r="Q7" s="1229"/>
      <c r="R7" s="1229"/>
    </row>
    <row r="8" spans="2:18" ht="13.5" customHeight="1">
      <c r="B8" s="1229"/>
      <c r="C8" s="1229"/>
      <c r="D8" s="1229"/>
      <c r="E8" s="1229"/>
      <c r="F8" s="1229"/>
      <c r="G8" s="1229"/>
      <c r="H8" s="1229"/>
      <c r="I8" s="1229"/>
      <c r="J8" s="1229"/>
      <c r="K8" s="1229"/>
      <c r="L8" s="1229"/>
      <c r="M8" s="1229"/>
      <c r="N8" s="1229"/>
      <c r="O8" s="1229"/>
      <c r="P8" s="1229"/>
      <c r="Q8" s="1229"/>
      <c r="R8" s="1229"/>
    </row>
    <row r="9" spans="2:18" ht="13.5" customHeight="1">
      <c r="B9" s="1229"/>
      <c r="C9" s="1229"/>
      <c r="D9" s="1229"/>
      <c r="E9" s="1229"/>
      <c r="F9" s="1229"/>
      <c r="G9" s="1229"/>
      <c r="H9" s="1229"/>
      <c r="I9" s="1229"/>
      <c r="J9" s="1229"/>
      <c r="K9" s="1229"/>
      <c r="L9" s="1229"/>
      <c r="M9" s="1229"/>
      <c r="N9" s="1229"/>
      <c r="O9" s="1229"/>
      <c r="P9" s="1229"/>
      <c r="Q9" s="1229"/>
      <c r="R9" s="1229"/>
    </row>
    <row r="10" spans="2:18" ht="13.5" customHeight="1">
      <c r="B10" s="1229"/>
      <c r="C10" s="1229"/>
      <c r="D10" s="1229"/>
      <c r="E10" s="1229"/>
      <c r="F10" s="1229"/>
      <c r="G10" s="1229"/>
      <c r="H10" s="1229"/>
      <c r="I10" s="1229"/>
      <c r="J10" s="1229"/>
      <c r="K10" s="1229"/>
      <c r="L10" s="1229"/>
      <c r="M10" s="1229"/>
      <c r="N10" s="1229"/>
      <c r="O10" s="1229"/>
      <c r="P10" s="1229"/>
      <c r="Q10" s="1229"/>
      <c r="R10" s="1229"/>
    </row>
    <row r="11" spans="2:18" ht="13.5" customHeight="1">
      <c r="B11" s="1229"/>
      <c r="C11" s="1229"/>
      <c r="D11" s="1229"/>
      <c r="E11" s="1229"/>
      <c r="F11" s="1229"/>
      <c r="G11" s="1229"/>
      <c r="H11" s="1229"/>
      <c r="I11" s="1229"/>
      <c r="J11" s="1229"/>
      <c r="K11" s="1229"/>
      <c r="L11" s="1229"/>
      <c r="M11" s="1229"/>
      <c r="N11" s="1229"/>
      <c r="O11" s="1229"/>
      <c r="P11" s="1229"/>
      <c r="Q11" s="1229"/>
      <c r="R11" s="1229"/>
    </row>
    <row r="12" spans="2:18" ht="13.5" customHeight="1">
      <c r="B12" s="1229"/>
      <c r="C12" s="1229"/>
      <c r="D12" s="1229"/>
      <c r="E12" s="1229"/>
      <c r="F12" s="1229"/>
      <c r="G12" s="1229"/>
      <c r="H12" s="1229"/>
      <c r="I12" s="1229"/>
      <c r="J12" s="1229"/>
      <c r="K12" s="1229"/>
      <c r="L12" s="1229"/>
      <c r="M12" s="1229"/>
      <c r="N12" s="1229"/>
      <c r="O12" s="1229"/>
      <c r="P12" s="1229"/>
      <c r="Q12" s="1229"/>
      <c r="R12" s="1229"/>
    </row>
    <row r="13" spans="2:18" ht="18.75">
      <c r="B13" s="1229"/>
      <c r="C13" s="1229"/>
      <c r="D13" s="1229"/>
      <c r="E13" s="1230"/>
      <c r="F13" s="1229"/>
      <c r="G13" s="1229"/>
      <c r="H13" s="1229"/>
      <c r="I13" s="1229"/>
      <c r="J13" s="1229"/>
      <c r="K13" s="1229"/>
      <c r="L13" s="1229"/>
      <c r="M13" s="1229"/>
      <c r="N13" s="1229"/>
      <c r="O13" s="1229"/>
      <c r="P13" s="1229"/>
      <c r="Q13" s="1229"/>
      <c r="R13" s="1229"/>
    </row>
    <row r="14" spans="2:18" ht="13.5" customHeight="1">
      <c r="B14" s="1229"/>
      <c r="C14" s="1229"/>
      <c r="D14" s="1229"/>
      <c r="E14" s="1229"/>
      <c r="F14" s="1229"/>
      <c r="G14" s="1229"/>
      <c r="H14" s="1229"/>
      <c r="I14" s="1229"/>
      <c r="J14" s="1229"/>
      <c r="K14" s="1229"/>
      <c r="L14" s="1229"/>
      <c r="M14" s="1229"/>
      <c r="N14" s="1229"/>
      <c r="O14" s="1229"/>
      <c r="P14" s="1229"/>
      <c r="Q14" s="1229"/>
      <c r="R14" s="1229"/>
    </row>
    <row r="15" spans="2:18" ht="13.5" customHeight="1">
      <c r="B15" s="1229"/>
      <c r="C15" s="1229"/>
      <c r="D15" s="1229"/>
      <c r="E15" s="1229"/>
      <c r="F15" s="1229"/>
      <c r="G15" s="1229"/>
      <c r="H15" s="1229"/>
      <c r="I15" s="1229"/>
      <c r="J15" s="1229"/>
      <c r="K15" s="1229"/>
      <c r="L15" s="1229"/>
      <c r="M15" s="1229"/>
      <c r="N15" s="1229"/>
      <c r="O15" s="1229"/>
      <c r="P15" s="1229"/>
      <c r="Q15" s="1229"/>
      <c r="R15" s="1229"/>
    </row>
    <row r="16" spans="2:18" ht="13.5" customHeight="1">
      <c r="B16" s="1229"/>
      <c r="C16" s="1229"/>
      <c r="D16" s="1229"/>
      <c r="E16" s="1229"/>
      <c r="F16" s="1229"/>
      <c r="G16" s="1229"/>
      <c r="H16" s="1229"/>
      <c r="I16" s="1229"/>
      <c r="J16" s="1229"/>
      <c r="K16" s="1229"/>
      <c r="L16" s="1229"/>
      <c r="M16" s="1229"/>
      <c r="N16" s="1229"/>
      <c r="O16" s="1229"/>
      <c r="P16" s="1229"/>
      <c r="Q16" s="1229"/>
      <c r="R16" s="1229"/>
    </row>
    <row r="17" spans="2:18" ht="13.5" customHeight="1">
      <c r="B17" s="1229"/>
      <c r="C17" s="1229"/>
      <c r="D17" s="1229"/>
      <c r="E17" s="1229"/>
      <c r="F17" s="1229"/>
      <c r="G17" s="1229"/>
      <c r="H17" s="1229"/>
      <c r="I17" s="1229"/>
      <c r="J17" s="1229"/>
      <c r="K17" s="1229"/>
      <c r="L17" s="1229"/>
      <c r="M17" s="1229"/>
      <c r="N17" s="1229"/>
      <c r="O17" s="1229"/>
      <c r="P17" s="1229"/>
      <c r="Q17" s="1229"/>
      <c r="R17" s="1229"/>
    </row>
    <row r="18" spans="2:18" ht="13.5" customHeight="1">
      <c r="B18" s="1229"/>
      <c r="C18" s="1229"/>
      <c r="D18" s="1229"/>
      <c r="E18" s="1229"/>
      <c r="F18" s="1229"/>
      <c r="G18" s="1229"/>
      <c r="H18" s="1229"/>
      <c r="I18" s="1229"/>
      <c r="J18" s="1229"/>
      <c r="K18" s="1229"/>
      <c r="L18" s="1229"/>
      <c r="M18" s="1229"/>
      <c r="N18" s="1229"/>
      <c r="O18" s="1229"/>
      <c r="P18" s="1229"/>
      <c r="Q18" s="1229"/>
      <c r="R18" s="1229"/>
    </row>
    <row r="19" spans="2:18" ht="13.5" customHeight="1">
      <c r="B19" s="1229"/>
      <c r="C19" s="1229"/>
      <c r="D19" s="1229"/>
      <c r="E19" s="1229"/>
      <c r="F19" s="1229"/>
      <c r="G19" s="1229"/>
      <c r="H19" s="1229"/>
      <c r="I19" s="1229"/>
      <c r="J19" s="1229"/>
      <c r="K19" s="1229"/>
      <c r="L19" s="1229"/>
      <c r="M19" s="1229"/>
      <c r="N19" s="1229"/>
      <c r="O19" s="1229"/>
      <c r="P19" s="1229"/>
      <c r="Q19" s="1229"/>
      <c r="R19" s="1229"/>
    </row>
    <row r="20" spans="2:18" ht="13.5" customHeight="1">
      <c r="B20" s="1229"/>
      <c r="C20" s="1229"/>
      <c r="D20" s="1229"/>
      <c r="E20" s="1229"/>
      <c r="F20" s="1229"/>
      <c r="G20" s="1229"/>
      <c r="H20" s="1229"/>
      <c r="I20" s="1229"/>
      <c r="J20" s="1229"/>
      <c r="K20" s="1229"/>
      <c r="L20" s="1229"/>
      <c r="M20" s="1229"/>
      <c r="N20" s="1229"/>
      <c r="O20" s="1229"/>
      <c r="P20" s="1229"/>
      <c r="Q20" s="1229"/>
      <c r="R20" s="1229"/>
    </row>
    <row r="21" spans="2:18" ht="13.5" customHeight="1">
      <c r="B21" s="1229"/>
      <c r="C21" s="1229"/>
      <c r="D21" s="1229"/>
      <c r="E21" s="1229"/>
      <c r="F21" s="1229"/>
      <c r="G21" s="1229"/>
      <c r="H21" s="1229"/>
      <c r="I21" s="1229"/>
      <c r="J21" s="1229"/>
      <c r="K21" s="1229"/>
      <c r="L21" s="1229"/>
      <c r="M21" s="1229"/>
      <c r="N21" s="1229"/>
      <c r="O21" s="1229"/>
      <c r="P21" s="1229"/>
      <c r="Q21" s="1229"/>
      <c r="R21" s="1229"/>
    </row>
    <row r="22" spans="2:18" ht="13.5" customHeight="1">
      <c r="B22" s="1229"/>
      <c r="C22" s="1229"/>
      <c r="D22" s="1229"/>
      <c r="E22" s="1229"/>
      <c r="F22" s="1229"/>
      <c r="G22" s="1229"/>
      <c r="H22" s="1229"/>
      <c r="I22" s="1229"/>
      <c r="J22" s="1229"/>
      <c r="K22" s="1229"/>
      <c r="L22" s="1229"/>
      <c r="M22" s="1229"/>
      <c r="N22" s="1229"/>
      <c r="O22" s="1229"/>
      <c r="P22" s="1229"/>
      <c r="Q22" s="1229"/>
      <c r="R22" s="1229"/>
    </row>
    <row r="23" spans="2:18" ht="13.5" customHeight="1">
      <c r="B23" s="1229"/>
      <c r="C23" s="1229"/>
      <c r="D23" s="1229"/>
      <c r="E23" s="1229"/>
      <c r="F23" s="1229"/>
      <c r="G23" s="1229"/>
      <c r="H23" s="1229"/>
      <c r="I23" s="1229"/>
      <c r="J23" s="1229"/>
      <c r="K23" s="1229"/>
      <c r="L23" s="1229"/>
      <c r="M23" s="1229"/>
      <c r="N23" s="1229"/>
      <c r="O23" s="1229"/>
      <c r="P23" s="1229"/>
      <c r="Q23" s="1229"/>
      <c r="R23" s="1229"/>
    </row>
    <row r="24" spans="2:18" ht="13.5" customHeight="1">
      <c r="B24" s="1229"/>
      <c r="C24" s="1229"/>
      <c r="D24" s="1229"/>
      <c r="E24" s="1229"/>
      <c r="F24" s="1229"/>
      <c r="G24" s="1229"/>
      <c r="H24" s="1229"/>
      <c r="I24" s="1229"/>
      <c r="J24" s="1229"/>
      <c r="K24" s="1229"/>
      <c r="L24" s="1229"/>
      <c r="M24" s="1229"/>
      <c r="N24" s="1229"/>
      <c r="O24" s="1229"/>
      <c r="P24" s="1229"/>
      <c r="Q24" s="1229"/>
      <c r="R24" s="1229"/>
    </row>
    <row r="25" spans="2:18" ht="13.5" customHeight="1">
      <c r="B25" s="1229"/>
      <c r="C25" s="1229"/>
      <c r="D25" s="1229"/>
      <c r="E25" s="1229"/>
      <c r="F25" s="1229"/>
      <c r="G25" s="1229"/>
      <c r="H25" s="1229"/>
      <c r="I25" s="1229"/>
      <c r="J25" s="1229"/>
      <c r="K25" s="1229"/>
      <c r="L25" s="1229"/>
      <c r="M25" s="1229"/>
      <c r="N25" s="1229"/>
      <c r="O25" s="1229"/>
      <c r="P25" s="1229"/>
      <c r="Q25" s="1229"/>
      <c r="R25" s="1229"/>
    </row>
    <row r="26" spans="2:18" ht="13.5" customHeight="1">
      <c r="B26" s="1229"/>
      <c r="C26" s="1229"/>
      <c r="D26" s="1229"/>
      <c r="E26" s="1229"/>
      <c r="F26" s="1229"/>
      <c r="G26" s="1229"/>
      <c r="H26" s="1229"/>
      <c r="I26" s="1229"/>
      <c r="J26" s="1229"/>
      <c r="K26" s="1229"/>
      <c r="L26" s="1229"/>
      <c r="M26" s="1229"/>
      <c r="N26" s="1229"/>
      <c r="O26" s="1229"/>
      <c r="P26" s="1229"/>
      <c r="Q26" s="1229"/>
      <c r="R26" s="1229"/>
    </row>
    <row r="27" spans="2:18" ht="13.5" customHeight="1">
      <c r="B27" s="1229"/>
      <c r="C27" s="1229"/>
      <c r="D27" s="1229"/>
      <c r="E27" s="1229"/>
      <c r="F27" s="1229"/>
      <c r="G27" s="1229"/>
      <c r="H27" s="1229"/>
      <c r="I27" s="1229"/>
      <c r="J27" s="1229"/>
      <c r="K27" s="1229"/>
      <c r="L27" s="1229"/>
      <c r="M27" s="1229"/>
      <c r="N27" s="1229"/>
      <c r="O27" s="1229"/>
      <c r="P27" s="1229"/>
      <c r="Q27" s="1229"/>
      <c r="R27" s="1229"/>
    </row>
    <row r="28" spans="2:18" ht="13.5" customHeight="1">
      <c r="B28" s="1229"/>
      <c r="C28" s="1229"/>
      <c r="D28" s="1229"/>
      <c r="E28" s="1229"/>
      <c r="F28" s="1229"/>
      <c r="G28" s="1229"/>
      <c r="H28" s="1229"/>
      <c r="I28" s="1229"/>
      <c r="J28" s="1229"/>
      <c r="K28" s="1229"/>
      <c r="L28" s="1229"/>
      <c r="M28" s="1229"/>
      <c r="N28" s="1229"/>
      <c r="O28" s="1229"/>
      <c r="P28" s="1229"/>
      <c r="Q28" s="1229"/>
      <c r="R28" s="1229"/>
    </row>
    <row r="29" spans="2:18" ht="13.5" customHeight="1">
      <c r="B29" s="1229"/>
      <c r="C29" s="1229"/>
      <c r="D29" s="1229"/>
      <c r="E29" s="1229"/>
      <c r="F29" s="1229"/>
      <c r="G29" s="1229"/>
      <c r="H29" s="1229"/>
      <c r="I29" s="1229"/>
      <c r="J29" s="1229"/>
      <c r="K29" s="1229"/>
      <c r="L29" s="1229"/>
      <c r="M29" s="1229"/>
      <c r="N29" s="1229"/>
      <c r="O29" s="1229"/>
      <c r="P29" s="1229"/>
      <c r="Q29" s="1229"/>
      <c r="R29" s="1229"/>
    </row>
    <row r="30" spans="2:18" ht="13.5" customHeight="1">
      <c r="B30" s="1229"/>
      <c r="C30" s="1229"/>
      <c r="D30" s="1229"/>
      <c r="E30" s="1229"/>
      <c r="F30" s="1229"/>
      <c r="G30" s="1229"/>
      <c r="H30" s="1229"/>
      <c r="I30" s="1229"/>
      <c r="J30" s="1229"/>
      <c r="K30" s="1229"/>
      <c r="L30" s="1229"/>
      <c r="M30" s="1229"/>
      <c r="N30" s="1229"/>
      <c r="O30" s="1229"/>
      <c r="P30" s="1229"/>
      <c r="Q30" s="1229"/>
      <c r="R30" s="1229"/>
    </row>
    <row r="31" spans="2:18" ht="13.5" customHeight="1">
      <c r="B31" s="1229"/>
      <c r="C31" s="1229"/>
      <c r="D31" s="1229"/>
      <c r="E31" s="1229"/>
      <c r="F31" s="1229"/>
      <c r="G31" s="1229"/>
      <c r="H31" s="1229"/>
      <c r="I31" s="1229"/>
      <c r="J31" s="1229"/>
      <c r="K31" s="1229"/>
      <c r="L31" s="1229"/>
      <c r="M31" s="1229"/>
      <c r="N31" s="1229"/>
      <c r="O31" s="1229"/>
      <c r="P31" s="1229"/>
      <c r="Q31" s="1229"/>
      <c r="R31" s="1229"/>
    </row>
    <row r="32" spans="2:18" ht="13.5" customHeight="1">
      <c r="B32" s="1229"/>
      <c r="C32" s="1229"/>
      <c r="D32" s="1229"/>
      <c r="E32" s="1229"/>
      <c r="F32" s="1229"/>
      <c r="G32" s="1229"/>
      <c r="H32" s="1229"/>
      <c r="I32" s="1229"/>
      <c r="J32" s="1229"/>
      <c r="K32" s="1229"/>
      <c r="L32" s="1229"/>
      <c r="M32" s="1229"/>
      <c r="N32" s="1229"/>
      <c r="O32" s="1229"/>
      <c r="P32" s="1229"/>
      <c r="Q32" s="1229"/>
      <c r="R32" s="1229"/>
    </row>
    <row r="33" spans="2:18" ht="13.5" customHeight="1">
      <c r="B33" s="1229"/>
      <c r="C33" s="1229"/>
      <c r="D33" s="1229"/>
      <c r="E33" s="1229"/>
      <c r="F33" s="1229"/>
      <c r="G33" s="1229"/>
      <c r="H33" s="1229"/>
      <c r="I33" s="1229"/>
      <c r="J33" s="1229"/>
      <c r="K33" s="1229"/>
      <c r="L33" s="1229"/>
      <c r="M33" s="1229"/>
      <c r="N33" s="1229"/>
      <c r="O33" s="1229"/>
      <c r="P33" s="1229"/>
      <c r="Q33" s="1229"/>
      <c r="R33" s="1229"/>
    </row>
    <row r="34" spans="2:18" ht="13.5" customHeight="1">
      <c r="B34" s="1229"/>
      <c r="C34" s="1229"/>
      <c r="D34" s="1229"/>
      <c r="E34" s="1229"/>
      <c r="F34" s="1229"/>
      <c r="G34" s="1229"/>
      <c r="H34" s="1229"/>
      <c r="I34" s="1229"/>
      <c r="J34" s="1229"/>
      <c r="K34" s="1229"/>
      <c r="L34" s="1229"/>
      <c r="M34" s="1229"/>
      <c r="N34" s="1229"/>
      <c r="O34" s="1229"/>
      <c r="P34" s="1229"/>
      <c r="Q34" s="1229"/>
      <c r="R34" s="1229"/>
    </row>
    <row r="35" spans="2:18" ht="13.5" customHeight="1">
      <c r="B35" s="1229"/>
      <c r="C35" s="1229"/>
      <c r="D35" s="1229"/>
      <c r="E35" s="1229"/>
      <c r="F35" s="1229"/>
      <c r="G35" s="1229"/>
      <c r="H35" s="1229"/>
      <c r="I35" s="1229"/>
      <c r="J35" s="1229"/>
      <c r="K35" s="1229"/>
      <c r="L35" s="1229"/>
      <c r="M35" s="1229"/>
      <c r="N35" s="1229"/>
      <c r="O35" s="1229"/>
      <c r="P35" s="1229"/>
      <c r="Q35" s="1229"/>
      <c r="R35" s="1229"/>
    </row>
    <row r="36" spans="2:18" ht="13.5" customHeight="1">
      <c r="B36" s="1229"/>
      <c r="C36" s="1229"/>
      <c r="D36" s="1229"/>
      <c r="E36" s="1229"/>
      <c r="F36" s="1229"/>
      <c r="G36" s="1229"/>
      <c r="H36" s="1229"/>
      <c r="I36" s="1229"/>
      <c r="J36" s="1229"/>
      <c r="K36" s="1229"/>
      <c r="L36" s="1229"/>
      <c r="M36" s="1229"/>
      <c r="N36" s="1229"/>
      <c r="O36" s="1229"/>
      <c r="P36" s="1229"/>
      <c r="Q36" s="1229"/>
      <c r="R36" s="1229"/>
    </row>
    <row r="37" spans="2:18" ht="13.5" customHeight="1">
      <c r="G37" s="1229"/>
      <c r="H37" s="1229"/>
      <c r="I37" s="1229"/>
      <c r="J37" s="1229"/>
      <c r="K37" s="1229"/>
      <c r="L37" s="1229"/>
      <c r="M37" s="1229"/>
      <c r="N37" s="1229"/>
      <c r="O37" s="1229"/>
      <c r="P37" s="1229"/>
      <c r="Q37" s="1229"/>
      <c r="R37" s="1229"/>
    </row>
    <row r="38" spans="2:18" ht="13.5" hidden="1" customHeight="1">
      <c r="J38" s="1229"/>
      <c r="K38" s="1229"/>
      <c r="L38" s="1229"/>
      <c r="M38" s="1229"/>
      <c r="N38" s="1229"/>
      <c r="O38" s="1229"/>
      <c r="P38" s="1229"/>
      <c r="Q38" s="1229"/>
      <c r="R38" s="1229"/>
    </row>
  </sheetData>
  <sheetProtection algorithmName="SHA-512" hashValue="/ReKU3ihU6+LaQcE4Qo8dMGI5K2oU/256nY1GOxVwSc58iTgBdG8n+nBvlwLyQXSzw/E4hOVP6bvUKdzgYbE6Q==" saltValue="TJTo6yq0REGeUlJQaatIng==" spinCount="100000" sheet="1" objects="1" scenarios="1"/>
  <phoneticPr fontId="27"/>
  <printOptions horizontalCentered="1"/>
  <pageMargins left="0.59055118110236227" right="0.59055118110236227" top="0.78740157480314965" bottom="0.59055118110236227" header="0.51181102362204722" footer="0.51181102362204722"/>
  <pageSetup paperSize="9" scale="60" orientation="portrait" r:id="rId1"/>
  <headerFooter alignWithMargins="0">
    <oddHeader>&amp;L&amp;F&amp;R&amp;A</oddHeader>
    <oddFooter>&amp;C&amp;P/&amp;N</oddFooter>
  </headerFooter>
  <rowBreaks count="1" manualBreakCount="1">
    <brk id="37"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K205"/>
  <sheetViews>
    <sheetView showGridLines="0" topLeftCell="A23" zoomScale="70" zoomScaleNormal="70" workbookViewId="0">
      <selection activeCell="Q17" sqref="Q1:XFD1048576"/>
    </sheetView>
  </sheetViews>
  <sheetFormatPr defaultColWidth="0" defaultRowHeight="0" customHeight="1" zeroHeight="1"/>
  <cols>
    <col min="1" max="1" width="0.75" style="55" customWidth="1"/>
    <col min="2" max="2" width="2.125" style="72" customWidth="1"/>
    <col min="3" max="3" width="13.375" style="72" customWidth="1"/>
    <col min="4" max="4" width="5.375" style="73" customWidth="1"/>
    <col min="5" max="5" width="9.75" style="74" customWidth="1"/>
    <col min="6" max="6" width="6.25" style="75" customWidth="1"/>
    <col min="7" max="7" width="6.5" style="75" customWidth="1"/>
    <col min="8" max="8" width="13.125" style="75" customWidth="1"/>
    <col min="9" max="9" width="6.875" style="76" customWidth="1"/>
    <col min="10" max="10" width="12.125" style="76" customWidth="1"/>
    <col min="11" max="12" width="11.875" style="75" customWidth="1"/>
    <col min="13" max="13" width="11.75" style="96" customWidth="1"/>
    <col min="14" max="14" width="8.625" style="96" customWidth="1"/>
    <col min="15" max="15" width="11.5" style="96" customWidth="1"/>
    <col min="16" max="16" width="0.75" style="55" customWidth="1"/>
    <col min="17" max="17" width="3.875" style="55" hidden="1" customWidth="1"/>
    <col min="18" max="18" width="9.875" style="64" hidden="1" customWidth="1"/>
    <col min="19" max="19" width="9.875" style="389" hidden="1" customWidth="1"/>
    <col min="20" max="20" width="9.875" style="64" hidden="1" customWidth="1"/>
    <col min="21" max="21" width="9.125" style="64" hidden="1" customWidth="1"/>
    <col min="22" max="22" width="14.5" style="64" hidden="1" customWidth="1"/>
    <col min="23" max="23" width="11.125" style="64" hidden="1" customWidth="1"/>
    <col min="24" max="24" width="20.5" style="64" hidden="1" customWidth="1"/>
    <col min="25" max="25" width="18.625" style="64" hidden="1" customWidth="1"/>
    <col min="26" max="26" width="23" style="64" hidden="1" customWidth="1"/>
    <col min="27" max="27" width="4.5" style="64" hidden="1" customWidth="1"/>
    <col min="28" max="28" width="6.125" style="64" hidden="1" customWidth="1"/>
    <col min="29" max="29" width="8.875" style="64" hidden="1" customWidth="1"/>
    <col min="30" max="31" width="5" style="64" hidden="1" customWidth="1"/>
    <col min="32" max="32" width="5.125" style="64" hidden="1" customWidth="1"/>
    <col min="33" max="16384" width="9" style="64" hidden="1"/>
  </cols>
  <sheetData>
    <row r="1" spans="1:27" s="53" customFormat="1" ht="6" customHeight="1" thickBot="1">
      <c r="A1" s="46"/>
      <c r="B1" s="47"/>
      <c r="C1" s="48"/>
      <c r="D1" s="49"/>
      <c r="E1" s="46"/>
      <c r="F1" s="50"/>
      <c r="G1" s="50"/>
      <c r="H1" s="50"/>
      <c r="I1" s="51"/>
      <c r="J1" s="51"/>
      <c r="K1" s="50"/>
      <c r="L1" s="52"/>
      <c r="M1" s="46"/>
      <c r="N1" s="46"/>
      <c r="O1" s="46"/>
      <c r="P1" s="46"/>
      <c r="Q1" s="46"/>
      <c r="S1" s="54"/>
    </row>
    <row r="2" spans="1:27" ht="18.75" customHeight="1" thickTop="1">
      <c r="B2" s="56"/>
      <c r="C2" s="57"/>
      <c r="D2" s="58"/>
      <c r="E2" s="59"/>
      <c r="F2" s="60"/>
      <c r="G2" s="60"/>
      <c r="H2" s="60"/>
      <c r="I2" s="61"/>
      <c r="J2" s="62"/>
      <c r="K2" s="62"/>
      <c r="L2" s="62"/>
      <c r="M2" s="62"/>
      <c r="N2" s="60"/>
      <c r="O2" s="63"/>
      <c r="Q2" s="3221" t="s">
        <v>1852</v>
      </c>
      <c r="S2" s="64"/>
    </row>
    <row r="3" spans="1:27" ht="18.75" customHeight="1">
      <c r="B3" s="56"/>
      <c r="C3" s="57"/>
      <c r="D3" s="58"/>
      <c r="E3" s="59"/>
      <c r="F3" s="60"/>
      <c r="G3" s="60"/>
      <c r="H3" s="60"/>
      <c r="I3" s="61"/>
      <c r="J3" s="62"/>
      <c r="K3" s="62"/>
      <c r="L3" s="62"/>
      <c r="M3" s="62"/>
      <c r="N3" s="60"/>
      <c r="O3" s="65"/>
      <c r="Q3" s="3222"/>
      <c r="S3" s="64"/>
    </row>
    <row r="4" spans="1:27" ht="18.75" customHeight="1">
      <c r="B4" s="56"/>
      <c r="C4" s="57"/>
      <c r="D4" s="58"/>
      <c r="E4" s="59"/>
      <c r="F4" s="60"/>
      <c r="G4" s="60"/>
      <c r="H4" s="60"/>
      <c r="I4" s="66"/>
      <c r="J4" s="62"/>
      <c r="K4" s="62"/>
      <c r="L4" s="62"/>
      <c r="M4" s="62"/>
      <c r="N4" s="60"/>
      <c r="O4" s="63"/>
      <c r="Q4" s="3222"/>
      <c r="S4" s="64"/>
    </row>
    <row r="5" spans="1:27" ht="13.5" customHeight="1" thickBot="1">
      <c r="B5" s="67"/>
      <c r="C5" s="68"/>
      <c r="D5" s="58"/>
      <c r="E5" s="59"/>
      <c r="F5" s="60"/>
      <c r="G5" s="60"/>
      <c r="H5" s="60"/>
      <c r="I5" s="69"/>
      <c r="J5" s="70" t="s">
        <v>1774</v>
      </c>
      <c r="K5" s="3224" t="str">
        <f>メイン!C6</f>
        <v>CASBEE-川崎2025年版</v>
      </c>
      <c r="L5" s="3225"/>
      <c r="M5" s="70" t="s">
        <v>1853</v>
      </c>
      <c r="N5" s="3224" t="str">
        <f>メイン!C5</f>
        <v>CASBEE-川崎2025(v.1.1)</v>
      </c>
      <c r="O5" s="3226"/>
      <c r="Q5" s="3223"/>
      <c r="R5" s="86" t="s">
        <v>1856</v>
      </c>
      <c r="S5" s="64"/>
      <c r="U5" s="86" t="s">
        <v>1857</v>
      </c>
    </row>
    <row r="6" spans="1:27" ht="6" customHeight="1" thickTop="1" thickBot="1">
      <c r="B6" s="71"/>
      <c r="J6" s="77"/>
      <c r="K6" s="77"/>
      <c r="L6" s="78"/>
      <c r="M6" s="74"/>
      <c r="N6" s="74"/>
      <c r="O6" s="74"/>
      <c r="S6" s="64"/>
    </row>
    <row r="7" spans="1:27" ht="19.5" customHeight="1" thickBot="1">
      <c r="B7" s="79" t="s">
        <v>1854</v>
      </c>
      <c r="C7" s="80"/>
      <c r="D7" s="81"/>
      <c r="E7" s="80"/>
      <c r="F7" s="80"/>
      <c r="G7" s="80"/>
      <c r="H7" s="82"/>
      <c r="I7" s="83"/>
      <c r="J7" s="83"/>
      <c r="K7" s="83"/>
      <c r="L7" s="84" t="s">
        <v>1855</v>
      </c>
      <c r="M7" s="80"/>
      <c r="N7" s="80"/>
      <c r="O7" s="85"/>
      <c r="R7" s="98" t="s">
        <v>2000</v>
      </c>
      <c r="S7" s="98">
        <f>スコア!AD8</f>
        <v>2.5862000000000003</v>
      </c>
      <c r="U7" s="99"/>
      <c r="V7" s="99" t="s">
        <v>1860</v>
      </c>
      <c r="W7" s="100" t="s">
        <v>2001</v>
      </c>
      <c r="X7" s="100">
        <v>4</v>
      </c>
      <c r="Y7" s="100">
        <v>2</v>
      </c>
      <c r="Z7" s="101" t="s">
        <v>1185</v>
      </c>
      <c r="AA7" s="98" t="s">
        <v>2003</v>
      </c>
    </row>
    <row r="8" spans="1:27" ht="19.5" customHeight="1">
      <c r="B8" s="87" t="s">
        <v>1858</v>
      </c>
      <c r="C8" s="88"/>
      <c r="D8" s="89" t="str">
        <f>メイン!C11</f>
        <v>○○ビル</v>
      </c>
      <c r="E8" s="88"/>
      <c r="F8" s="88"/>
      <c r="G8" s="90"/>
      <c r="H8" s="91" t="s">
        <v>1859</v>
      </c>
      <c r="I8" s="92"/>
      <c r="J8" s="93" t="str">
        <f>メイン!C22</f>
        <v>地上○○F</v>
      </c>
      <c r="K8" s="94"/>
      <c r="L8" s="95"/>
      <c r="O8" s="97"/>
      <c r="R8" s="98" t="s">
        <v>2004</v>
      </c>
      <c r="S8" s="98">
        <f>スコア!AD121</f>
        <v>2.6993333333333331</v>
      </c>
      <c r="U8" s="101" t="s">
        <v>2005</v>
      </c>
      <c r="V8" s="99" t="s">
        <v>615</v>
      </c>
      <c r="W8" s="100">
        <v>5</v>
      </c>
      <c r="X8" s="100">
        <v>4</v>
      </c>
      <c r="Y8" s="100">
        <v>2</v>
      </c>
      <c r="Z8" s="112">
        <f>V46</f>
        <v>2.8</v>
      </c>
      <c r="AA8" s="98">
        <v>3</v>
      </c>
    </row>
    <row r="9" spans="1:27" ht="19.5" customHeight="1">
      <c r="B9" s="102" t="s">
        <v>1862</v>
      </c>
      <c r="C9" s="103"/>
      <c r="D9" s="104" t="str">
        <f>メイン!C12</f>
        <v>川崎市〇〇</v>
      </c>
      <c r="E9" s="103"/>
      <c r="F9" s="105"/>
      <c r="G9" s="64"/>
      <c r="H9" s="106" t="s">
        <v>1863</v>
      </c>
      <c r="I9" s="107"/>
      <c r="J9" s="108">
        <f>メイン!C23</f>
        <v>0</v>
      </c>
      <c r="K9" s="109"/>
      <c r="L9" s="110"/>
      <c r="M9" s="64"/>
      <c r="N9" s="64"/>
      <c r="O9" s="111"/>
      <c r="R9" s="101" t="s">
        <v>200</v>
      </c>
      <c r="S9" s="101">
        <f>25*(S7-1)</f>
        <v>39.655000000000008</v>
      </c>
      <c r="U9" s="101" t="s">
        <v>617</v>
      </c>
      <c r="V9" s="118" t="s">
        <v>1870</v>
      </c>
      <c r="W9" s="100">
        <v>5</v>
      </c>
      <c r="X9" s="100">
        <v>4</v>
      </c>
      <c r="Y9" s="100">
        <v>2</v>
      </c>
      <c r="Z9" s="112">
        <f>Y46</f>
        <v>1.8</v>
      </c>
      <c r="AA9" s="98">
        <v>3</v>
      </c>
    </row>
    <row r="10" spans="1:27" ht="18.75" customHeight="1">
      <c r="B10" s="102" t="s">
        <v>279</v>
      </c>
      <c r="C10" s="113"/>
      <c r="D10" s="104" t="str">
        <f>メイン!C14</f>
        <v>商業地域、防火地域</v>
      </c>
      <c r="E10" s="113"/>
      <c r="F10" s="113"/>
      <c r="G10" s="64"/>
      <c r="H10" s="91" t="s">
        <v>1868</v>
      </c>
      <c r="I10" s="92"/>
      <c r="J10" s="114" t="str">
        <f>メイン!C32</f>
        <v>XX</v>
      </c>
      <c r="K10" s="105" t="s">
        <v>1869</v>
      </c>
      <c r="L10" s="115"/>
      <c r="M10" s="116"/>
      <c r="N10" s="116"/>
      <c r="O10" s="117"/>
      <c r="R10" s="101" t="s">
        <v>1871</v>
      </c>
      <c r="S10" s="101">
        <f>25*(5-S8)</f>
        <v>57.516666666666673</v>
      </c>
      <c r="U10" s="101" t="s">
        <v>1505</v>
      </c>
      <c r="V10" s="124" t="s">
        <v>1872</v>
      </c>
      <c r="W10" s="100">
        <v>5</v>
      </c>
      <c r="X10" s="100">
        <v>4</v>
      </c>
      <c r="Y10" s="100">
        <v>2</v>
      </c>
      <c r="Z10" s="112">
        <f>Y57</f>
        <v>3</v>
      </c>
      <c r="AA10" s="98">
        <v>3</v>
      </c>
    </row>
    <row r="11" spans="1:27" ht="18.75" customHeight="1">
      <c r="B11" s="119" t="s">
        <v>2542</v>
      </c>
      <c r="C11" s="120"/>
      <c r="D11" s="108" t="str">
        <f>IF(メイン!F12="","",メイン!F12)</f>
        <v>６地域</v>
      </c>
      <c r="E11" s="120"/>
      <c r="F11" s="121"/>
      <c r="G11" s="122"/>
      <c r="H11" s="106" t="str">
        <f>IF(メイン!I3=3,メイン!J33,メイン!I33)</f>
        <v>年間使用時間</v>
      </c>
      <c r="I11" s="107"/>
      <c r="J11" s="123" t="str">
        <f>IF(メイン!I3=3,メイン!C34,メイン!C33)</f>
        <v>XXX</v>
      </c>
      <c r="K11" s="1688" t="str">
        <f>IF(メイン!I3=3,メイン!D34,メイン!D33)</f>
        <v>時間/年（想定値）</v>
      </c>
      <c r="L11" s="115"/>
      <c r="M11" s="116"/>
      <c r="N11" s="116"/>
      <c r="O11" s="117"/>
      <c r="R11" s="101" t="s">
        <v>625</v>
      </c>
      <c r="S11" s="101">
        <f>S9/S10</f>
        <v>0.68945233265720085</v>
      </c>
      <c r="U11" s="101" t="s">
        <v>1972</v>
      </c>
      <c r="V11" s="124" t="s">
        <v>1877</v>
      </c>
      <c r="W11" s="100">
        <v>5</v>
      </c>
      <c r="X11" s="100">
        <v>4</v>
      </c>
      <c r="Y11" s="100">
        <v>2</v>
      </c>
      <c r="Z11" s="112">
        <f>V57</f>
        <v>3</v>
      </c>
      <c r="AA11" s="98">
        <v>3</v>
      </c>
    </row>
    <row r="12" spans="1:27" ht="18.75" customHeight="1">
      <c r="B12" s="125" t="s">
        <v>1873</v>
      </c>
      <c r="C12" s="126"/>
      <c r="D12" s="127" t="str">
        <f>メイン!C21</f>
        <v>事務所,集合住宅,</v>
      </c>
      <c r="E12" s="126"/>
      <c r="F12" s="126"/>
      <c r="G12" s="128"/>
      <c r="H12" s="106" t="s">
        <v>1874</v>
      </c>
      <c r="I12" s="129"/>
      <c r="J12" s="108" t="str">
        <f>IF(メイン!E39=0,"",メイン!E39&amp;"評価")</f>
        <v>実施設計段階評価</v>
      </c>
      <c r="K12" s="130"/>
      <c r="L12" s="115"/>
      <c r="M12" s="131" t="s">
        <v>1875</v>
      </c>
      <c r="N12" s="116"/>
      <c r="O12" s="117"/>
      <c r="R12" s="101" t="s">
        <v>618</v>
      </c>
      <c r="S12" s="136">
        <f>ROUNDDOWN(S11,1)</f>
        <v>0.6</v>
      </c>
      <c r="U12" s="101" t="s">
        <v>619</v>
      </c>
      <c r="V12" s="124" t="s">
        <v>620</v>
      </c>
      <c r="W12" s="100">
        <v>5</v>
      </c>
      <c r="X12" s="100">
        <v>4</v>
      </c>
      <c r="Y12" s="100">
        <v>2</v>
      </c>
      <c r="Z12" s="112">
        <f>S57</f>
        <v>2.2000000000000002</v>
      </c>
      <c r="AA12" s="98">
        <v>3</v>
      </c>
    </row>
    <row r="13" spans="1:27" ht="17.25" customHeight="1">
      <c r="B13" s="1566" t="s">
        <v>494</v>
      </c>
      <c r="C13" s="1567"/>
      <c r="D13" s="3227" t="str">
        <f>メイン!C15</f>
        <v>202●年●月</v>
      </c>
      <c r="E13" s="3228"/>
      <c r="F13" s="1568" t="str">
        <f>メイン!F15</f>
        <v>予定</v>
      </c>
      <c r="G13" s="1569"/>
      <c r="H13" s="91" t="s">
        <v>495</v>
      </c>
      <c r="I13" s="132"/>
      <c r="J13" s="133" t="str">
        <f>IF(メイン!C39=0,"",メイン!C39)</f>
        <v>202●年●月●日</v>
      </c>
      <c r="K13" s="134"/>
      <c r="L13" s="115"/>
      <c r="M13" s="135" t="s">
        <v>2459</v>
      </c>
      <c r="N13" s="116"/>
      <c r="O13" s="117"/>
      <c r="R13" s="101" t="s">
        <v>501</v>
      </c>
      <c r="S13" s="142">
        <f>IF(AND($S$9&gt;=50,$S$11&gt;=3),1,IF(S12&lt;0.5,1,IF(S12&lt;1,2,IF(S12&lt;1.5,3,IF(S12&lt;3,4,4))))/5)</f>
        <v>0.4</v>
      </c>
      <c r="U13" s="101" t="s">
        <v>622</v>
      </c>
      <c r="V13" s="118" t="s">
        <v>498</v>
      </c>
      <c r="W13" s="100">
        <v>5</v>
      </c>
      <c r="X13" s="100">
        <v>4</v>
      </c>
      <c r="Y13" s="100">
        <v>2</v>
      </c>
      <c r="Z13" s="112">
        <f>IF(S46=0,1,S46)</f>
        <v>2.9</v>
      </c>
      <c r="AA13" s="98">
        <v>3</v>
      </c>
    </row>
    <row r="14" spans="1:27" ht="17.25" hidden="1" customHeight="1">
      <c r="B14" s="1512" t="s">
        <v>2687</v>
      </c>
      <c r="C14" s="94"/>
      <c r="D14" s="3235" t="str">
        <f>メイン!C16</f>
        <v>2016年６月～８月</v>
      </c>
      <c r="E14" s="3236"/>
      <c r="F14"/>
      <c r="G14"/>
      <c r="H14" s="91"/>
      <c r="I14" s="132"/>
      <c r="J14" s="133"/>
      <c r="K14" s="134"/>
      <c r="L14" s="115"/>
      <c r="M14" s="135"/>
      <c r="N14" s="116"/>
      <c r="O14" s="117"/>
      <c r="R14" s="101" t="s">
        <v>504</v>
      </c>
      <c r="S14" s="148">
        <f>1-S13</f>
        <v>0.6</v>
      </c>
    </row>
    <row r="15" spans="1:27" ht="14.25">
      <c r="B15" s="1570" t="s">
        <v>496</v>
      </c>
      <c r="C15" s="1571"/>
      <c r="D15" s="1572"/>
      <c r="E15" s="1573">
        <f>メイン!C17</f>
        <v>1000</v>
      </c>
      <c r="F15" s="1568" t="s">
        <v>621</v>
      </c>
      <c r="G15" s="1569"/>
      <c r="H15" s="91" t="s">
        <v>497</v>
      </c>
      <c r="I15" s="132"/>
      <c r="J15" s="141" t="str">
        <f>IF(メイン!C40=0,"",メイン!C40)</f>
        <v>○○○</v>
      </c>
      <c r="K15" s="134"/>
      <c r="L15" s="115"/>
      <c r="M15" s="135" t="s">
        <v>2460</v>
      </c>
      <c r="N15" s="116"/>
      <c r="O15" s="117"/>
      <c r="S15" s="64"/>
    </row>
    <row r="16" spans="1:27" ht="18.75" customHeight="1">
      <c r="B16" s="91" t="s">
        <v>499</v>
      </c>
      <c r="C16" s="137"/>
      <c r="D16" s="138"/>
      <c r="E16" s="139">
        <f>メイン!C18</f>
        <v>500</v>
      </c>
      <c r="F16" s="140" t="s">
        <v>621</v>
      </c>
      <c r="G16" s="64"/>
      <c r="H16" s="91" t="s">
        <v>500</v>
      </c>
      <c r="I16" s="132"/>
      <c r="J16" s="133" t="str">
        <f>IF(メイン!C41=0,"",メイン!C41)</f>
        <v>202●年●月●日</v>
      </c>
      <c r="K16" s="134"/>
      <c r="L16" s="115"/>
      <c r="M16" s="116"/>
      <c r="N16" s="116"/>
      <c r="O16" s="117"/>
      <c r="S16" s="64"/>
      <c r="V16" s="55"/>
      <c r="Z16" s="55"/>
    </row>
    <row r="17" spans="2:28" ht="18" customHeight="1" thickBot="1">
      <c r="B17" s="91" t="s">
        <v>502</v>
      </c>
      <c r="C17" s="137"/>
      <c r="D17" s="138"/>
      <c r="E17" s="143">
        <f>メイン!J69</f>
        <v>1500</v>
      </c>
      <c r="F17" s="144" t="s">
        <v>621</v>
      </c>
      <c r="G17" s="64"/>
      <c r="H17" s="91" t="s">
        <v>503</v>
      </c>
      <c r="I17" s="132"/>
      <c r="J17" s="141" t="str">
        <f>IF(メイン!C42=0,"",メイン!C42)</f>
        <v>○○○</v>
      </c>
      <c r="K17" s="134"/>
      <c r="L17" s="145"/>
      <c r="M17" s="146"/>
      <c r="N17" s="146"/>
      <c r="O17" s="147"/>
      <c r="S17" s="64"/>
      <c r="T17" s="55"/>
      <c r="U17" s="149"/>
      <c r="V17" s="55"/>
      <c r="W17" s="55"/>
      <c r="X17" s="55"/>
      <c r="Y17" s="55"/>
      <c r="Z17" s="55"/>
      <c r="AA17" s="55"/>
      <c r="AB17" s="55"/>
    </row>
    <row r="18" spans="2:28" ht="15" hidden="1" thickBot="1">
      <c r="B18" s="1511" t="s">
        <v>505</v>
      </c>
      <c r="C18" s="64"/>
      <c r="D18" s="1513" t="s">
        <v>2601</v>
      </c>
      <c r="E18"/>
      <c r="F18"/>
      <c r="G18"/>
      <c r="H18"/>
      <c r="I18"/>
      <c r="J18"/>
      <c r="K18"/>
      <c r="L18" s="150" t="s">
        <v>506</v>
      </c>
      <c r="M18" s="151" t="s">
        <v>507</v>
      </c>
      <c r="N18" s="1513" t="s">
        <v>2601</v>
      </c>
      <c r="O18" s="111"/>
      <c r="R18" s="55"/>
      <c r="S18" s="55"/>
      <c r="T18" s="55"/>
      <c r="U18" s="55"/>
      <c r="V18" s="55"/>
      <c r="W18" s="55"/>
      <c r="X18" s="55"/>
      <c r="Y18" s="55"/>
      <c r="Z18" s="55"/>
      <c r="AA18" s="55"/>
      <c r="AB18" s="55"/>
    </row>
    <row r="19" spans="2:28" ht="15" hidden="1" thickBot="1">
      <c r="B19" s="1511" t="s">
        <v>508</v>
      </c>
      <c r="C19" s="152"/>
      <c r="D19" s="1513" t="s">
        <v>2601</v>
      </c>
      <c r="E19"/>
      <c r="F19"/>
      <c r="G19"/>
      <c r="H19"/>
      <c r="I19"/>
      <c r="J19"/>
      <c r="K19"/>
      <c r="L19" s="153"/>
      <c r="M19" s="151" t="s">
        <v>509</v>
      </c>
      <c r="N19" s="1513" t="s">
        <v>2601</v>
      </c>
      <c r="O19" s="154"/>
      <c r="R19" s="144"/>
      <c r="S19" s="92"/>
      <c r="T19" s="55"/>
      <c r="U19" s="55"/>
      <c r="V19" s="92"/>
      <c r="W19" s="96"/>
      <c r="X19" s="55"/>
      <c r="Y19" s="55"/>
      <c r="Z19" s="55"/>
      <c r="AA19" s="55"/>
      <c r="AB19" s="55"/>
    </row>
    <row r="20" spans="2:28" ht="15" hidden="1" thickBot="1">
      <c r="B20" s="1511" t="s">
        <v>510</v>
      </c>
      <c r="C20" s="92"/>
      <c r="D20" s="1513" t="s">
        <v>2601</v>
      </c>
      <c r="E20"/>
      <c r="F20"/>
      <c r="G20"/>
      <c r="H20"/>
      <c r="I20"/>
      <c r="J20"/>
      <c r="K20"/>
      <c r="L20" s="153"/>
      <c r="M20" s="151" t="s">
        <v>511</v>
      </c>
      <c r="N20" s="1513" t="s">
        <v>2601</v>
      </c>
      <c r="O20" s="154"/>
      <c r="R20" s="144"/>
      <c r="S20" s="92"/>
      <c r="T20" s="55"/>
      <c r="U20" s="55"/>
      <c r="V20" s="92"/>
      <c r="W20" s="96"/>
      <c r="X20" s="55"/>
      <c r="Y20" s="55"/>
      <c r="Z20" s="55"/>
      <c r="AA20" s="55"/>
      <c r="AB20" s="55"/>
    </row>
    <row r="21" spans="2:28" ht="15" hidden="1" thickBot="1">
      <c r="B21" s="1511" t="s">
        <v>512</v>
      </c>
      <c r="C21" s="113"/>
      <c r="D21" s="1513" t="s">
        <v>2601</v>
      </c>
      <c r="E21"/>
      <c r="F21"/>
      <c r="G21"/>
      <c r="H21"/>
      <c r="I21"/>
      <c r="J21"/>
      <c r="K21"/>
      <c r="L21" s="157"/>
      <c r="M21" s="158" t="s">
        <v>513</v>
      </c>
      <c r="N21" s="1513" t="s">
        <v>2601</v>
      </c>
      <c r="O21" s="159"/>
      <c r="R21" s="144"/>
      <c r="S21" s="92"/>
      <c r="T21" s="55"/>
      <c r="U21" s="55"/>
      <c r="V21" s="92"/>
      <c r="W21" s="96"/>
      <c r="X21" s="55"/>
      <c r="Y21" s="55"/>
      <c r="Z21" s="55"/>
      <c r="AA21" s="55"/>
      <c r="AB21" s="55"/>
    </row>
    <row r="22" spans="2:28" ht="6.75" customHeight="1" thickBot="1">
      <c r="B22" s="160"/>
      <c r="C22" s="161"/>
      <c r="D22" s="160"/>
      <c r="E22" s="162"/>
      <c r="F22" s="162"/>
      <c r="G22" s="162"/>
      <c r="H22" s="162"/>
      <c r="I22" s="163"/>
      <c r="J22" s="164"/>
      <c r="K22" s="165"/>
      <c r="L22" s="162"/>
      <c r="M22" s="162"/>
      <c r="N22" s="162"/>
      <c r="O22" s="162"/>
      <c r="R22" s="144"/>
      <c r="S22" s="92"/>
      <c r="T22" s="55"/>
      <c r="U22" s="55"/>
      <c r="V22" s="92"/>
      <c r="W22" s="96"/>
      <c r="X22" s="55"/>
      <c r="Y22" s="55"/>
      <c r="Z22" s="55"/>
      <c r="AA22" s="55"/>
      <c r="AB22" s="55"/>
    </row>
    <row r="23" spans="2:28" ht="19.5" thickBot="1">
      <c r="B23" s="166" t="s">
        <v>514</v>
      </c>
      <c r="C23" s="167"/>
      <c r="D23" s="168"/>
      <c r="E23" s="169"/>
      <c r="F23" s="169"/>
      <c r="G23" s="169"/>
      <c r="H23" s="170" t="s">
        <v>515</v>
      </c>
      <c r="I23" s="171"/>
      <c r="J23" s="172"/>
      <c r="K23" s="172"/>
      <c r="L23" s="3238" t="str">
        <f>IF(建築環境SDGsチェックリスト!E3="実施する","2-3 建築環境SDGsチェックリスト評価結果","2-3 大項目の評価結果（レーダーチャート）")</f>
        <v>2-3 大項目の評価結果（レーダーチャート）</v>
      </c>
      <c r="M23" s="3239"/>
      <c r="N23" s="3239"/>
      <c r="O23" s="3240"/>
      <c r="R23" s="101" t="s">
        <v>624</v>
      </c>
      <c r="S23" s="99" t="s">
        <v>517</v>
      </c>
      <c r="T23" s="99" t="s">
        <v>518</v>
      </c>
      <c r="U23" s="99" t="s">
        <v>519</v>
      </c>
      <c r="AB23" s="55"/>
    </row>
    <row r="24" spans="2:28" ht="15" customHeight="1">
      <c r="B24" s="110"/>
      <c r="C24" s="64"/>
      <c r="D24" s="64"/>
      <c r="E24" s="64"/>
      <c r="F24" s="64"/>
      <c r="G24" s="64"/>
      <c r="H24" s="174"/>
      <c r="I24" s="175"/>
      <c r="J24" s="162"/>
      <c r="K24" s="176"/>
      <c r="L24" s="110"/>
      <c r="M24" s="64"/>
      <c r="N24" s="64"/>
      <c r="O24" s="111"/>
      <c r="P24" s="64"/>
      <c r="Q24" s="64"/>
      <c r="R24" s="101" t="s">
        <v>520</v>
      </c>
      <c r="S24" s="112"/>
      <c r="T24" s="178">
        <f>S10</f>
        <v>57.516666666666673</v>
      </c>
      <c r="U24" s="112">
        <v>0</v>
      </c>
      <c r="V24" s="55"/>
      <c r="W24" s="99" t="s">
        <v>521</v>
      </c>
      <c r="X24" s="99"/>
      <c r="Y24" s="55"/>
      <c r="Z24" s="99" t="s">
        <v>522</v>
      </c>
      <c r="AA24" s="99"/>
      <c r="AB24" s="55"/>
    </row>
    <row r="25" spans="2:28" ht="15" customHeight="1">
      <c r="B25" s="179"/>
      <c r="C25" s="180">
        <f>S12</f>
        <v>0.6</v>
      </c>
      <c r="D25" s="64"/>
      <c r="E25" s="64"/>
      <c r="F25" s="64"/>
      <c r="G25" s="64"/>
      <c r="H25" s="181"/>
      <c r="I25" s="182"/>
      <c r="J25" s="183"/>
      <c r="K25" s="184"/>
      <c r="L25" s="185"/>
      <c r="M25" s="64"/>
      <c r="N25" s="64"/>
      <c r="O25" s="111"/>
      <c r="P25" s="64"/>
      <c r="Q25" s="64"/>
      <c r="R25" s="101" t="s">
        <v>523</v>
      </c>
      <c r="S25" s="112"/>
      <c r="T25" s="178">
        <f>S9</f>
        <v>39.655000000000008</v>
      </c>
      <c r="U25" s="112">
        <v>0</v>
      </c>
      <c r="V25" s="55"/>
      <c r="W25" s="112">
        <v>50</v>
      </c>
      <c r="X25" s="112">
        <v>50</v>
      </c>
      <c r="Y25" s="55"/>
      <c r="Z25" s="112">
        <v>0</v>
      </c>
      <c r="AA25" s="112">
        <v>100</v>
      </c>
      <c r="AB25" s="55"/>
    </row>
    <row r="26" spans="2:28" ht="15" customHeight="1">
      <c r="B26" s="110"/>
      <c r="C26" s="64"/>
      <c r="D26" s="64"/>
      <c r="E26" s="64"/>
      <c r="F26" s="64"/>
      <c r="G26" s="64"/>
      <c r="H26" s="181"/>
      <c r="I26" s="64"/>
      <c r="J26" s="183"/>
      <c r="K26" s="184"/>
      <c r="L26" s="185"/>
      <c r="M26" s="64"/>
      <c r="N26" s="64"/>
      <c r="O26" s="111"/>
      <c r="P26" s="64"/>
      <c r="Q26" s="64"/>
      <c r="R26" s="112">
        <v>0</v>
      </c>
      <c r="S26" s="99">
        <f>T24</f>
        <v>57.516666666666673</v>
      </c>
      <c r="T26" s="186">
        <f>T24</f>
        <v>57.516666666666673</v>
      </c>
      <c r="U26" s="99">
        <v>0.1</v>
      </c>
      <c r="V26" s="55"/>
      <c r="W26" s="112">
        <v>0</v>
      </c>
      <c r="X26" s="112">
        <v>100</v>
      </c>
      <c r="Y26" s="55"/>
      <c r="Z26" s="112">
        <v>50</v>
      </c>
      <c r="AA26" s="112">
        <v>50</v>
      </c>
      <c r="AB26" s="55"/>
    </row>
    <row r="27" spans="2:28" ht="15" customHeight="1">
      <c r="B27" s="187"/>
      <c r="C27" s="188"/>
      <c r="D27" s="188"/>
      <c r="E27" s="188"/>
      <c r="F27" s="188"/>
      <c r="G27" s="188"/>
      <c r="H27" s="189"/>
      <c r="I27" s="190"/>
      <c r="J27" s="191"/>
      <c r="K27" s="192"/>
      <c r="L27" s="2730"/>
      <c r="M27" s="2731"/>
      <c r="N27" s="2732"/>
      <c r="O27" s="2733"/>
      <c r="P27" s="64"/>
      <c r="Q27" s="64"/>
      <c r="R27" s="112">
        <v>0</v>
      </c>
      <c r="S27" s="99">
        <v>0</v>
      </c>
      <c r="T27" s="99">
        <f>T25</f>
        <v>39.655000000000008</v>
      </c>
      <c r="U27" s="193">
        <f>T25</f>
        <v>39.655000000000008</v>
      </c>
      <c r="V27" s="55"/>
      <c r="W27" s="55"/>
      <c r="X27" s="55"/>
      <c r="Y27" s="55"/>
      <c r="Z27" s="55"/>
      <c r="AA27" s="55"/>
      <c r="AB27" s="55"/>
    </row>
    <row r="28" spans="2:28" ht="15" customHeight="1">
      <c r="B28" s="110"/>
      <c r="C28" s="64"/>
      <c r="D28" s="64"/>
      <c r="E28" s="64"/>
      <c r="F28" s="64"/>
      <c r="G28" s="64"/>
      <c r="H28" s="194" t="str">
        <f>U36</f>
        <v>標準計算</v>
      </c>
      <c r="I28" s="64"/>
      <c r="J28" s="183"/>
      <c r="K28" s="183"/>
      <c r="L28" s="110"/>
      <c r="M28" s="64"/>
      <c r="N28" s="64"/>
      <c r="O28" s="111"/>
      <c r="P28" s="64"/>
      <c r="Q28" s="64"/>
      <c r="S28" s="64"/>
      <c r="V28" s="55"/>
      <c r="W28" s="55"/>
      <c r="X28" s="55"/>
      <c r="Y28" s="55"/>
      <c r="Z28" s="55"/>
      <c r="AA28" s="55"/>
      <c r="AB28" s="55"/>
    </row>
    <row r="29" spans="2:28" ht="15" customHeight="1">
      <c r="B29" s="110"/>
      <c r="C29" s="64"/>
      <c r="D29" s="64"/>
      <c r="E29" s="64"/>
      <c r="F29" s="64"/>
      <c r="G29" s="64"/>
      <c r="H29" s="110"/>
      <c r="I29" s="64"/>
      <c r="J29" s="183"/>
      <c r="K29" s="184"/>
      <c r="L29" s="195"/>
      <c r="M29" s="196"/>
      <c r="N29" s="197"/>
      <c r="O29" s="198"/>
      <c r="P29" s="64"/>
      <c r="Q29" s="64"/>
      <c r="R29" s="199" t="s">
        <v>625</v>
      </c>
      <c r="S29" s="99" t="s">
        <v>626</v>
      </c>
      <c r="T29" s="200">
        <v>0</v>
      </c>
      <c r="U29" s="200">
        <f>100/6</f>
        <v>16.666666666666668</v>
      </c>
      <c r="V29" s="201">
        <f>U29*2</f>
        <v>33.333333333333336</v>
      </c>
      <c r="W29" s="200">
        <f>U29*3</f>
        <v>50</v>
      </c>
      <c r="X29" s="200">
        <f>U29*4</f>
        <v>66.666666666666671</v>
      </c>
      <c r="Y29" s="200">
        <f>U29*5</f>
        <v>83.333333333333343</v>
      </c>
      <c r="Z29" s="200">
        <v>100</v>
      </c>
      <c r="AA29" s="55"/>
      <c r="AB29" s="55"/>
    </row>
    <row r="30" spans="2:28" ht="15" customHeight="1">
      <c r="B30" s="110"/>
      <c r="C30" s="64"/>
      <c r="D30" s="64"/>
      <c r="E30" s="64"/>
      <c r="F30" s="64"/>
      <c r="G30" s="64"/>
      <c r="H30" s="110"/>
      <c r="I30" s="64"/>
      <c r="J30" s="183"/>
      <c r="K30" s="184"/>
      <c r="L30" s="195"/>
      <c r="M30" s="196"/>
      <c r="N30" s="197"/>
      <c r="O30" s="198"/>
      <c r="P30" s="64"/>
      <c r="Q30" s="64"/>
      <c r="R30" s="199"/>
      <c r="S30" s="99" t="s">
        <v>627</v>
      </c>
      <c r="T30" s="200">
        <v>100</v>
      </c>
      <c r="U30" s="200">
        <v>100</v>
      </c>
      <c r="V30" s="200">
        <v>100</v>
      </c>
      <c r="W30" s="200">
        <v>100</v>
      </c>
      <c r="X30" s="200">
        <v>100</v>
      </c>
      <c r="Y30" s="200">
        <v>100</v>
      </c>
      <c r="Z30" s="200">
        <v>100</v>
      </c>
      <c r="AA30" s="55"/>
      <c r="AB30" s="55"/>
    </row>
    <row r="31" spans="2:28" ht="15" customHeight="1">
      <c r="B31" s="110"/>
      <c r="C31" s="64"/>
      <c r="D31" s="64"/>
      <c r="E31" s="64"/>
      <c r="F31" s="64"/>
      <c r="G31" s="64"/>
      <c r="H31" s="110"/>
      <c r="I31" s="64"/>
      <c r="J31" s="183"/>
      <c r="K31" s="184"/>
      <c r="L31" s="195"/>
      <c r="M31" s="196"/>
      <c r="N31" s="197"/>
      <c r="O31" s="198"/>
      <c r="P31" s="64"/>
      <c r="Q31" s="64"/>
      <c r="R31" s="199">
        <v>3</v>
      </c>
      <c r="S31" s="99" t="s">
        <v>628</v>
      </c>
      <c r="T31" s="200">
        <v>50</v>
      </c>
      <c r="U31" s="200">
        <f t="shared" ref="U31:X34" si="0">U$29*$R31</f>
        <v>50</v>
      </c>
      <c r="V31" s="200">
        <f t="shared" si="0"/>
        <v>100</v>
      </c>
      <c r="W31" s="200">
        <v>100</v>
      </c>
      <c r="X31" s="200">
        <v>100</v>
      </c>
      <c r="Y31" s="200">
        <v>100</v>
      </c>
      <c r="Z31" s="200">
        <v>100</v>
      </c>
      <c r="AA31" s="55"/>
      <c r="AB31" s="55"/>
    </row>
    <row r="32" spans="2:28" ht="15" customHeight="1">
      <c r="B32" s="110"/>
      <c r="C32" s="64"/>
      <c r="D32" s="64"/>
      <c r="E32" s="64"/>
      <c r="F32" s="64"/>
      <c r="G32" s="64"/>
      <c r="H32" s="110"/>
      <c r="I32" s="64"/>
      <c r="J32" s="183"/>
      <c r="K32" s="184"/>
      <c r="L32" s="195"/>
      <c r="M32" s="196"/>
      <c r="N32" s="197"/>
      <c r="O32" s="198"/>
      <c r="P32" s="64"/>
      <c r="Q32" s="64"/>
      <c r="R32" s="199">
        <v>1.5</v>
      </c>
      <c r="S32" s="99" t="s">
        <v>629</v>
      </c>
      <c r="T32" s="200">
        <v>0</v>
      </c>
      <c r="U32" s="200">
        <f t="shared" si="0"/>
        <v>25</v>
      </c>
      <c r="V32" s="200">
        <f t="shared" si="0"/>
        <v>50</v>
      </c>
      <c r="W32" s="200">
        <f t="shared" si="0"/>
        <v>75</v>
      </c>
      <c r="X32" s="200">
        <f t="shared" si="0"/>
        <v>100</v>
      </c>
      <c r="Y32" s="200">
        <v>100</v>
      </c>
      <c r="Z32" s="200">
        <v>100</v>
      </c>
      <c r="AA32" s="55"/>
      <c r="AB32" s="55"/>
    </row>
    <row r="33" spans="2:37" ht="15" customHeight="1">
      <c r="B33" s="110"/>
      <c r="C33" s="64"/>
      <c r="D33" s="64"/>
      <c r="E33" s="64"/>
      <c r="F33" s="64"/>
      <c r="G33" s="64"/>
      <c r="H33" s="110"/>
      <c r="I33" s="64"/>
      <c r="J33" s="183"/>
      <c r="K33" s="184"/>
      <c r="L33" s="195"/>
      <c r="M33" s="196"/>
      <c r="N33" s="197"/>
      <c r="O33" s="198"/>
      <c r="P33" s="64"/>
      <c r="Q33" s="64"/>
      <c r="R33" s="199">
        <v>1</v>
      </c>
      <c r="S33" s="99" t="s">
        <v>630</v>
      </c>
      <c r="T33" s="200">
        <v>0</v>
      </c>
      <c r="U33" s="200">
        <f t="shared" si="0"/>
        <v>16.666666666666668</v>
      </c>
      <c r="V33" s="200">
        <f t="shared" si="0"/>
        <v>33.333333333333336</v>
      </c>
      <c r="W33" s="200">
        <f t="shared" si="0"/>
        <v>50</v>
      </c>
      <c r="X33" s="200">
        <f t="shared" si="0"/>
        <v>66.666666666666671</v>
      </c>
      <c r="Y33" s="200">
        <f>Y$29*$R33</f>
        <v>83.333333333333343</v>
      </c>
      <c r="Z33" s="200">
        <f>Z$29*$R33</f>
        <v>100</v>
      </c>
      <c r="AA33" s="55"/>
      <c r="AB33" s="55"/>
    </row>
    <row r="34" spans="2:37" ht="15" customHeight="1">
      <c r="B34" s="110"/>
      <c r="C34" s="64"/>
      <c r="D34" s="64"/>
      <c r="E34" s="64"/>
      <c r="F34" s="64"/>
      <c r="G34" s="64"/>
      <c r="H34" s="110"/>
      <c r="I34" s="64"/>
      <c r="J34" s="183"/>
      <c r="K34" s="184"/>
      <c r="L34" s="195"/>
      <c r="M34" s="196"/>
      <c r="N34" s="197"/>
      <c r="O34" s="198"/>
      <c r="P34" s="64"/>
      <c r="Q34" s="64"/>
      <c r="R34" s="199">
        <v>0.5</v>
      </c>
      <c r="S34" s="99" t="s">
        <v>631</v>
      </c>
      <c r="T34" s="200">
        <v>0</v>
      </c>
      <c r="U34" s="200">
        <f t="shared" si="0"/>
        <v>8.3333333333333339</v>
      </c>
      <c r="V34" s="200">
        <f t="shared" si="0"/>
        <v>16.666666666666668</v>
      </c>
      <c r="W34" s="200">
        <f t="shared" si="0"/>
        <v>25</v>
      </c>
      <c r="X34" s="200">
        <f t="shared" si="0"/>
        <v>33.333333333333336</v>
      </c>
      <c r="Y34" s="200">
        <f>Y$29*$R34</f>
        <v>41.666666666666671</v>
      </c>
      <c r="Z34" s="200">
        <f>Z$29*$R34</f>
        <v>50</v>
      </c>
      <c r="AA34" s="55"/>
      <c r="AB34" s="55"/>
    </row>
    <row r="35" spans="2:37" ht="15" customHeight="1">
      <c r="B35" s="110"/>
      <c r="C35" s="64"/>
      <c r="D35" s="64"/>
      <c r="E35" s="64"/>
      <c r="F35" s="64"/>
      <c r="G35" s="64"/>
      <c r="H35" s="181"/>
      <c r="I35" s="182"/>
      <c r="J35" s="183"/>
      <c r="K35" s="184"/>
      <c r="L35" s="195"/>
      <c r="M35" s="64"/>
      <c r="N35" s="64"/>
      <c r="O35" s="111"/>
      <c r="P35" s="64"/>
      <c r="Q35" s="64"/>
      <c r="R35" s="206"/>
      <c r="S35" s="149"/>
      <c r="T35" s="207"/>
      <c r="U35" s="207"/>
      <c r="V35" s="207"/>
      <c r="W35" s="207"/>
      <c r="X35" s="207"/>
      <c r="Y35" s="207"/>
      <c r="Z35" s="207"/>
      <c r="AA35" s="55"/>
      <c r="AB35" s="55"/>
    </row>
    <row r="36" spans="2:37" ht="15" customHeight="1">
      <c r="B36" s="110"/>
      <c r="C36" s="64"/>
      <c r="D36" s="64"/>
      <c r="E36" s="64"/>
      <c r="F36" s="64"/>
      <c r="G36" s="64"/>
      <c r="H36" s="208"/>
      <c r="I36" s="209"/>
      <c r="J36" s="209"/>
      <c r="K36" s="210"/>
      <c r="L36" s="195"/>
      <c r="M36" s="64"/>
      <c r="N36" s="211"/>
      <c r="O36" s="111"/>
      <c r="P36" s="64"/>
      <c r="Q36" s="64"/>
      <c r="R36" s="101" t="s">
        <v>632</v>
      </c>
      <c r="S36" s="142">
        <f>IF(T36&lt;=0.3,1,IF(T36&lt;=0.6,0.8,IF(T36&lt;=0.8,0.6,IF(T36&lt;=1,0.4,0.2))))</f>
        <v>0.4</v>
      </c>
      <c r="T36" s="207">
        <f>IF(U36=W36,X42,X43)</f>
        <v>0.98521560009150777</v>
      </c>
      <c r="U36" s="212" t="str">
        <f>メイン!C43</f>
        <v>標準計算</v>
      </c>
      <c r="V36" s="213" t="s">
        <v>633</v>
      </c>
      <c r="W36" s="212" t="s">
        <v>373</v>
      </c>
      <c r="X36" s="212" t="s">
        <v>524</v>
      </c>
      <c r="Y36" s="207"/>
      <c r="Z36" s="207"/>
      <c r="AA36" s="55"/>
      <c r="AB36" s="55"/>
    </row>
    <row r="37" spans="2:37" ht="15" customHeight="1">
      <c r="B37" s="110"/>
      <c r="C37" s="64"/>
      <c r="D37" s="64"/>
      <c r="E37" s="64"/>
      <c r="F37" s="64"/>
      <c r="G37" s="64"/>
      <c r="H37" s="3229" t="str">
        <f>IF(U36=W36,X36,X37)</f>
        <v>このグラフは、LR3中の「地球温暖化への配慮」の内容を、一般的な建物（参照値）と比べたライフサイクルCO2 排出量の目安で示したものです</v>
      </c>
      <c r="I37" s="3230"/>
      <c r="J37" s="3230"/>
      <c r="K37" s="3231"/>
      <c r="L37" s="195"/>
      <c r="M37" s="64"/>
      <c r="N37" s="214"/>
      <c r="O37" s="111"/>
      <c r="P37" s="64"/>
      <c r="Q37" s="64"/>
      <c r="R37" s="101" t="s">
        <v>504</v>
      </c>
      <c r="S37" s="148">
        <f>1-S36</f>
        <v>0.6</v>
      </c>
      <c r="T37" s="207"/>
      <c r="U37" s="212" t="s">
        <v>1737</v>
      </c>
      <c r="V37" s="207" t="str">
        <f>IF(U36=W37,V36,"")</f>
        <v/>
      </c>
      <c r="W37" s="212" t="s">
        <v>375</v>
      </c>
      <c r="X37" s="212" t="s">
        <v>588</v>
      </c>
      <c r="Y37" s="207"/>
      <c r="Z37" s="207"/>
      <c r="AA37" s="55"/>
      <c r="AB37" s="55"/>
    </row>
    <row r="38" spans="2:37" ht="15" customHeight="1">
      <c r="B38" s="110"/>
      <c r="C38" s="50"/>
      <c r="D38" s="64"/>
      <c r="E38" s="64"/>
      <c r="F38" s="64"/>
      <c r="G38" s="64"/>
      <c r="H38" s="3229"/>
      <c r="I38" s="3230"/>
      <c r="J38" s="3230"/>
      <c r="K38" s="3231"/>
      <c r="L38" s="110"/>
      <c r="M38" s="215"/>
      <c r="N38" s="64"/>
      <c r="O38" s="111"/>
      <c r="P38" s="64"/>
      <c r="Q38" s="64"/>
      <c r="S38" s="64"/>
      <c r="AA38" s="55"/>
      <c r="AB38" s="55"/>
    </row>
    <row r="39" spans="2:37" ht="15" customHeight="1" thickBot="1">
      <c r="B39" s="216"/>
      <c r="C39" s="155"/>
      <c r="D39" s="155"/>
      <c r="E39" s="155"/>
      <c r="F39" s="155"/>
      <c r="G39" s="155"/>
      <c r="H39" s="3232"/>
      <c r="I39" s="3233"/>
      <c r="J39" s="3233"/>
      <c r="K39" s="3234"/>
      <c r="L39" s="2734" t="s">
        <v>3755</v>
      </c>
      <c r="M39" s="217"/>
      <c r="N39" s="155"/>
      <c r="O39" s="218"/>
      <c r="P39" s="64"/>
      <c r="Q39" s="64"/>
      <c r="R39" s="219" t="s">
        <v>1178</v>
      </c>
      <c r="S39" s="220" t="s">
        <v>589</v>
      </c>
      <c r="T39" s="220" t="s">
        <v>590</v>
      </c>
      <c r="U39" s="220" t="s">
        <v>591</v>
      </c>
      <c r="V39" s="220" t="s">
        <v>1179</v>
      </c>
      <c r="W39" s="220" t="s">
        <v>1180</v>
      </c>
      <c r="X39" s="220" t="s">
        <v>1181</v>
      </c>
      <c r="Y39" s="98" t="s">
        <v>1182</v>
      </c>
      <c r="AA39" s="212"/>
      <c r="AC39" s="2727"/>
      <c r="AD39" s="2728" t="s">
        <v>3751</v>
      </c>
    </row>
    <row r="40" spans="2:37" ht="18" customHeight="1" thickBot="1">
      <c r="B40" s="221" t="s">
        <v>1183</v>
      </c>
      <c r="C40" s="222"/>
      <c r="D40" s="223"/>
      <c r="E40" s="222"/>
      <c r="F40" s="222"/>
      <c r="G40" s="222"/>
      <c r="H40" s="224"/>
      <c r="I40" s="225"/>
      <c r="J40" s="222"/>
      <c r="K40" s="222"/>
      <c r="L40" s="222"/>
      <c r="M40" s="226"/>
      <c r="N40" s="226"/>
      <c r="O40" s="227"/>
      <c r="R40" s="98" t="s">
        <v>592</v>
      </c>
      <c r="S40" s="228">
        <f>IF($U$36=$W$36,'条件(標準)'!$D9,'条件(個別)'!$D9)</f>
        <v>19.584666666666667</v>
      </c>
      <c r="T40" s="228">
        <f>IF($U$36=$W$36,'条件(標準)'!$D34,'条件(個別)'!$D34)</f>
        <v>10.979333333333333</v>
      </c>
      <c r="U40" s="228">
        <f>IF($U$36=$W$36,'条件(標準)'!$D46,'条件(個別)'!$D46)</f>
        <v>41.050272198907102</v>
      </c>
      <c r="V40" s="229"/>
      <c r="W40" s="229"/>
      <c r="X40" s="230">
        <v>1</v>
      </c>
      <c r="Y40" s="98">
        <f>IF(COUNTIF(S40:W40,Z41)&gt;0,Z41,SUM(S40:W40))</f>
        <v>71.614272198907102</v>
      </c>
      <c r="AA40" s="231"/>
      <c r="AC40" s="2728" t="s">
        <v>3752</v>
      </c>
      <c r="AD40" s="2729" t="str">
        <f>建築環境SDGsチェックリスト!AL203</f>
        <v>N/A</v>
      </c>
    </row>
    <row r="41" spans="2:37" ht="18.75">
      <c r="B41" s="232" t="s">
        <v>593</v>
      </c>
      <c r="C41" s="233"/>
      <c r="D41" s="233"/>
      <c r="E41" s="234"/>
      <c r="F41" s="233"/>
      <c r="G41" s="233"/>
      <c r="H41" s="233"/>
      <c r="I41" s="233"/>
      <c r="J41" s="233"/>
      <c r="K41" s="235"/>
      <c r="L41" s="236"/>
      <c r="M41" s="237" t="s">
        <v>594</v>
      </c>
      <c r="N41" s="238">
        <f>スコア!U8</f>
        <v>2.5</v>
      </c>
      <c r="O41" s="239"/>
      <c r="R41" s="98" t="s">
        <v>595</v>
      </c>
      <c r="S41" s="228">
        <f>IF($U$36=$W$36,'条件(標準)'!$E9,'条件(個別)'!$E9)</f>
        <v>19.584666666666667</v>
      </c>
      <c r="T41" s="228">
        <f>IF($U$36=$W$36,'条件(標準)'!$E34,'条件(個別)'!$E34)</f>
        <v>10.979333333333333</v>
      </c>
      <c r="U41" s="228">
        <f>IF($U$36=$W$36,'条件(標準)'!$E46,'条件(個別)'!$E46)</f>
        <v>39.991498159562845</v>
      </c>
      <c r="V41" s="229"/>
      <c r="W41" s="229"/>
      <c r="X41" s="230">
        <f>IF(OR(Y40=Z41,Y41=Z41),Z41,Y41/Y40)</f>
        <v>0.98521560009150777</v>
      </c>
      <c r="Y41" s="98">
        <f>IF(COUNTIF(S41:W41,Z41)&gt;0,Z41,SUM(S41:W41))</f>
        <v>70.555498159562845</v>
      </c>
      <c r="Z41" s="64" t="str">
        <f>CO2計算!R115</f>
        <v>N.A.</v>
      </c>
      <c r="AA41" s="231"/>
      <c r="AC41" s="2728" t="s">
        <v>3728</v>
      </c>
      <c r="AD41" s="2729" t="str">
        <f>建築環境SDGsチェックリスト!AL204</f>
        <v>N/A</v>
      </c>
    </row>
    <row r="42" spans="2:37" ht="15">
      <c r="B42" s="110"/>
      <c r="C42" s="86" t="str">
        <f>スコア!B9&amp;" "&amp;スコア!C9</f>
        <v>Q1 室内環境</v>
      </c>
      <c r="D42" s="240"/>
      <c r="E42" s="240"/>
      <c r="F42" s="240"/>
      <c r="G42" s="240"/>
      <c r="H42" s="240" t="str">
        <f>"     "&amp;スコア!B62&amp;" "&amp;スコア!C62</f>
        <v xml:space="preserve">     Q2 サービス性能</v>
      </c>
      <c r="I42" s="240"/>
      <c r="J42" s="55"/>
      <c r="K42" s="55"/>
      <c r="L42" s="241" t="str">
        <f>スコア!B112&amp;" "&amp;スコア!C112</f>
        <v>Q3 室外環境（敷地内）</v>
      </c>
      <c r="M42" s="241"/>
      <c r="N42" s="55"/>
      <c r="O42" s="154"/>
      <c r="R42" s="98" t="s">
        <v>596</v>
      </c>
      <c r="S42" s="228"/>
      <c r="T42" s="228"/>
      <c r="U42" s="228"/>
      <c r="V42" s="242">
        <f>IF($U$36=$W$36,'条件(標準)'!E9+'条件(標準)'!E34+'条件(標準)'!E47,'条件(個別)'!E9+'条件(個別)'!E34+'条件(個別)'!E47)</f>
        <v>70.555498159562845</v>
      </c>
      <c r="W42" s="229"/>
      <c r="X42" s="230">
        <f>IF(OR(Y40=Z42,Y42=Z42),Z42,Y42/Y40)</f>
        <v>0.98521560009150777</v>
      </c>
      <c r="Y42" s="98">
        <f>IF(COUNTIF(S42:W42,Z42)&gt;0,Z42,SUM(S42:W42))</f>
        <v>70.555498159562845</v>
      </c>
      <c r="Z42" s="64" t="str">
        <f>CO2計算!R115</f>
        <v>N.A.</v>
      </c>
      <c r="AA42" s="231"/>
      <c r="AC42" s="2728" t="s">
        <v>3729</v>
      </c>
      <c r="AD42" s="2729" t="str">
        <f>建築環境SDGsチェックリスト!AL205</f>
        <v>N/A</v>
      </c>
    </row>
    <row r="43" spans="2:37" ht="15" customHeight="1">
      <c r="B43" s="110"/>
      <c r="C43" s="243"/>
      <c r="D43" s="244"/>
      <c r="E43" s="245"/>
      <c r="F43" s="64"/>
      <c r="G43" s="240">
        <f>S46</f>
        <v>2.9</v>
      </c>
      <c r="H43" s="64"/>
      <c r="I43" s="245"/>
      <c r="J43" s="64"/>
      <c r="K43" s="240">
        <f>V46</f>
        <v>2.8</v>
      </c>
      <c r="L43" s="64"/>
      <c r="M43" s="246"/>
      <c r="N43" s="245"/>
      <c r="O43" s="247">
        <f>Y46</f>
        <v>1.8</v>
      </c>
      <c r="R43" s="98" t="s">
        <v>597</v>
      </c>
      <c r="S43" s="228"/>
      <c r="T43" s="228"/>
      <c r="U43" s="228"/>
      <c r="V43" s="242"/>
      <c r="W43" s="248">
        <f>IF($U$36=$W$36,'条件(標準)'!E9+'条件(標準)'!E34+'条件(標準)'!E52,'条件(個別)'!E9+'条件(個別)'!E34+'条件(個別)'!E52)</f>
        <v>70.555498159562845</v>
      </c>
      <c r="X43" s="230">
        <f>IF(OR(Y40=Z43,Y43=Z43),Z43,Y43/Y40)</f>
        <v>0.98521560009150777</v>
      </c>
      <c r="Y43" s="98">
        <f>IF(COUNTIF(S43:W43,Z43)&gt;0,Z43,SUM(S43:W43))</f>
        <v>70.555498159562845</v>
      </c>
      <c r="Z43" s="64" t="str">
        <f>CO2計算!R115</f>
        <v>N.A.</v>
      </c>
      <c r="AA43" s="231"/>
      <c r="AC43" s="2728" t="s">
        <v>3730</v>
      </c>
      <c r="AD43" s="2729" t="str">
        <f>建築環境SDGsチェックリスト!AL206</f>
        <v>N/A</v>
      </c>
      <c r="AH43" s="3241" t="s">
        <v>3756</v>
      </c>
      <c r="AI43" s="3241"/>
      <c r="AJ43" s="3241"/>
      <c r="AK43" s="2735" t="str">
        <f>建築環境SDGsチェックリスト!AN201</f>
        <v>N/A</v>
      </c>
    </row>
    <row r="44" spans="2:37" ht="15" customHeight="1">
      <c r="B44" s="110"/>
      <c r="C44" s="64"/>
      <c r="D44" s="64"/>
      <c r="E44" s="64"/>
      <c r="F44" s="64"/>
      <c r="L44" s="55"/>
      <c r="M44" s="55"/>
      <c r="N44" s="55"/>
      <c r="O44" s="154"/>
      <c r="S44" s="64"/>
      <c r="AA44" s="55"/>
      <c r="AB44" s="55"/>
      <c r="AC44" s="2728" t="s">
        <v>3731</v>
      </c>
      <c r="AD44" s="2729" t="str">
        <f>建築環境SDGsチェックリスト!AL207</f>
        <v>N/A</v>
      </c>
      <c r="AF44" s="249"/>
      <c r="AG44" s="249"/>
      <c r="AH44" s="3241" t="s">
        <v>3757</v>
      </c>
      <c r="AI44" s="3241"/>
      <c r="AJ44" s="3241"/>
      <c r="AK44" s="2736">
        <f>IF(AK43="N/A",0,IF(AK43=1,1,IF(AK43&lt;1.5,1,IF(AK43&lt;2.5,2,IF(AK43&lt;3.5,3,IF(AK43&lt;4.5,4,5)))))/5)</f>
        <v>0</v>
      </c>
    </row>
    <row r="45" spans="2:37" ht="15" customHeight="1">
      <c r="B45" s="110"/>
      <c r="C45" s="64"/>
      <c r="D45" s="64"/>
      <c r="E45" s="64"/>
      <c r="F45" s="64"/>
      <c r="L45" s="55"/>
      <c r="M45" s="55"/>
      <c r="N45" s="55"/>
      <c r="O45" s="154"/>
      <c r="R45" s="101"/>
      <c r="S45" s="101" t="s">
        <v>1185</v>
      </c>
      <c r="T45" s="101" t="s">
        <v>598</v>
      </c>
      <c r="U45" s="101"/>
      <c r="V45" s="101" t="s">
        <v>1185</v>
      </c>
      <c r="W45" s="101" t="s">
        <v>598</v>
      </c>
      <c r="X45" s="101"/>
      <c r="Y45" s="101" t="s">
        <v>1185</v>
      </c>
      <c r="Z45" s="101" t="s">
        <v>598</v>
      </c>
      <c r="AA45" s="55"/>
      <c r="AB45" s="55"/>
      <c r="AC45" s="2728" t="s">
        <v>3732</v>
      </c>
      <c r="AD45" s="2729" t="str">
        <f>建築環境SDGsチェックリスト!AL208</f>
        <v>N/A</v>
      </c>
      <c r="AH45" s="3242" t="s">
        <v>3758</v>
      </c>
      <c r="AI45" s="3242"/>
      <c r="AJ45" s="3242"/>
      <c r="AK45" s="2736">
        <f>1-AK44</f>
        <v>1</v>
      </c>
    </row>
    <row r="46" spans="2:37" ht="15" customHeight="1">
      <c r="B46" s="110"/>
      <c r="C46" s="64"/>
      <c r="D46" s="64"/>
      <c r="E46" s="64"/>
      <c r="F46" s="64"/>
      <c r="L46" s="55"/>
      <c r="M46" s="55"/>
      <c r="N46" s="55"/>
      <c r="O46" s="154"/>
      <c r="R46" s="250" t="s">
        <v>769</v>
      </c>
      <c r="S46" s="251">
        <f>スコア!U9</f>
        <v>2.9</v>
      </c>
      <c r="T46" s="101">
        <f>スコア!AD9</f>
        <v>2.96</v>
      </c>
      <c r="U46" s="99" t="s">
        <v>1184</v>
      </c>
      <c r="V46" s="252">
        <f>スコア!U62</f>
        <v>2.8</v>
      </c>
      <c r="W46" s="101">
        <f>スコア!AD62</f>
        <v>2.8239999999999998</v>
      </c>
      <c r="X46" s="250" t="s">
        <v>770</v>
      </c>
      <c r="Y46" s="252">
        <f>スコア!U112</f>
        <v>1.8</v>
      </c>
      <c r="Z46" s="101">
        <f>スコア!AD112</f>
        <v>1.85</v>
      </c>
      <c r="AA46" s="55"/>
      <c r="AB46" s="55"/>
      <c r="AC46" s="2728" t="s">
        <v>3733</v>
      </c>
      <c r="AD46" s="2729" t="str">
        <f>建築環境SDGsチェックリスト!AL209</f>
        <v>N/A</v>
      </c>
    </row>
    <row r="47" spans="2:37" ht="15" customHeight="1">
      <c r="B47" s="110"/>
      <c r="C47" s="64"/>
      <c r="D47" s="64"/>
      <c r="E47" s="64"/>
      <c r="F47" s="64"/>
      <c r="L47" s="55"/>
      <c r="M47" s="55"/>
      <c r="N47" s="55"/>
      <c r="O47" s="154"/>
      <c r="S47" s="64"/>
      <c r="AA47" s="55"/>
      <c r="AB47" s="55"/>
      <c r="AC47" s="2728" t="s">
        <v>3753</v>
      </c>
      <c r="AD47" s="2729" t="str">
        <f>建築環境SDGsチェックリスト!AL210</f>
        <v>N/A</v>
      </c>
    </row>
    <row r="48" spans="2:37" ht="15" customHeight="1">
      <c r="B48" s="110"/>
      <c r="C48" s="64"/>
      <c r="D48" s="64"/>
      <c r="E48" s="64"/>
      <c r="F48" s="64"/>
      <c r="L48" s="55"/>
      <c r="M48" s="55"/>
      <c r="N48" s="55"/>
      <c r="O48" s="154"/>
      <c r="R48" s="101"/>
      <c r="S48" s="101" t="s">
        <v>1185</v>
      </c>
      <c r="T48" s="101" t="s">
        <v>1186</v>
      </c>
      <c r="U48" s="101"/>
      <c r="V48" s="101" t="s">
        <v>1185</v>
      </c>
      <c r="W48" s="101" t="s">
        <v>1186</v>
      </c>
      <c r="X48" s="101"/>
      <c r="Y48" s="253" t="s">
        <v>1185</v>
      </c>
      <c r="Z48" s="101" t="s">
        <v>1186</v>
      </c>
      <c r="AA48" s="55"/>
      <c r="AB48" s="55"/>
      <c r="AC48" s="2728" t="s">
        <v>3735</v>
      </c>
      <c r="AD48" s="2729" t="str">
        <f>建築環境SDGsチェックリスト!AL211</f>
        <v>N/A</v>
      </c>
    </row>
    <row r="49" spans="1:30" ht="15" customHeight="1">
      <c r="B49" s="110"/>
      <c r="C49" s="64"/>
      <c r="D49" s="64"/>
      <c r="E49" s="64"/>
      <c r="F49" s="64"/>
      <c r="G49" s="254"/>
      <c r="H49" s="254"/>
      <c r="L49" s="55"/>
      <c r="M49" s="55"/>
      <c r="N49" s="55"/>
      <c r="O49" s="154"/>
      <c r="R49" s="255" t="s">
        <v>771</v>
      </c>
      <c r="S49" s="251">
        <f>スコア!U10</f>
        <v>3</v>
      </c>
      <c r="T49" s="101" t="str">
        <f>IF(S49=0,"N.A.","")</f>
        <v/>
      </c>
      <c r="U49" s="99" t="s">
        <v>772</v>
      </c>
      <c r="V49" s="252">
        <f>スコア!U63</f>
        <v>2.9</v>
      </c>
      <c r="W49" s="101" t="str">
        <f>IF(V49=0,"N.A.","")</f>
        <v/>
      </c>
      <c r="X49" s="255" t="s">
        <v>773</v>
      </c>
      <c r="Y49" s="252">
        <f>スコア!U113</f>
        <v>1</v>
      </c>
      <c r="Z49" s="101" t="str">
        <f>IF(Y49=0,"N.A.","")</f>
        <v/>
      </c>
      <c r="AA49" s="55"/>
      <c r="AB49" s="55"/>
      <c r="AC49" s="2728" t="s">
        <v>3736</v>
      </c>
      <c r="AD49" s="2729" t="str">
        <f>建築環境SDGsチェックリスト!AL212</f>
        <v>N/A</v>
      </c>
    </row>
    <row r="50" spans="1:30" ht="15" customHeight="1">
      <c r="B50" s="110"/>
      <c r="C50" s="64"/>
      <c r="D50" s="64"/>
      <c r="E50" s="64"/>
      <c r="F50" s="64"/>
      <c r="G50" s="254"/>
      <c r="H50" s="254"/>
      <c r="L50" s="55"/>
      <c r="M50" s="55"/>
      <c r="N50" s="55"/>
      <c r="O50" s="154"/>
      <c r="R50" s="255" t="s">
        <v>774</v>
      </c>
      <c r="S50" s="251">
        <f>スコア!U20</f>
        <v>3</v>
      </c>
      <c r="T50" s="101" t="str">
        <f>IF(S50=0,"N.A.","")</f>
        <v/>
      </c>
      <c r="U50" s="99" t="s">
        <v>775</v>
      </c>
      <c r="V50" s="252">
        <f>スコア!U78</f>
        <v>2.8</v>
      </c>
      <c r="W50" s="101" t="str">
        <f>IF(V50=0,"N.A.","")</f>
        <v/>
      </c>
      <c r="X50" s="255" t="s">
        <v>1187</v>
      </c>
      <c r="Y50" s="252">
        <f>スコア!U116</f>
        <v>2</v>
      </c>
      <c r="Z50" s="101" t="str">
        <f>IF(Y50=0,"N.A.","")</f>
        <v/>
      </c>
      <c r="AA50" s="55"/>
      <c r="AB50" s="55"/>
      <c r="AC50" s="2728" t="s">
        <v>3737</v>
      </c>
      <c r="AD50" s="2729" t="str">
        <f>建築環境SDGsチェックリスト!AL213</f>
        <v>N/A</v>
      </c>
    </row>
    <row r="51" spans="1:30" ht="15" customHeight="1">
      <c r="B51" s="110"/>
      <c r="C51" s="64"/>
      <c r="D51" s="64"/>
      <c r="E51" s="64"/>
      <c r="F51" s="64"/>
      <c r="G51" s="134"/>
      <c r="H51" s="129"/>
      <c r="I51" s="256"/>
      <c r="J51" s="256"/>
      <c r="K51" s="257"/>
      <c r="L51" s="258"/>
      <c r="M51" s="258"/>
      <c r="N51" s="258"/>
      <c r="O51" s="259"/>
      <c r="R51" s="255" t="s">
        <v>776</v>
      </c>
      <c r="S51" s="251">
        <f>スコア!U35</f>
        <v>2.8</v>
      </c>
      <c r="T51" s="101" t="str">
        <f>IF(S51=0,"N.A.","")</f>
        <v/>
      </c>
      <c r="U51" s="99" t="s">
        <v>777</v>
      </c>
      <c r="V51" s="252">
        <f>スコア!U100</f>
        <v>2.6</v>
      </c>
      <c r="W51" s="101" t="str">
        <f>IF(V51=0,"N.A.","")</f>
        <v/>
      </c>
      <c r="X51" s="255" t="s">
        <v>70</v>
      </c>
      <c r="Y51" s="252">
        <f>スコア!U117</f>
        <v>2.5</v>
      </c>
      <c r="Z51" s="101" t="str">
        <f>IF(Y51=0,"N.A.","")</f>
        <v/>
      </c>
      <c r="AA51" s="55"/>
      <c r="AB51" s="55"/>
      <c r="AC51" s="2728" t="s">
        <v>3754</v>
      </c>
      <c r="AD51" s="2729" t="str">
        <f>建築環境SDGsチェックリスト!AL214</f>
        <v>N/A</v>
      </c>
    </row>
    <row r="52" spans="1:30" ht="18" customHeight="1">
      <c r="A52" s="260"/>
      <c r="B52" s="261" t="s">
        <v>1188</v>
      </c>
      <c r="C52" s="262"/>
      <c r="D52" s="263"/>
      <c r="E52" s="262"/>
      <c r="F52" s="262"/>
      <c r="G52" s="262"/>
      <c r="H52" s="233"/>
      <c r="I52" s="233"/>
      <c r="J52" s="233"/>
      <c r="K52" s="235"/>
      <c r="L52" s="236"/>
      <c r="M52" s="237" t="s">
        <v>1189</v>
      </c>
      <c r="N52" s="264">
        <f>スコア!U121</f>
        <v>2.6</v>
      </c>
      <c r="O52" s="239"/>
      <c r="R52" s="255" t="s">
        <v>71</v>
      </c>
      <c r="S52" s="251">
        <f>スコア!U48</f>
        <v>3</v>
      </c>
      <c r="T52" s="101" t="str">
        <f>IF(S52=0,"N.A.","")</f>
        <v/>
      </c>
      <c r="U52" s="55"/>
      <c r="V52" s="55"/>
      <c r="W52" s="55"/>
      <c r="X52" s="55"/>
      <c r="Y52" s="55"/>
      <c r="Z52" s="55"/>
      <c r="AA52" s="55"/>
      <c r="AB52" s="55"/>
    </row>
    <row r="53" spans="1:30" ht="15">
      <c r="B53" s="265"/>
      <c r="C53" s="241" t="str">
        <f>スコア!B122&amp;" "&amp;スコア!C122</f>
        <v>LR1 エネルギー</v>
      </c>
      <c r="D53" s="241"/>
      <c r="E53" s="266"/>
      <c r="F53" s="241"/>
      <c r="G53" s="241"/>
      <c r="H53" s="241" t="str">
        <f>"     "&amp;スコア!B145&amp;" "&amp;スコア!C145</f>
        <v xml:space="preserve">     LR2 資源・マテリアル</v>
      </c>
      <c r="I53" s="241"/>
      <c r="J53" s="241"/>
      <c r="K53" s="241"/>
      <c r="L53" s="86" t="str">
        <f>スコア!B172&amp;" "&amp;スコア!C172</f>
        <v>LR3 敷地外環境</v>
      </c>
      <c r="M53" s="241"/>
      <c r="N53" s="241"/>
      <c r="O53" s="267"/>
      <c r="R53" s="55"/>
      <c r="S53" s="55"/>
      <c r="T53" s="101"/>
      <c r="U53" s="55"/>
      <c r="V53" s="55"/>
      <c r="W53" s="55"/>
      <c r="X53" s="55"/>
      <c r="Y53" s="55"/>
      <c r="Z53" s="55"/>
      <c r="AA53" s="55"/>
      <c r="AB53" s="55"/>
    </row>
    <row r="54" spans="1:30" ht="15">
      <c r="B54" s="268"/>
      <c r="C54" s="243"/>
      <c r="D54" s="244"/>
      <c r="E54" s="245"/>
      <c r="F54" s="64"/>
      <c r="G54" s="240">
        <f>S57</f>
        <v>2.2000000000000002</v>
      </c>
      <c r="H54" s="64"/>
      <c r="I54" s="245"/>
      <c r="J54" s="64"/>
      <c r="K54" s="240">
        <f>V57</f>
        <v>3</v>
      </c>
      <c r="L54" s="245"/>
      <c r="M54" s="64"/>
      <c r="N54" s="269"/>
      <c r="O54" s="247">
        <f>Y57</f>
        <v>3</v>
      </c>
      <c r="R54" s="55" t="str">
        <f>IF(S49=0,"N.A.","")</f>
        <v/>
      </c>
      <c r="S54" s="55"/>
      <c r="T54" s="55"/>
      <c r="U54" s="55"/>
      <c r="V54" s="55"/>
      <c r="W54" s="55"/>
      <c r="X54" s="55"/>
      <c r="Y54" s="55"/>
      <c r="Z54" s="55"/>
      <c r="AA54" s="55"/>
      <c r="AB54" s="55"/>
    </row>
    <row r="55" spans="1:30" ht="14.25">
      <c r="B55" s="268"/>
      <c r="C55" s="270"/>
      <c r="D55" s="270"/>
      <c r="E55" s="271"/>
      <c r="F55" s="134"/>
      <c r="G55" s="134"/>
      <c r="H55" s="134"/>
      <c r="O55" s="97"/>
      <c r="S55" s="64"/>
      <c r="AA55" s="55"/>
      <c r="AB55" s="55"/>
    </row>
    <row r="56" spans="1:30" ht="15.75" customHeight="1">
      <c r="B56" s="268"/>
      <c r="C56" s="96"/>
      <c r="D56" s="272"/>
      <c r="I56" s="273"/>
      <c r="O56" s="97"/>
      <c r="R56" s="101"/>
      <c r="S56" s="101" t="s">
        <v>1185</v>
      </c>
      <c r="T56" s="101" t="s">
        <v>598</v>
      </c>
      <c r="U56" s="101"/>
      <c r="V56" s="101" t="s">
        <v>1185</v>
      </c>
      <c r="W56" s="101" t="s">
        <v>598</v>
      </c>
      <c r="X56" s="101"/>
      <c r="Y56" s="101" t="s">
        <v>1185</v>
      </c>
      <c r="Z56" s="101" t="s">
        <v>598</v>
      </c>
      <c r="AA56" s="55"/>
      <c r="AB56" s="55"/>
    </row>
    <row r="57" spans="1:30" ht="15.75" customHeight="1">
      <c r="B57" s="268"/>
      <c r="I57" s="273"/>
      <c r="O57" s="97"/>
      <c r="R57" s="99" t="s">
        <v>1192</v>
      </c>
      <c r="S57" s="252">
        <f>スコア!U122</f>
        <v>2.2000000000000002</v>
      </c>
      <c r="T57" s="101">
        <f>スコア!AD122</f>
        <v>2.2033333333333336</v>
      </c>
      <c r="U57" s="99" t="s">
        <v>72</v>
      </c>
      <c r="V57" s="274">
        <f>スコア!U145</f>
        <v>3</v>
      </c>
      <c r="W57" s="101">
        <f>スコア!AD145</f>
        <v>3.06</v>
      </c>
      <c r="X57" s="99" t="s">
        <v>1969</v>
      </c>
      <c r="Y57" s="252">
        <f>スコア!U172</f>
        <v>3</v>
      </c>
      <c r="Z57" s="101">
        <f>スコア!AD172</f>
        <v>2.9999999999999996</v>
      </c>
      <c r="AA57" s="55"/>
      <c r="AB57" s="55"/>
    </row>
    <row r="58" spans="1:30" ht="15.75" customHeight="1">
      <c r="B58" s="275"/>
      <c r="I58" s="273"/>
      <c r="O58" s="97"/>
      <c r="S58" s="64"/>
      <c r="Y58" s="276"/>
      <c r="AA58" s="55"/>
      <c r="AB58" s="55"/>
    </row>
    <row r="59" spans="1:30" ht="15.75" customHeight="1">
      <c r="B59" s="275"/>
      <c r="I59" s="273"/>
      <c r="O59" s="97"/>
      <c r="R59" s="101"/>
      <c r="S59" s="101" t="s">
        <v>1185</v>
      </c>
      <c r="T59" s="101" t="s">
        <v>1186</v>
      </c>
      <c r="U59" s="101"/>
      <c r="V59" s="101" t="s">
        <v>1185</v>
      </c>
      <c r="W59" s="101" t="s">
        <v>1186</v>
      </c>
      <c r="X59" s="101"/>
      <c r="Y59" s="253" t="s">
        <v>1185</v>
      </c>
      <c r="Z59" s="101" t="s">
        <v>1186</v>
      </c>
      <c r="AA59" s="55"/>
      <c r="AB59" s="55"/>
    </row>
    <row r="60" spans="1:30" ht="15.75" customHeight="1">
      <c r="B60" s="275"/>
      <c r="I60" s="273"/>
      <c r="O60" s="97"/>
      <c r="R60" s="99" t="s">
        <v>1970</v>
      </c>
      <c r="S60" s="277">
        <f>スコア!U123</f>
        <v>3.6</v>
      </c>
      <c r="T60" s="101" t="str">
        <f>IF(S60=0,"N.A.","")</f>
        <v/>
      </c>
      <c r="U60" s="278" t="s">
        <v>1971</v>
      </c>
      <c r="V60" s="252">
        <f>スコア!U146</f>
        <v>3</v>
      </c>
      <c r="W60" s="101" t="str">
        <f>IF(V60=0,"N.A.","")</f>
        <v/>
      </c>
      <c r="X60" s="99" t="s">
        <v>2181</v>
      </c>
      <c r="Y60" s="252">
        <f>スコア!U173</f>
        <v>3</v>
      </c>
      <c r="Z60" s="101" t="str">
        <f>IF(Y60=0,"N.A.","")</f>
        <v/>
      </c>
      <c r="AA60" s="55"/>
      <c r="AB60" s="55"/>
    </row>
    <row r="61" spans="1:30" ht="15.75" customHeight="1">
      <c r="B61" s="275"/>
      <c r="I61" s="273"/>
      <c r="O61" s="97"/>
      <c r="R61" s="99" t="s">
        <v>2182</v>
      </c>
      <c r="S61" s="277">
        <f>スコア!U124</f>
        <v>2.2999999999999998</v>
      </c>
      <c r="T61" s="101" t="str">
        <f>IF(S61=0,"N.A.","")</f>
        <v/>
      </c>
      <c r="U61" s="278" t="s">
        <v>2183</v>
      </c>
      <c r="V61" s="252">
        <f>スコア!U151</f>
        <v>3.1</v>
      </c>
      <c r="W61" s="101" t="str">
        <f>IF(V61=0,"N.A.","")</f>
        <v/>
      </c>
      <c r="X61" s="99" t="s">
        <v>2184</v>
      </c>
      <c r="Y61" s="252">
        <f>スコア!U174</f>
        <v>3</v>
      </c>
      <c r="Z61" s="101" t="str">
        <f>IF(Y61=0,"N.A.","")</f>
        <v/>
      </c>
      <c r="AA61" s="55"/>
      <c r="AB61" s="55"/>
    </row>
    <row r="62" spans="1:30" ht="15.75" customHeight="1" thickBot="1">
      <c r="B62" s="279"/>
      <c r="C62" s="280"/>
      <c r="D62" s="281"/>
      <c r="E62" s="280"/>
      <c r="F62" s="282"/>
      <c r="G62" s="282"/>
      <c r="H62" s="282"/>
      <c r="I62" s="283"/>
      <c r="J62" s="156"/>
      <c r="K62" s="156"/>
      <c r="L62" s="156"/>
      <c r="M62" s="284"/>
      <c r="N62" s="284"/>
      <c r="O62" s="285"/>
      <c r="R62" s="99" t="s">
        <v>2185</v>
      </c>
      <c r="S62" s="277">
        <f>スコア!U129</f>
        <v>1.3</v>
      </c>
      <c r="T62" s="101" t="str">
        <f>IF(S62=0,"N.A.","")</f>
        <v/>
      </c>
      <c r="U62" s="286" t="s">
        <v>2186</v>
      </c>
      <c r="V62" s="287">
        <f>スコア!U166</f>
        <v>3</v>
      </c>
      <c r="W62" s="101" t="str">
        <f>IF(V62=0,"N.A.","")</f>
        <v/>
      </c>
      <c r="X62" s="99" t="s">
        <v>2187</v>
      </c>
      <c r="Y62" s="252">
        <f>スコア!U183</f>
        <v>3</v>
      </c>
      <c r="Z62" s="101" t="str">
        <f>IF(Y62=0,"N.A.","")</f>
        <v/>
      </c>
      <c r="AA62" s="55"/>
      <c r="AB62" s="55"/>
    </row>
    <row r="63" spans="1:30" ht="6" customHeight="1">
      <c r="B63" s="288"/>
      <c r="C63" s="273"/>
      <c r="D63" s="289"/>
      <c r="R63" s="99" t="s">
        <v>2188</v>
      </c>
      <c r="S63" s="277">
        <f>スコア!U138</f>
        <v>3</v>
      </c>
      <c r="T63" s="101" t="str">
        <f>IF(S63=0,"N.A.","")</f>
        <v/>
      </c>
      <c r="U63" s="55"/>
      <c r="V63" s="290"/>
      <c r="W63" s="290"/>
      <c r="X63" s="290"/>
      <c r="Y63" s="290"/>
      <c r="Z63" s="290"/>
      <c r="AA63" s="55"/>
      <c r="AB63" s="55"/>
    </row>
    <row r="64" spans="1:30" ht="8.25" customHeight="1">
      <c r="B64" s="55"/>
      <c r="C64" s="55"/>
      <c r="D64" s="55"/>
      <c r="E64" s="55"/>
      <c r="F64" s="55"/>
      <c r="G64" s="55"/>
      <c r="H64" s="55"/>
      <c r="I64" s="55"/>
      <c r="J64" s="55"/>
      <c r="K64" s="55"/>
      <c r="L64" s="55"/>
      <c r="M64" s="55"/>
      <c r="N64" s="55"/>
      <c r="O64" s="55"/>
      <c r="R64" s="55"/>
      <c r="S64" s="55"/>
      <c r="T64" s="55"/>
      <c r="U64" s="55"/>
      <c r="V64" s="55"/>
      <c r="W64" s="55"/>
      <c r="X64" s="55"/>
      <c r="Y64" s="55"/>
      <c r="Z64" s="55"/>
      <c r="AA64" s="55"/>
      <c r="AB64" s="55"/>
    </row>
    <row r="65" spans="1:28" ht="16.5" hidden="1" thickBot="1">
      <c r="B65" s="291" t="s">
        <v>2189</v>
      </c>
      <c r="C65" s="292"/>
      <c r="D65" s="293"/>
      <c r="E65" s="292"/>
      <c r="F65" s="292"/>
      <c r="G65" s="292"/>
      <c r="H65" s="292"/>
      <c r="I65" s="292"/>
      <c r="J65" s="294"/>
      <c r="K65" s="295"/>
      <c r="L65" s="295"/>
      <c r="M65" s="295"/>
      <c r="N65" s="296"/>
      <c r="O65" s="297" t="s">
        <v>2190</v>
      </c>
      <c r="R65" s="55"/>
      <c r="S65" s="55"/>
      <c r="T65" s="55"/>
      <c r="U65" s="55"/>
      <c r="V65" s="55"/>
      <c r="W65" s="55"/>
      <c r="X65" s="55"/>
      <c r="Y65" s="55"/>
      <c r="Z65" s="55"/>
      <c r="AA65" s="55"/>
      <c r="AB65" s="55"/>
    </row>
    <row r="66" spans="1:28" ht="15.75" hidden="1">
      <c r="B66" s="298" t="s">
        <v>1096</v>
      </c>
      <c r="C66" s="299"/>
      <c r="D66" s="300"/>
      <c r="E66" s="299"/>
      <c r="F66" s="299"/>
      <c r="G66" s="299"/>
      <c r="H66" s="299"/>
      <c r="I66" s="299"/>
      <c r="J66" s="301"/>
      <c r="K66" s="302"/>
      <c r="L66" s="303"/>
      <c r="M66" s="303"/>
      <c r="N66" s="301"/>
      <c r="O66" s="304" t="s">
        <v>1563</v>
      </c>
      <c r="R66" s="55"/>
      <c r="S66" s="55"/>
      <c r="T66" s="55"/>
      <c r="U66" s="55"/>
      <c r="V66" s="55"/>
      <c r="W66" s="55"/>
      <c r="X66" s="55"/>
      <c r="Y66" s="55"/>
      <c r="Z66" s="55"/>
      <c r="AA66" s="55"/>
      <c r="AB66" s="55"/>
    </row>
    <row r="67" spans="1:28" ht="14.25" hidden="1">
      <c r="B67" s="305"/>
      <c r="C67" s="306"/>
      <c r="D67" s="307"/>
      <c r="E67" s="308" t="s">
        <v>1097</v>
      </c>
      <c r="F67" s="309"/>
      <c r="G67" s="309"/>
      <c r="H67" s="308" t="s">
        <v>424</v>
      </c>
      <c r="I67" s="309"/>
      <c r="J67" s="308" t="s">
        <v>790</v>
      </c>
      <c r="K67" s="310"/>
      <c r="L67" s="308" t="s">
        <v>791</v>
      </c>
      <c r="M67" s="309"/>
      <c r="N67" s="309"/>
      <c r="O67" s="311" t="s">
        <v>792</v>
      </c>
      <c r="R67" s="55"/>
      <c r="S67" s="55"/>
      <c r="T67" s="55"/>
      <c r="U67" s="55"/>
      <c r="V67" s="55"/>
      <c r="W67" s="55"/>
      <c r="X67" s="55"/>
      <c r="Y67" s="55"/>
      <c r="Z67" s="55"/>
      <c r="AA67" s="55"/>
      <c r="AB67" s="55"/>
    </row>
    <row r="68" spans="1:28" ht="14.25" hidden="1">
      <c r="B68" s="312"/>
      <c r="C68" s="313" t="s">
        <v>793</v>
      </c>
      <c r="D68" s="314"/>
      <c r="E68" s="315"/>
      <c r="F68" s="316" t="s">
        <v>794</v>
      </c>
      <c r="G68" s="317"/>
      <c r="H68" s="315"/>
      <c r="I68" s="316" t="s">
        <v>795</v>
      </c>
      <c r="J68" s="318"/>
      <c r="K68" s="316" t="s">
        <v>794</v>
      </c>
      <c r="L68" s="319"/>
      <c r="M68" s="320"/>
      <c r="N68" s="321"/>
      <c r="O68" s="322"/>
      <c r="R68" s="55"/>
      <c r="S68" s="55"/>
      <c r="T68" s="55"/>
      <c r="U68" s="55"/>
      <c r="V68" s="55"/>
      <c r="W68" s="55"/>
      <c r="X68" s="55"/>
      <c r="Y68" s="55"/>
      <c r="Z68" s="55"/>
      <c r="AA68" s="55"/>
      <c r="AB68" s="55"/>
    </row>
    <row r="69" spans="1:28" ht="15.75" hidden="1">
      <c r="B69" s="312"/>
      <c r="C69" s="323" t="s">
        <v>796</v>
      </c>
      <c r="D69" s="324"/>
      <c r="E69" s="325"/>
      <c r="F69" s="134" t="s">
        <v>797</v>
      </c>
      <c r="G69" s="134"/>
      <c r="H69" s="325"/>
      <c r="I69" s="134" t="s">
        <v>798</v>
      </c>
      <c r="J69" s="326"/>
      <c r="K69" s="134" t="s">
        <v>797</v>
      </c>
      <c r="L69" s="319"/>
      <c r="M69" s="64"/>
      <c r="N69" s="320"/>
      <c r="O69" s="327"/>
      <c r="S69" s="64"/>
      <c r="W69" s="55"/>
      <c r="X69" s="55"/>
      <c r="Y69" s="55"/>
      <c r="Z69" s="55"/>
      <c r="AA69" s="55"/>
      <c r="AB69" s="55"/>
    </row>
    <row r="70" spans="1:28" ht="14.25" hidden="1">
      <c r="A70" s="328"/>
      <c r="B70" s="329"/>
      <c r="C70" s="330" t="s">
        <v>799</v>
      </c>
      <c r="D70" s="324"/>
      <c r="E70" s="325"/>
      <c r="F70" s="317" t="s">
        <v>800</v>
      </c>
      <c r="G70" s="317"/>
      <c r="H70" s="325"/>
      <c r="I70" s="317" t="s">
        <v>801</v>
      </c>
      <c r="J70" s="326"/>
      <c r="K70" s="317" t="s">
        <v>800</v>
      </c>
      <c r="L70" s="319"/>
      <c r="M70" s="64"/>
      <c r="N70" s="331"/>
      <c r="O70" s="327"/>
      <c r="P70" s="328"/>
      <c r="S70" s="64"/>
      <c r="W70" s="55"/>
      <c r="X70" s="55"/>
      <c r="Y70" s="55"/>
      <c r="Z70" s="55"/>
      <c r="AA70" s="55"/>
      <c r="AB70" s="55"/>
    </row>
    <row r="71" spans="1:28" ht="15.75" hidden="1">
      <c r="B71" s="312"/>
      <c r="C71" s="332" t="s">
        <v>802</v>
      </c>
      <c r="D71" s="324"/>
      <c r="E71" s="325"/>
      <c r="F71" s="134" t="s">
        <v>797</v>
      </c>
      <c r="G71" s="134"/>
      <c r="H71" s="325"/>
      <c r="I71" s="134" t="s">
        <v>798</v>
      </c>
      <c r="J71" s="326"/>
      <c r="K71" s="134" t="s">
        <v>797</v>
      </c>
      <c r="L71" s="319"/>
      <c r="M71" s="64"/>
      <c r="N71" s="320"/>
      <c r="O71" s="333"/>
      <c r="S71" s="64"/>
      <c r="W71" s="55"/>
      <c r="X71" s="55"/>
      <c r="Y71" s="55"/>
      <c r="Z71" s="55"/>
      <c r="AA71" s="55"/>
      <c r="AB71" s="55"/>
    </row>
    <row r="72" spans="1:28" ht="14.25" hidden="1">
      <c r="B72" s="312"/>
      <c r="C72" s="332" t="s">
        <v>803</v>
      </c>
      <c r="D72" s="324"/>
      <c r="E72" s="325"/>
      <c r="F72" s="334" t="s">
        <v>804</v>
      </c>
      <c r="G72" s="134"/>
      <c r="H72" s="325"/>
      <c r="I72" s="334" t="s">
        <v>805</v>
      </c>
      <c r="J72" s="326"/>
      <c r="K72" s="334" t="s">
        <v>804</v>
      </c>
      <c r="L72" s="319"/>
      <c r="M72" s="64"/>
      <c r="N72" s="320"/>
      <c r="O72" s="97"/>
      <c r="S72" s="64"/>
      <c r="W72" s="55"/>
      <c r="X72" s="55"/>
      <c r="Y72" s="55"/>
      <c r="Z72" s="55"/>
      <c r="AA72" s="55"/>
      <c r="AB72" s="55"/>
    </row>
    <row r="73" spans="1:28" ht="14.25" hidden="1">
      <c r="B73" s="312"/>
      <c r="C73" s="332" t="s">
        <v>806</v>
      </c>
      <c r="D73" s="324"/>
      <c r="E73" s="325"/>
      <c r="F73" s="334" t="s">
        <v>804</v>
      </c>
      <c r="G73" s="134"/>
      <c r="H73" s="325"/>
      <c r="I73" s="334" t="s">
        <v>805</v>
      </c>
      <c r="J73" s="326"/>
      <c r="K73" s="334" t="s">
        <v>804</v>
      </c>
      <c r="L73" s="319"/>
      <c r="M73" s="64"/>
      <c r="N73" s="320"/>
      <c r="O73" s="327"/>
      <c r="S73" s="64"/>
      <c r="W73" s="55"/>
      <c r="X73" s="55"/>
      <c r="Y73" s="55"/>
      <c r="Z73" s="55"/>
      <c r="AA73" s="55"/>
      <c r="AB73" s="55"/>
    </row>
    <row r="74" spans="1:28" ht="15" hidden="1" thickBot="1">
      <c r="B74" s="335"/>
      <c r="C74" s="336"/>
      <c r="D74" s="337"/>
      <c r="E74" s="338"/>
      <c r="F74" s="339"/>
      <c r="G74" s="280"/>
      <c r="H74" s="338"/>
      <c r="I74" s="339"/>
      <c r="J74" s="340"/>
      <c r="K74" s="339"/>
      <c r="L74" s="319"/>
      <c r="M74" s="64"/>
      <c r="N74" s="341"/>
      <c r="O74" s="342"/>
      <c r="S74" s="64"/>
      <c r="W74" s="55"/>
      <c r="X74" s="55"/>
      <c r="Y74" s="55"/>
      <c r="Z74" s="55"/>
      <c r="AA74" s="55"/>
      <c r="AB74" s="55"/>
    </row>
    <row r="75" spans="1:28" ht="16.5" hidden="1" thickBot="1">
      <c r="B75" s="343" t="s">
        <v>807</v>
      </c>
      <c r="C75" s="344"/>
      <c r="D75" s="345"/>
      <c r="E75" s="346"/>
      <c r="F75" s="347"/>
      <c r="G75" s="347"/>
      <c r="H75" s="347"/>
      <c r="I75" s="347"/>
      <c r="J75" s="347"/>
      <c r="K75" s="347"/>
      <c r="L75" s="347"/>
      <c r="M75" s="347"/>
      <c r="N75" s="347"/>
      <c r="O75" s="348"/>
      <c r="S75" s="64"/>
      <c r="W75" s="55"/>
      <c r="X75" s="55"/>
      <c r="Y75" s="55"/>
      <c r="Z75" s="55"/>
      <c r="AA75" s="55"/>
      <c r="AB75" s="55"/>
    </row>
    <row r="76" spans="1:28" ht="15.75" hidden="1">
      <c r="B76" s="349" t="s">
        <v>808</v>
      </c>
      <c r="C76" s="350"/>
      <c r="D76" s="351"/>
      <c r="E76" s="352"/>
      <c r="F76" s="353"/>
      <c r="G76" s="353"/>
      <c r="H76" s="353"/>
      <c r="I76" s="351"/>
      <c r="J76" s="354" t="s">
        <v>809</v>
      </c>
      <c r="K76" s="355"/>
      <c r="L76" s="356"/>
      <c r="M76" s="350"/>
      <c r="N76" s="350"/>
      <c r="O76" s="357"/>
      <c r="S76" s="64"/>
      <c r="W76" s="55"/>
      <c r="X76" s="55"/>
      <c r="Y76" s="55"/>
      <c r="Z76" s="55"/>
      <c r="AA76" s="55"/>
      <c r="AB76" s="55"/>
    </row>
    <row r="77" spans="1:28" ht="15" hidden="1">
      <c r="B77" s="358"/>
      <c r="C77" s="359" t="s">
        <v>810</v>
      </c>
      <c r="D77" s="360"/>
      <c r="E77" s="360"/>
      <c r="F77" s="360"/>
      <c r="G77" s="360"/>
      <c r="H77" s="360"/>
      <c r="I77" s="360"/>
      <c r="J77" s="361" t="s">
        <v>811</v>
      </c>
      <c r="K77" s="64"/>
      <c r="L77" s="362"/>
      <c r="M77" s="64"/>
      <c r="N77" s="64"/>
      <c r="O77" s="111"/>
      <c r="S77" s="64"/>
      <c r="W77" s="55"/>
      <c r="X77" s="55"/>
      <c r="Y77" s="55"/>
      <c r="Z77" s="55"/>
      <c r="AA77" s="55"/>
      <c r="AB77" s="55"/>
    </row>
    <row r="78" spans="1:28" ht="15" hidden="1">
      <c r="B78" s="358"/>
      <c r="C78" s="359"/>
      <c r="D78" s="360"/>
      <c r="E78" s="360"/>
      <c r="F78" s="360"/>
      <c r="G78" s="360"/>
      <c r="H78" s="360"/>
      <c r="I78" s="360"/>
      <c r="J78" s="361"/>
      <c r="K78" s="64"/>
      <c r="L78" s="362"/>
      <c r="M78" s="64"/>
      <c r="N78" s="64"/>
      <c r="O78" s="111"/>
      <c r="S78" s="64"/>
      <c r="W78" s="55"/>
      <c r="X78" s="55"/>
      <c r="Y78" s="55"/>
      <c r="Z78" s="55"/>
      <c r="AA78" s="55"/>
      <c r="AB78" s="55"/>
    </row>
    <row r="79" spans="1:28" ht="15" hidden="1" thickBot="1">
      <c r="B79" s="363"/>
      <c r="C79" s="364"/>
      <c r="D79" s="365"/>
      <c r="E79" s="365"/>
      <c r="F79" s="365"/>
      <c r="G79" s="365"/>
      <c r="H79" s="365"/>
      <c r="I79" s="365"/>
      <c r="J79" s="366"/>
      <c r="K79" s="155"/>
      <c r="L79" s="367"/>
      <c r="M79" s="367"/>
      <c r="N79" s="367"/>
      <c r="O79" s="368"/>
      <c r="S79" s="64"/>
    </row>
    <row r="80" spans="1:28" ht="14.25" hidden="1">
      <c r="B80" s="134"/>
      <c r="C80" s="134"/>
      <c r="D80" s="270"/>
      <c r="E80" s="134"/>
      <c r="S80" s="64"/>
    </row>
    <row r="81" spans="2:28" ht="14.25" hidden="1">
      <c r="B81" s="369"/>
      <c r="C81" s="370"/>
      <c r="D81" s="371"/>
      <c r="E81" s="372"/>
      <c r="F81" s="372"/>
      <c r="G81" s="372"/>
      <c r="H81" s="372"/>
      <c r="I81" s="373"/>
      <c r="J81" s="374"/>
      <c r="K81" s="373"/>
      <c r="L81" s="375"/>
      <c r="M81" s="373"/>
      <c r="N81" s="376"/>
      <c r="O81" s="377"/>
      <c r="S81" s="64"/>
    </row>
    <row r="82" spans="2:28" ht="14.25" hidden="1">
      <c r="B82" s="378"/>
      <c r="C82" s="379" t="s">
        <v>812</v>
      </c>
      <c r="D82" s="380" t="s">
        <v>1564</v>
      </c>
      <c r="E82" s="381" t="s">
        <v>1565</v>
      </c>
      <c r="G82" s="64"/>
      <c r="H82" s="381" t="s">
        <v>1566</v>
      </c>
      <c r="J82" s="381" t="s">
        <v>1567</v>
      </c>
      <c r="L82" s="381" t="s">
        <v>1568</v>
      </c>
      <c r="N82" s="380" t="s">
        <v>1569</v>
      </c>
      <c r="O82" s="382"/>
      <c r="S82" s="64"/>
    </row>
    <row r="83" spans="2:28" ht="14.25" hidden="1">
      <c r="B83" s="378"/>
      <c r="C83" s="379" t="s">
        <v>2300</v>
      </c>
      <c r="D83" s="383" t="s">
        <v>2134</v>
      </c>
      <c r="E83" s="384"/>
      <c r="F83" s="385"/>
      <c r="G83" s="385"/>
      <c r="H83" s="385"/>
      <c r="I83" s="386"/>
      <c r="J83" s="386"/>
      <c r="K83" s="387"/>
      <c r="L83" s="387"/>
      <c r="O83" s="388"/>
    </row>
    <row r="84" spans="2:28" ht="14.25" hidden="1">
      <c r="B84" s="390"/>
      <c r="C84" s="379" t="s">
        <v>2135</v>
      </c>
      <c r="D84" s="383" t="s">
        <v>2136</v>
      </c>
      <c r="E84" s="383"/>
      <c r="G84" s="391"/>
      <c r="O84" s="388"/>
    </row>
    <row r="85" spans="2:28" ht="14.25" hidden="1">
      <c r="B85" s="390"/>
      <c r="C85" s="379"/>
      <c r="D85" s="383" t="s">
        <v>2137</v>
      </c>
      <c r="E85" s="383"/>
      <c r="G85" s="391"/>
      <c r="O85" s="388"/>
    </row>
    <row r="86" spans="2:28" ht="14.25" hidden="1">
      <c r="B86" s="392"/>
      <c r="C86" s="393" t="s">
        <v>2138</v>
      </c>
      <c r="D86" s="394" t="s">
        <v>1570</v>
      </c>
      <c r="E86" s="395"/>
      <c r="F86" s="257"/>
      <c r="G86" s="396"/>
      <c r="H86" s="257"/>
      <c r="I86" s="256"/>
      <c r="J86" s="256"/>
      <c r="K86" s="257"/>
      <c r="L86" s="257"/>
      <c r="M86" s="397"/>
      <c r="N86" s="397"/>
      <c r="O86" s="398"/>
    </row>
    <row r="87" spans="2:28" ht="14.25">
      <c r="G87" s="391"/>
    </row>
    <row r="88" spans="2:28" ht="14.25">
      <c r="G88" s="391"/>
      <c r="L88" s="391"/>
    </row>
    <row r="89" spans="2:28" ht="14.25">
      <c r="E89" s="96"/>
      <c r="F89" s="391"/>
      <c r="G89" s="391"/>
      <c r="H89" s="391"/>
      <c r="I89" s="387"/>
      <c r="L89" s="391"/>
    </row>
    <row r="90" spans="2:28" s="55" customFormat="1" ht="14.25">
      <c r="B90" s="72"/>
      <c r="C90" s="399"/>
      <c r="D90" s="272"/>
      <c r="E90" s="96"/>
      <c r="F90" s="391"/>
      <c r="G90" s="391"/>
      <c r="H90" s="391"/>
      <c r="I90" s="387"/>
      <c r="J90" s="387"/>
      <c r="K90" s="391"/>
      <c r="L90" s="391"/>
      <c r="M90" s="96"/>
      <c r="N90" s="96"/>
      <c r="O90" s="96"/>
      <c r="R90" s="64"/>
      <c r="S90" s="389"/>
      <c r="T90" s="64"/>
      <c r="U90" s="64"/>
      <c r="V90" s="64"/>
      <c r="W90" s="64"/>
      <c r="X90" s="64"/>
      <c r="Y90" s="64"/>
      <c r="Z90" s="64"/>
      <c r="AA90" s="64"/>
      <c r="AB90" s="64"/>
    </row>
    <row r="91" spans="2:28" s="55" customFormat="1" ht="14.25">
      <c r="B91" s="400"/>
      <c r="C91" s="401"/>
      <c r="D91" s="402"/>
      <c r="E91" s="96"/>
      <c r="F91" s="391"/>
      <c r="G91" s="385"/>
      <c r="H91" s="385"/>
      <c r="I91" s="386"/>
      <c r="J91" s="386"/>
      <c r="K91" s="387"/>
      <c r="L91" s="387"/>
      <c r="M91" s="96"/>
      <c r="N91" s="96"/>
      <c r="O91" s="96"/>
      <c r="R91" s="64"/>
      <c r="S91" s="389"/>
      <c r="T91" s="64"/>
      <c r="U91" s="64"/>
      <c r="V91" s="64"/>
      <c r="W91" s="64"/>
      <c r="X91" s="64"/>
      <c r="Y91" s="64"/>
      <c r="Z91" s="64"/>
      <c r="AA91" s="64"/>
      <c r="AB91" s="64"/>
    </row>
    <row r="92" spans="2:28" s="55" customFormat="1" ht="14.25" hidden="1">
      <c r="B92" s="400"/>
      <c r="C92" s="400"/>
      <c r="D92" s="403"/>
      <c r="E92" s="74"/>
      <c r="F92" s="75"/>
      <c r="G92" s="385"/>
      <c r="H92" s="385"/>
      <c r="I92" s="386"/>
      <c r="J92" s="386"/>
      <c r="K92" s="387"/>
      <c r="L92" s="387"/>
      <c r="M92" s="96"/>
      <c r="N92" s="96"/>
      <c r="O92" s="96"/>
      <c r="R92" s="64"/>
      <c r="S92" s="389"/>
      <c r="T92" s="64"/>
      <c r="U92" s="64"/>
      <c r="V92" s="64"/>
      <c r="W92" s="64"/>
      <c r="X92" s="64"/>
      <c r="Y92" s="64"/>
      <c r="Z92" s="64"/>
      <c r="AA92" s="64"/>
      <c r="AB92" s="64"/>
    </row>
    <row r="93" spans="2:28" s="55" customFormat="1" ht="14.25" hidden="1">
      <c r="B93" s="72"/>
      <c r="C93" s="72"/>
      <c r="D93" s="73"/>
      <c r="E93" s="74"/>
      <c r="F93" s="75"/>
      <c r="G93" s="75"/>
      <c r="H93" s="75"/>
      <c r="I93" s="76"/>
      <c r="J93" s="76"/>
      <c r="K93" s="75"/>
      <c r="L93" s="75"/>
      <c r="M93" s="96"/>
      <c r="N93" s="96"/>
      <c r="O93" s="96"/>
      <c r="R93" s="64"/>
      <c r="S93" s="389"/>
      <c r="T93" s="64"/>
      <c r="U93" s="64"/>
      <c r="V93" s="64"/>
      <c r="W93" s="64"/>
      <c r="X93" s="64"/>
      <c r="Y93" s="64"/>
      <c r="Z93" s="64"/>
      <c r="AA93" s="64"/>
      <c r="AB93" s="64"/>
    </row>
    <row r="94" spans="2:28" s="55" customFormat="1" ht="14.25" hidden="1">
      <c r="B94" s="72"/>
      <c r="C94" s="72"/>
      <c r="D94" s="73"/>
      <c r="E94" s="74"/>
      <c r="F94" s="75"/>
      <c r="G94" s="75"/>
      <c r="H94" s="75"/>
      <c r="I94" s="76"/>
      <c r="J94" s="76"/>
      <c r="K94" s="75"/>
      <c r="L94" s="75"/>
      <c r="M94" s="96"/>
      <c r="N94" s="96"/>
      <c r="O94" s="96"/>
      <c r="R94" s="64"/>
      <c r="S94" s="389"/>
      <c r="T94" s="64"/>
      <c r="U94" s="64"/>
      <c r="V94" s="64"/>
      <c r="W94" s="64"/>
      <c r="X94" s="64"/>
      <c r="Y94" s="64"/>
      <c r="Z94" s="64"/>
      <c r="AA94" s="64"/>
      <c r="AB94" s="64"/>
    </row>
    <row r="95" spans="2:28" s="55" customFormat="1" ht="14.25" hidden="1">
      <c r="B95" s="72"/>
      <c r="C95" s="72"/>
      <c r="D95" s="73"/>
      <c r="E95" s="74"/>
      <c r="F95" s="75"/>
      <c r="G95" s="75"/>
      <c r="H95" s="75"/>
      <c r="I95" s="76"/>
      <c r="J95" s="76"/>
      <c r="K95" s="75"/>
      <c r="L95" s="75"/>
      <c r="M95" s="96"/>
      <c r="N95" s="96"/>
      <c r="O95" s="96"/>
      <c r="R95" s="64"/>
      <c r="S95" s="389"/>
      <c r="T95" s="64"/>
      <c r="U95" s="64"/>
      <c r="V95" s="64"/>
      <c r="W95" s="64"/>
      <c r="X95" s="64"/>
      <c r="Y95" s="64"/>
      <c r="Z95" s="64"/>
      <c r="AA95" s="64"/>
      <c r="AB95" s="64"/>
    </row>
    <row r="96" spans="2:28" s="55" customFormat="1" ht="14.25" hidden="1">
      <c r="B96" s="72"/>
      <c r="C96" s="72"/>
      <c r="D96" s="73"/>
      <c r="E96" s="74"/>
      <c r="F96" s="75"/>
      <c r="G96" s="75"/>
      <c r="H96" s="75"/>
      <c r="I96" s="76"/>
      <c r="J96" s="76"/>
      <c r="K96" s="75"/>
      <c r="L96" s="75"/>
      <c r="M96" s="96"/>
      <c r="N96" s="96"/>
      <c r="O96" s="96"/>
      <c r="R96" s="64"/>
      <c r="S96" s="389"/>
      <c r="T96" s="64"/>
      <c r="U96" s="64"/>
      <c r="V96" s="64"/>
      <c r="W96" s="64"/>
      <c r="X96" s="64"/>
      <c r="Y96" s="64"/>
      <c r="Z96" s="64"/>
      <c r="AA96" s="64"/>
      <c r="AB96" s="64"/>
    </row>
    <row r="97" spans="2:28" s="55" customFormat="1" ht="14.25" hidden="1">
      <c r="B97" s="72"/>
      <c r="C97" s="72"/>
      <c r="D97" s="73"/>
      <c r="E97" s="74"/>
      <c r="F97" s="75"/>
      <c r="G97" s="75"/>
      <c r="H97" s="75"/>
      <c r="I97" s="76"/>
      <c r="J97" s="76"/>
      <c r="K97" s="75"/>
      <c r="L97" s="75"/>
      <c r="M97" s="96"/>
      <c r="N97" s="96"/>
      <c r="O97" s="96"/>
      <c r="R97" s="64"/>
      <c r="S97" s="389"/>
      <c r="T97" s="64"/>
      <c r="U97" s="64"/>
      <c r="V97" s="64"/>
      <c r="W97" s="64"/>
      <c r="X97" s="64"/>
      <c r="Y97" s="64"/>
      <c r="Z97" s="64"/>
      <c r="AA97" s="64"/>
      <c r="AB97" s="64"/>
    </row>
    <row r="98" spans="2:28" s="55" customFormat="1" ht="14.25" hidden="1">
      <c r="B98" s="72"/>
      <c r="C98" s="72"/>
      <c r="D98" s="73"/>
      <c r="E98" s="74"/>
      <c r="F98" s="75"/>
      <c r="G98" s="75"/>
      <c r="H98" s="75"/>
      <c r="I98" s="76"/>
      <c r="J98" s="76"/>
      <c r="K98" s="75"/>
      <c r="L98" s="75"/>
      <c r="M98" s="96"/>
      <c r="N98" s="96"/>
      <c r="O98" s="96"/>
      <c r="R98" s="64"/>
      <c r="S98" s="389"/>
      <c r="T98" s="64"/>
      <c r="U98" s="64"/>
      <c r="V98" s="64"/>
      <c r="W98" s="64"/>
      <c r="X98" s="64"/>
      <c r="Y98" s="64"/>
      <c r="Z98" s="64"/>
      <c r="AA98" s="64"/>
      <c r="AB98" s="64"/>
    </row>
    <row r="99" spans="2:28" s="55" customFormat="1" ht="14.25" hidden="1">
      <c r="B99" s="72"/>
      <c r="C99" s="72"/>
      <c r="D99" s="73"/>
      <c r="E99" s="74"/>
      <c r="F99" s="75"/>
      <c r="G99" s="75"/>
      <c r="H99" s="75"/>
      <c r="I99" s="76"/>
      <c r="J99" s="76"/>
      <c r="K99" s="75"/>
      <c r="L99" s="75"/>
      <c r="M99" s="96"/>
      <c r="N99" s="96"/>
      <c r="O99" s="96"/>
      <c r="R99" s="64"/>
      <c r="S99" s="389"/>
      <c r="T99" s="64"/>
      <c r="U99" s="64"/>
      <c r="V99" s="64"/>
      <c r="W99" s="64"/>
      <c r="X99" s="64"/>
      <c r="Y99" s="64"/>
      <c r="Z99" s="64"/>
      <c r="AA99" s="64"/>
      <c r="AB99" s="64"/>
    </row>
    <row r="100" spans="2:28" s="55" customFormat="1" ht="14.25" hidden="1">
      <c r="B100" s="72"/>
      <c r="C100" s="72"/>
      <c r="D100" s="73"/>
      <c r="E100" s="74"/>
      <c r="F100" s="75"/>
      <c r="G100" s="75"/>
      <c r="H100" s="75"/>
      <c r="I100" s="76"/>
      <c r="J100" s="76"/>
      <c r="K100" s="75"/>
      <c r="L100" s="75"/>
      <c r="M100" s="96"/>
      <c r="N100" s="96"/>
      <c r="O100" s="96"/>
      <c r="R100" s="64"/>
      <c r="S100" s="389"/>
      <c r="T100" s="64"/>
      <c r="U100" s="64"/>
      <c r="V100" s="64"/>
      <c r="W100" s="64"/>
      <c r="X100" s="64"/>
      <c r="Y100" s="64"/>
      <c r="Z100" s="64"/>
      <c r="AA100" s="64"/>
      <c r="AB100" s="64"/>
    </row>
    <row r="101" spans="2:28" s="55" customFormat="1" ht="14.25" hidden="1">
      <c r="B101" s="72"/>
      <c r="C101" s="72"/>
      <c r="D101" s="73"/>
      <c r="E101" s="74"/>
      <c r="F101" s="75"/>
      <c r="G101" s="75"/>
      <c r="H101" s="75"/>
      <c r="I101" s="76"/>
      <c r="J101" s="76"/>
      <c r="K101" s="75"/>
      <c r="L101" s="75"/>
      <c r="M101" s="96"/>
      <c r="N101" s="96"/>
      <c r="O101" s="96"/>
      <c r="R101" s="64"/>
      <c r="S101" s="389"/>
      <c r="T101" s="64"/>
      <c r="U101" s="64"/>
      <c r="V101" s="64"/>
      <c r="W101" s="64"/>
      <c r="X101" s="64"/>
      <c r="Y101" s="64"/>
      <c r="Z101" s="64"/>
      <c r="AA101" s="64"/>
      <c r="AB101" s="64"/>
    </row>
    <row r="102" spans="2:28" s="55" customFormat="1" ht="14.25" hidden="1">
      <c r="B102" s="72"/>
      <c r="C102" s="72"/>
      <c r="D102" s="73"/>
      <c r="E102" s="74"/>
      <c r="F102" s="75"/>
      <c r="G102" s="75"/>
      <c r="H102" s="75"/>
      <c r="I102" s="76"/>
      <c r="J102" s="76"/>
      <c r="K102" s="75"/>
      <c r="L102" s="75"/>
      <c r="M102" s="96"/>
      <c r="N102" s="96"/>
      <c r="O102" s="96"/>
      <c r="R102" s="64"/>
      <c r="S102" s="389"/>
      <c r="T102" s="64"/>
      <c r="U102" s="64"/>
      <c r="V102" s="64"/>
      <c r="W102" s="64"/>
      <c r="X102" s="64"/>
      <c r="Y102" s="64"/>
      <c r="Z102" s="64"/>
      <c r="AA102" s="64"/>
      <c r="AB102" s="64"/>
    </row>
    <row r="103" spans="2:28" s="55" customFormat="1" ht="14.25" hidden="1">
      <c r="B103" s="72"/>
      <c r="C103" s="72"/>
      <c r="D103" s="73"/>
      <c r="E103" s="74"/>
      <c r="F103" s="75"/>
      <c r="G103" s="75"/>
      <c r="H103" s="75"/>
      <c r="I103" s="76"/>
      <c r="J103" s="76"/>
      <c r="K103" s="75"/>
      <c r="L103" s="75"/>
      <c r="M103" s="96"/>
      <c r="N103" s="96"/>
      <c r="O103" s="96"/>
      <c r="R103" s="64"/>
      <c r="S103" s="389"/>
      <c r="T103" s="64"/>
      <c r="U103" s="64"/>
      <c r="V103" s="64"/>
      <c r="W103" s="64"/>
      <c r="X103" s="64"/>
      <c r="Y103" s="64"/>
      <c r="Z103" s="64"/>
      <c r="AA103" s="64"/>
      <c r="AB103" s="64"/>
    </row>
    <row r="104" spans="2:28" s="55" customFormat="1" ht="14.25" hidden="1">
      <c r="B104" s="72"/>
      <c r="C104" s="72"/>
      <c r="D104" s="73"/>
      <c r="E104" s="74"/>
      <c r="F104" s="75"/>
      <c r="G104" s="75"/>
      <c r="H104" s="75"/>
      <c r="I104" s="76"/>
      <c r="J104" s="76"/>
      <c r="K104" s="75"/>
      <c r="L104" s="75"/>
      <c r="M104" s="96"/>
      <c r="N104" s="96"/>
      <c r="O104" s="96"/>
      <c r="R104" s="64"/>
      <c r="S104" s="389"/>
      <c r="T104" s="64"/>
      <c r="U104" s="64"/>
      <c r="V104" s="64"/>
      <c r="W104" s="64"/>
      <c r="X104" s="64"/>
      <c r="Y104" s="64"/>
      <c r="Z104" s="64"/>
      <c r="AA104" s="64"/>
      <c r="AB104" s="64"/>
    </row>
    <row r="105" spans="2:28" s="55" customFormat="1" ht="14.25" hidden="1">
      <c r="B105" s="72"/>
      <c r="C105" s="72"/>
      <c r="D105" s="73"/>
      <c r="E105" s="74"/>
      <c r="F105" s="75"/>
      <c r="G105" s="75"/>
      <c r="H105" s="75"/>
      <c r="I105" s="76"/>
      <c r="J105" s="76"/>
      <c r="K105" s="75"/>
      <c r="L105" s="75"/>
      <c r="M105" s="96"/>
      <c r="N105" s="96"/>
      <c r="O105" s="96"/>
      <c r="R105" s="64"/>
      <c r="S105" s="389"/>
      <c r="T105" s="64"/>
      <c r="U105" s="64"/>
      <c r="V105" s="64"/>
      <c r="W105" s="64"/>
      <c r="X105" s="64"/>
      <c r="Y105" s="64"/>
      <c r="Z105" s="64"/>
      <c r="AA105" s="64"/>
      <c r="AB105" s="64"/>
    </row>
    <row r="106" spans="2:28" s="55" customFormat="1" ht="14.25" hidden="1">
      <c r="B106" s="72"/>
      <c r="C106" s="72"/>
      <c r="D106" s="73"/>
      <c r="E106" s="74"/>
      <c r="F106" s="75"/>
      <c r="G106" s="75"/>
      <c r="H106" s="75"/>
      <c r="I106" s="76"/>
      <c r="J106" s="76"/>
      <c r="K106" s="75"/>
      <c r="L106" s="75"/>
      <c r="M106" s="96"/>
      <c r="N106" s="96"/>
      <c r="O106" s="96"/>
      <c r="R106" s="64"/>
      <c r="S106" s="389"/>
      <c r="T106" s="64"/>
      <c r="U106" s="64"/>
      <c r="V106" s="64"/>
      <c r="W106" s="64"/>
      <c r="X106" s="64"/>
      <c r="Y106" s="64"/>
      <c r="Z106" s="64"/>
      <c r="AA106" s="64"/>
      <c r="AB106" s="64"/>
    </row>
    <row r="107" spans="2:28" s="55" customFormat="1" ht="14.25" hidden="1">
      <c r="B107" s="72"/>
      <c r="C107" s="72"/>
      <c r="D107" s="73"/>
      <c r="E107" s="74"/>
      <c r="F107" s="75"/>
      <c r="G107" s="75"/>
      <c r="H107" s="75"/>
      <c r="I107" s="76"/>
      <c r="J107" s="76"/>
      <c r="K107" s="75"/>
      <c r="L107" s="75"/>
      <c r="M107" s="96"/>
      <c r="N107" s="96"/>
      <c r="O107" s="96"/>
      <c r="R107" s="64"/>
      <c r="S107" s="389"/>
      <c r="T107" s="64"/>
      <c r="U107" s="64"/>
      <c r="V107" s="64"/>
      <c r="W107" s="64"/>
      <c r="X107" s="64"/>
      <c r="Y107" s="64"/>
      <c r="Z107" s="64"/>
      <c r="AA107" s="64"/>
      <c r="AB107" s="64"/>
    </row>
    <row r="108" spans="2:28" s="55" customFormat="1" ht="14.25" hidden="1">
      <c r="B108" s="72"/>
      <c r="C108" s="72"/>
      <c r="D108" s="73"/>
      <c r="E108" s="74"/>
      <c r="F108" s="75"/>
      <c r="G108" s="75"/>
      <c r="H108" s="75"/>
      <c r="I108" s="76"/>
      <c r="J108" s="76"/>
      <c r="K108" s="75"/>
      <c r="L108" s="75"/>
      <c r="M108" s="96"/>
      <c r="N108" s="96"/>
      <c r="O108" s="96"/>
      <c r="R108" s="64"/>
      <c r="S108" s="389"/>
      <c r="T108" s="64"/>
      <c r="U108" s="64"/>
      <c r="V108" s="64"/>
      <c r="W108" s="64"/>
      <c r="X108" s="64"/>
      <c r="Y108" s="64"/>
      <c r="Z108" s="64"/>
      <c r="AA108" s="64"/>
      <c r="AB108" s="64"/>
    </row>
    <row r="109" spans="2:28" s="55" customFormat="1" ht="14.25" hidden="1">
      <c r="B109" s="72"/>
      <c r="C109" s="72"/>
      <c r="D109" s="73"/>
      <c r="E109" s="74"/>
      <c r="F109" s="75"/>
      <c r="G109" s="75"/>
      <c r="H109" s="75"/>
      <c r="I109" s="76"/>
      <c r="J109" s="76"/>
      <c r="K109" s="75"/>
      <c r="L109" s="75"/>
      <c r="M109" s="96"/>
      <c r="N109" s="96"/>
      <c r="O109" s="96"/>
      <c r="R109" s="64"/>
      <c r="S109" s="389"/>
      <c r="T109" s="64"/>
      <c r="U109" s="64"/>
      <c r="V109" s="64"/>
      <c r="W109" s="64"/>
      <c r="X109" s="64"/>
      <c r="Y109" s="64"/>
      <c r="Z109" s="64"/>
      <c r="AA109" s="64"/>
      <c r="AB109" s="64"/>
    </row>
    <row r="110" spans="2:28" s="55" customFormat="1" ht="14.25" hidden="1">
      <c r="B110" s="72"/>
      <c r="C110" s="72"/>
      <c r="D110" s="73"/>
      <c r="E110" s="74"/>
      <c r="F110" s="75"/>
      <c r="G110" s="75"/>
      <c r="H110" s="75"/>
      <c r="I110" s="76"/>
      <c r="J110" s="76"/>
      <c r="K110" s="75"/>
      <c r="L110" s="75"/>
      <c r="M110" s="96"/>
      <c r="N110" s="96"/>
      <c r="O110" s="96"/>
      <c r="R110" s="64"/>
      <c r="S110" s="389"/>
      <c r="T110" s="64"/>
      <c r="U110" s="64"/>
      <c r="V110" s="64"/>
      <c r="W110" s="64"/>
      <c r="X110" s="64"/>
      <c r="Y110" s="64"/>
      <c r="Z110" s="64"/>
      <c r="AA110" s="64"/>
      <c r="AB110" s="64"/>
    </row>
    <row r="111" spans="2:28" s="55" customFormat="1" ht="14.25" hidden="1">
      <c r="B111" s="72"/>
      <c r="C111" s="72"/>
      <c r="D111" s="73"/>
      <c r="E111" s="74"/>
      <c r="F111" s="75"/>
      <c r="G111" s="75"/>
      <c r="H111" s="75"/>
      <c r="I111" s="76"/>
      <c r="J111" s="76"/>
      <c r="K111" s="75"/>
      <c r="L111" s="75"/>
      <c r="M111" s="96"/>
      <c r="N111" s="96"/>
      <c r="O111" s="96"/>
      <c r="R111" s="64"/>
      <c r="S111" s="389"/>
      <c r="T111" s="64"/>
      <c r="U111" s="64"/>
      <c r="V111" s="64"/>
      <c r="W111" s="64"/>
      <c r="X111" s="64"/>
      <c r="Y111" s="64"/>
      <c r="Z111" s="64"/>
      <c r="AA111" s="64"/>
      <c r="AB111" s="64"/>
    </row>
    <row r="112" spans="2:28" s="55" customFormat="1" ht="14.25" hidden="1">
      <c r="B112" s="72"/>
      <c r="C112" s="72"/>
      <c r="D112" s="73"/>
      <c r="E112" s="74"/>
      <c r="F112" s="75"/>
      <c r="G112" s="75"/>
      <c r="H112" s="75"/>
      <c r="I112" s="76"/>
      <c r="J112" s="76"/>
      <c r="K112" s="75"/>
      <c r="L112" s="75"/>
      <c r="M112" s="96"/>
      <c r="N112" s="96"/>
      <c r="O112" s="96"/>
      <c r="R112" s="64"/>
      <c r="S112" s="389"/>
      <c r="T112" s="64"/>
      <c r="U112" s="64"/>
      <c r="V112" s="64"/>
      <c r="W112" s="64"/>
      <c r="X112" s="64"/>
      <c r="Y112" s="64"/>
      <c r="Z112" s="64"/>
      <c r="AA112" s="64"/>
      <c r="AB112" s="64"/>
    </row>
    <row r="113" spans="2:28" s="55" customFormat="1" ht="14.25" hidden="1">
      <c r="B113" s="72"/>
      <c r="C113" s="72"/>
      <c r="D113" s="73"/>
      <c r="E113" s="74"/>
      <c r="F113" s="75"/>
      <c r="G113" s="75"/>
      <c r="H113" s="75"/>
      <c r="I113" s="76"/>
      <c r="J113" s="76"/>
      <c r="K113" s="75"/>
      <c r="L113" s="75"/>
      <c r="M113" s="96"/>
      <c r="N113" s="96"/>
      <c r="O113" s="96"/>
      <c r="R113" s="64"/>
      <c r="S113" s="389"/>
      <c r="T113" s="64"/>
      <c r="U113" s="64"/>
      <c r="V113" s="64"/>
      <c r="W113" s="64"/>
      <c r="X113" s="64"/>
      <c r="Y113" s="64"/>
      <c r="Z113" s="64"/>
      <c r="AA113" s="64"/>
      <c r="AB113" s="64"/>
    </row>
    <row r="114" spans="2:28" s="55" customFormat="1" ht="14.25" hidden="1">
      <c r="B114" s="72"/>
      <c r="C114" s="72"/>
      <c r="D114" s="73"/>
      <c r="E114" s="74"/>
      <c r="F114" s="75"/>
      <c r="G114" s="75"/>
      <c r="H114" s="75"/>
      <c r="I114" s="76"/>
      <c r="J114" s="76"/>
      <c r="K114" s="75"/>
      <c r="L114" s="75"/>
      <c r="M114" s="96"/>
      <c r="N114" s="96"/>
      <c r="O114" s="96"/>
      <c r="R114" s="64"/>
      <c r="S114" s="389"/>
      <c r="T114" s="64"/>
      <c r="U114" s="64"/>
      <c r="V114" s="64"/>
      <c r="W114" s="64"/>
      <c r="X114" s="64"/>
      <c r="Y114" s="64"/>
      <c r="Z114" s="64"/>
      <c r="AA114" s="64"/>
      <c r="AB114" s="64"/>
    </row>
    <row r="115" spans="2:28" s="55" customFormat="1" ht="14.25" hidden="1">
      <c r="B115" s="72"/>
      <c r="C115" s="72"/>
      <c r="D115" s="73"/>
      <c r="E115" s="74"/>
      <c r="F115" s="75"/>
      <c r="G115" s="75"/>
      <c r="H115" s="75"/>
      <c r="I115" s="76"/>
      <c r="J115" s="76"/>
      <c r="K115" s="75"/>
      <c r="L115" s="75"/>
      <c r="M115" s="96"/>
      <c r="N115" s="96"/>
      <c r="O115" s="96"/>
      <c r="R115" s="64"/>
      <c r="S115" s="389"/>
      <c r="T115" s="64"/>
      <c r="U115" s="64"/>
      <c r="V115" s="64"/>
      <c r="W115" s="64"/>
      <c r="X115" s="64"/>
      <c r="Y115" s="64"/>
      <c r="Z115" s="64"/>
      <c r="AA115" s="64"/>
      <c r="AB115" s="64"/>
    </row>
    <row r="116" spans="2:28" s="55" customFormat="1" ht="14.25" hidden="1">
      <c r="B116" s="72"/>
      <c r="C116" s="72"/>
      <c r="D116" s="73"/>
      <c r="E116" s="74"/>
      <c r="F116" s="75"/>
      <c r="G116" s="75"/>
      <c r="H116" s="75"/>
      <c r="I116" s="76"/>
      <c r="J116" s="76"/>
      <c r="K116" s="75"/>
      <c r="L116" s="75"/>
      <c r="M116" s="96"/>
      <c r="N116" s="96"/>
      <c r="O116" s="96"/>
      <c r="R116" s="64"/>
      <c r="S116" s="389"/>
      <c r="T116" s="64"/>
      <c r="U116" s="64"/>
      <c r="V116" s="64"/>
      <c r="W116" s="64"/>
      <c r="X116" s="64"/>
      <c r="Y116" s="64"/>
      <c r="Z116" s="64"/>
      <c r="AA116" s="64"/>
      <c r="AB116" s="64"/>
    </row>
    <row r="117" spans="2:28" s="55" customFormat="1" ht="14.25" hidden="1">
      <c r="B117" s="72"/>
      <c r="C117" s="72"/>
      <c r="D117" s="73"/>
      <c r="E117" s="74"/>
      <c r="F117" s="75"/>
      <c r="G117" s="75"/>
      <c r="H117" s="75"/>
      <c r="I117" s="76"/>
      <c r="J117" s="76"/>
      <c r="K117" s="75"/>
      <c r="L117" s="75"/>
      <c r="M117" s="96"/>
      <c r="N117" s="96"/>
      <c r="O117" s="96"/>
      <c r="R117" s="64"/>
      <c r="S117" s="389"/>
      <c r="T117" s="64"/>
      <c r="U117" s="64"/>
      <c r="V117" s="64"/>
      <c r="W117" s="64"/>
      <c r="X117" s="64"/>
      <c r="Y117" s="64"/>
      <c r="Z117" s="64"/>
      <c r="AA117" s="64"/>
      <c r="AB117" s="64"/>
    </row>
    <row r="118" spans="2:28" s="55" customFormat="1" ht="14.25" hidden="1">
      <c r="B118" s="72"/>
      <c r="C118" s="72"/>
      <c r="D118" s="73"/>
      <c r="E118" s="74"/>
      <c r="F118" s="75"/>
      <c r="G118" s="75"/>
      <c r="H118" s="75"/>
      <c r="I118" s="76"/>
      <c r="J118" s="76"/>
      <c r="K118" s="75"/>
      <c r="L118" s="75"/>
      <c r="M118" s="96"/>
      <c r="N118" s="96"/>
      <c r="O118" s="96"/>
      <c r="R118" s="64"/>
      <c r="S118" s="389"/>
      <c r="T118" s="64"/>
      <c r="U118" s="64"/>
      <c r="V118" s="64"/>
      <c r="W118" s="64"/>
      <c r="X118" s="64"/>
      <c r="Y118" s="64"/>
      <c r="Z118" s="64"/>
      <c r="AA118" s="64"/>
      <c r="AB118" s="64"/>
    </row>
    <row r="119" spans="2:28" s="55" customFormat="1" ht="14.25" hidden="1">
      <c r="B119" s="72"/>
      <c r="C119" s="72"/>
      <c r="D119" s="73"/>
      <c r="E119" s="74"/>
      <c r="F119" s="75"/>
      <c r="G119" s="75"/>
      <c r="H119" s="75"/>
      <c r="I119" s="76"/>
      <c r="J119" s="76"/>
      <c r="K119" s="75"/>
      <c r="L119" s="75"/>
      <c r="M119" s="96"/>
      <c r="N119" s="96"/>
      <c r="O119" s="96"/>
      <c r="R119" s="64"/>
      <c r="S119" s="389"/>
      <c r="T119" s="64"/>
      <c r="U119" s="64"/>
      <c r="V119" s="64"/>
      <c r="W119" s="64"/>
      <c r="X119" s="64"/>
      <c r="Y119" s="64"/>
      <c r="Z119" s="64"/>
      <c r="AA119" s="64"/>
      <c r="AB119" s="64"/>
    </row>
    <row r="120" spans="2:28" s="55" customFormat="1" ht="14.25" hidden="1">
      <c r="B120" s="72"/>
      <c r="C120" s="72"/>
      <c r="D120" s="73"/>
      <c r="E120" s="74"/>
      <c r="F120" s="75"/>
      <c r="G120" s="75"/>
      <c r="H120" s="75"/>
      <c r="I120" s="76"/>
      <c r="J120" s="76"/>
      <c r="K120" s="75"/>
      <c r="L120" s="75"/>
      <c r="M120" s="96"/>
      <c r="N120" s="96"/>
      <c r="O120" s="96"/>
      <c r="R120" s="64"/>
      <c r="S120" s="389"/>
      <c r="T120" s="64"/>
      <c r="U120" s="64"/>
      <c r="V120" s="64"/>
      <c r="W120" s="64"/>
      <c r="X120" s="64"/>
      <c r="Y120" s="64"/>
      <c r="Z120" s="64"/>
      <c r="AA120" s="64"/>
      <c r="AB120" s="64"/>
    </row>
    <row r="121" spans="2:28" s="55" customFormat="1" ht="14.25" hidden="1">
      <c r="B121" s="72"/>
      <c r="C121" s="72"/>
      <c r="D121" s="73"/>
      <c r="E121" s="74"/>
      <c r="F121" s="75"/>
      <c r="G121" s="75"/>
      <c r="H121" s="75"/>
      <c r="I121" s="76"/>
      <c r="J121" s="76"/>
      <c r="K121" s="75"/>
      <c r="L121" s="75"/>
      <c r="M121" s="96"/>
      <c r="N121" s="96"/>
      <c r="O121" s="96"/>
      <c r="R121" s="64"/>
      <c r="S121" s="389"/>
      <c r="T121" s="64"/>
      <c r="U121" s="64"/>
      <c r="V121" s="64"/>
      <c r="W121" s="64"/>
      <c r="X121" s="64"/>
      <c r="Y121" s="64"/>
      <c r="Z121" s="64"/>
      <c r="AA121" s="64"/>
      <c r="AB121" s="64"/>
    </row>
    <row r="122" spans="2:28" s="55" customFormat="1" ht="14.25" hidden="1">
      <c r="B122" s="72"/>
      <c r="C122" s="72"/>
      <c r="D122" s="73"/>
      <c r="E122" s="74"/>
      <c r="F122" s="75"/>
      <c r="G122" s="75"/>
      <c r="H122" s="75"/>
      <c r="I122" s="76"/>
      <c r="J122" s="76"/>
      <c r="K122" s="75"/>
      <c r="L122" s="75"/>
      <c r="M122" s="96"/>
      <c r="N122" s="96"/>
      <c r="O122" s="96"/>
      <c r="R122" s="64"/>
      <c r="S122" s="389"/>
      <c r="T122" s="64"/>
      <c r="U122" s="64"/>
      <c r="V122" s="64"/>
      <c r="W122" s="64"/>
      <c r="X122" s="64"/>
      <c r="Y122" s="64"/>
      <c r="Z122" s="64"/>
      <c r="AA122" s="64"/>
      <c r="AB122" s="64"/>
    </row>
    <row r="123" spans="2:28" s="55" customFormat="1" ht="14.25" hidden="1">
      <c r="B123" s="72"/>
      <c r="C123" s="72"/>
      <c r="D123" s="73"/>
      <c r="E123" s="74"/>
      <c r="F123" s="75"/>
      <c r="G123" s="75"/>
      <c r="H123" s="75"/>
      <c r="I123" s="76"/>
      <c r="J123" s="76"/>
      <c r="K123" s="75"/>
      <c r="L123" s="75"/>
      <c r="M123" s="96"/>
      <c r="N123" s="96"/>
      <c r="O123" s="96"/>
      <c r="R123" s="64"/>
      <c r="S123" s="389"/>
      <c r="T123" s="64"/>
      <c r="U123" s="64"/>
      <c r="V123" s="64"/>
      <c r="W123" s="64"/>
      <c r="X123" s="64"/>
      <c r="Y123" s="64"/>
      <c r="Z123" s="64"/>
      <c r="AA123" s="64"/>
      <c r="AB123" s="64"/>
    </row>
    <row r="124" spans="2:28" s="55" customFormat="1" ht="14.25" hidden="1">
      <c r="B124" s="72"/>
      <c r="C124" s="72"/>
      <c r="D124" s="73"/>
      <c r="E124" s="74"/>
      <c r="F124" s="75"/>
      <c r="G124" s="75"/>
      <c r="H124" s="75"/>
      <c r="I124" s="76"/>
      <c r="J124" s="76"/>
      <c r="K124" s="75"/>
      <c r="L124" s="75"/>
      <c r="M124" s="96"/>
      <c r="N124" s="96"/>
      <c r="O124" s="96"/>
      <c r="R124" s="64"/>
      <c r="S124" s="389"/>
      <c r="T124" s="64"/>
      <c r="U124" s="64"/>
      <c r="V124" s="64"/>
      <c r="W124" s="64"/>
      <c r="X124" s="64"/>
      <c r="Y124" s="64"/>
      <c r="Z124" s="64"/>
      <c r="AA124" s="64"/>
      <c r="AB124" s="64"/>
    </row>
    <row r="125" spans="2:28" s="55" customFormat="1" ht="14.25" hidden="1">
      <c r="B125" s="72"/>
      <c r="C125" s="72"/>
      <c r="D125" s="73"/>
      <c r="E125" s="74"/>
      <c r="F125" s="75"/>
      <c r="G125" s="75"/>
      <c r="H125" s="75"/>
      <c r="I125" s="76"/>
      <c r="J125" s="76"/>
      <c r="K125" s="75"/>
      <c r="L125" s="75"/>
      <c r="M125" s="96"/>
      <c r="N125" s="96"/>
      <c r="O125" s="96"/>
      <c r="R125" s="64"/>
      <c r="S125" s="389"/>
      <c r="T125" s="64"/>
      <c r="U125" s="64"/>
      <c r="V125" s="64"/>
      <c r="W125" s="64"/>
      <c r="X125" s="64"/>
      <c r="Y125" s="64"/>
      <c r="Z125" s="64"/>
      <c r="AA125" s="64"/>
      <c r="AB125" s="64"/>
    </row>
    <row r="126" spans="2:28" s="55" customFormat="1" ht="14.25" hidden="1">
      <c r="B126" s="72"/>
      <c r="C126" s="72"/>
      <c r="D126" s="73"/>
      <c r="E126" s="74"/>
      <c r="F126" s="75"/>
      <c r="G126" s="75"/>
      <c r="H126" s="75"/>
      <c r="I126" s="76"/>
      <c r="J126" s="76"/>
      <c r="K126" s="75"/>
      <c r="L126" s="75"/>
      <c r="M126" s="96"/>
      <c r="N126" s="96"/>
      <c r="O126" s="96"/>
      <c r="R126" s="64"/>
      <c r="S126" s="389"/>
      <c r="T126" s="64"/>
      <c r="U126" s="64"/>
      <c r="V126" s="64"/>
      <c r="W126" s="64"/>
      <c r="X126" s="64"/>
      <c r="Y126" s="64"/>
      <c r="Z126" s="64"/>
      <c r="AA126" s="64"/>
      <c r="AB126" s="64"/>
    </row>
    <row r="127" spans="2:28" s="55" customFormat="1" ht="14.25" hidden="1">
      <c r="B127" s="72"/>
      <c r="C127" s="72"/>
      <c r="D127" s="73"/>
      <c r="E127" s="74"/>
      <c r="F127" s="75"/>
      <c r="G127" s="75"/>
      <c r="H127" s="75"/>
      <c r="I127" s="76"/>
      <c r="J127" s="76"/>
      <c r="K127" s="75"/>
      <c r="L127" s="75"/>
      <c r="M127" s="96"/>
      <c r="N127" s="96"/>
      <c r="O127" s="96"/>
      <c r="R127" s="64"/>
      <c r="S127" s="389"/>
      <c r="T127" s="64"/>
      <c r="U127" s="64"/>
      <c r="V127" s="64"/>
      <c r="W127" s="64"/>
      <c r="X127" s="64"/>
      <c r="Y127" s="64"/>
      <c r="Z127" s="64"/>
      <c r="AA127" s="64"/>
      <c r="AB127" s="64"/>
    </row>
    <row r="128" spans="2:28" s="55" customFormat="1" ht="14.25" hidden="1">
      <c r="B128" s="72"/>
      <c r="C128" s="72"/>
      <c r="D128" s="73"/>
      <c r="E128" s="74"/>
      <c r="F128" s="75"/>
      <c r="G128" s="75"/>
      <c r="H128" s="75"/>
      <c r="I128" s="76"/>
      <c r="J128" s="76"/>
      <c r="K128" s="75"/>
      <c r="L128" s="75"/>
      <c r="M128" s="96"/>
      <c r="N128" s="96"/>
      <c r="O128" s="96"/>
      <c r="R128" s="64"/>
      <c r="S128" s="389"/>
      <c r="T128" s="64"/>
      <c r="U128" s="64"/>
      <c r="V128" s="64"/>
      <c r="W128" s="64"/>
      <c r="X128" s="64"/>
      <c r="Y128" s="64"/>
      <c r="Z128" s="64"/>
      <c r="AA128" s="64"/>
      <c r="AB128" s="64"/>
    </row>
    <row r="129" spans="2:28" s="55" customFormat="1" ht="14.25" hidden="1">
      <c r="B129" s="72"/>
      <c r="C129" s="72"/>
      <c r="D129" s="73"/>
      <c r="E129" s="74"/>
      <c r="F129" s="75"/>
      <c r="G129" s="75"/>
      <c r="H129" s="75"/>
      <c r="I129" s="76"/>
      <c r="J129" s="76"/>
      <c r="K129" s="75"/>
      <c r="L129" s="75"/>
      <c r="M129" s="96"/>
      <c r="N129" s="96"/>
      <c r="O129" s="96"/>
      <c r="R129" s="64"/>
      <c r="S129" s="389"/>
      <c r="T129" s="64"/>
      <c r="U129" s="64"/>
      <c r="V129" s="64"/>
      <c r="W129" s="64"/>
      <c r="X129" s="64"/>
      <c r="Y129" s="64"/>
      <c r="Z129" s="64"/>
      <c r="AA129" s="64"/>
      <c r="AB129" s="64"/>
    </row>
    <row r="130" spans="2:28" s="55" customFormat="1" ht="14.25" hidden="1">
      <c r="B130" s="72"/>
      <c r="C130" s="72"/>
      <c r="D130" s="73"/>
      <c r="E130" s="74"/>
      <c r="F130" s="75"/>
      <c r="G130" s="75"/>
      <c r="H130" s="75"/>
      <c r="I130" s="76"/>
      <c r="J130" s="76"/>
      <c r="K130" s="75"/>
      <c r="L130" s="75"/>
      <c r="M130" s="96"/>
      <c r="N130" s="96"/>
      <c r="O130" s="96"/>
      <c r="R130" s="64"/>
      <c r="S130" s="389"/>
      <c r="T130" s="64"/>
      <c r="U130" s="64"/>
      <c r="V130" s="64"/>
      <c r="W130" s="64"/>
      <c r="X130" s="64"/>
      <c r="Y130" s="64"/>
      <c r="Z130" s="64"/>
      <c r="AA130" s="64"/>
      <c r="AB130" s="64"/>
    </row>
    <row r="131" spans="2:28" s="55" customFormat="1" ht="14.25" hidden="1">
      <c r="B131" s="72"/>
      <c r="C131" s="72"/>
      <c r="D131" s="73"/>
      <c r="E131" s="74"/>
      <c r="F131" s="75"/>
      <c r="G131" s="75"/>
      <c r="H131" s="75"/>
      <c r="I131" s="76"/>
      <c r="J131" s="76"/>
      <c r="K131" s="75"/>
      <c r="L131" s="75"/>
      <c r="M131" s="96"/>
      <c r="N131" s="96"/>
      <c r="O131" s="96"/>
      <c r="R131" s="64"/>
      <c r="S131" s="389"/>
      <c r="T131" s="64"/>
      <c r="U131" s="64"/>
      <c r="V131" s="64"/>
      <c r="W131" s="64"/>
      <c r="X131" s="64"/>
      <c r="Y131" s="64"/>
      <c r="Z131" s="64"/>
      <c r="AA131" s="64"/>
      <c r="AB131" s="64"/>
    </row>
    <row r="132" spans="2:28" s="55" customFormat="1" ht="14.25" hidden="1">
      <c r="B132" s="72"/>
      <c r="C132" s="72"/>
      <c r="D132" s="73"/>
      <c r="E132" s="74"/>
      <c r="F132" s="75"/>
      <c r="G132" s="75"/>
      <c r="H132" s="75"/>
      <c r="I132" s="76"/>
      <c r="J132" s="76"/>
      <c r="K132" s="75"/>
      <c r="L132" s="75"/>
      <c r="M132" s="96"/>
      <c r="N132" s="96"/>
      <c r="O132" s="96"/>
      <c r="R132" s="64"/>
      <c r="S132" s="389"/>
      <c r="T132" s="64"/>
      <c r="U132" s="64"/>
      <c r="V132" s="64"/>
      <c r="W132" s="64"/>
      <c r="X132" s="64"/>
      <c r="Y132" s="64"/>
      <c r="Z132" s="64"/>
      <c r="AA132" s="64"/>
      <c r="AB132" s="64"/>
    </row>
    <row r="133" spans="2:28" s="55" customFormat="1" ht="14.25" hidden="1">
      <c r="B133" s="72"/>
      <c r="C133" s="72"/>
      <c r="D133" s="73"/>
      <c r="E133" s="74"/>
      <c r="F133" s="75"/>
      <c r="G133" s="75"/>
      <c r="H133" s="75"/>
      <c r="I133" s="76"/>
      <c r="J133" s="76"/>
      <c r="K133" s="75"/>
      <c r="L133" s="75"/>
      <c r="M133" s="96"/>
      <c r="N133" s="96"/>
      <c r="O133" s="96"/>
      <c r="R133" s="64"/>
      <c r="S133" s="389"/>
      <c r="T133" s="64"/>
      <c r="U133" s="64"/>
      <c r="V133" s="64"/>
      <c r="W133" s="64"/>
      <c r="X133" s="64"/>
      <c r="Y133" s="64"/>
      <c r="Z133" s="64"/>
      <c r="AA133" s="64"/>
      <c r="AB133" s="64"/>
    </row>
    <row r="134" spans="2:28" s="55" customFormat="1" ht="14.25" hidden="1">
      <c r="B134" s="72"/>
      <c r="C134" s="72"/>
      <c r="D134" s="73"/>
      <c r="E134" s="74"/>
      <c r="F134" s="75"/>
      <c r="G134" s="75"/>
      <c r="H134" s="75"/>
      <c r="I134" s="76"/>
      <c r="J134" s="76"/>
      <c r="K134" s="75"/>
      <c r="L134" s="75"/>
      <c r="M134" s="96"/>
      <c r="N134" s="96"/>
      <c r="O134" s="96"/>
      <c r="R134" s="64"/>
      <c r="S134" s="389"/>
      <c r="T134" s="64"/>
      <c r="U134" s="64"/>
      <c r="V134" s="64"/>
      <c r="W134" s="64"/>
      <c r="X134" s="64"/>
      <c r="Y134" s="64"/>
      <c r="Z134" s="64"/>
      <c r="AA134" s="64"/>
      <c r="AB134" s="64"/>
    </row>
    <row r="135" spans="2:28" s="55" customFormat="1" ht="14.25" hidden="1">
      <c r="B135" s="72"/>
      <c r="C135" s="72"/>
      <c r="D135" s="73"/>
      <c r="E135" s="74"/>
      <c r="F135" s="75"/>
      <c r="G135" s="75"/>
      <c r="H135" s="75"/>
      <c r="I135" s="76"/>
      <c r="J135" s="76"/>
      <c r="K135" s="75"/>
      <c r="L135" s="75"/>
      <c r="M135" s="96"/>
      <c r="N135" s="96"/>
      <c r="O135" s="96"/>
      <c r="R135" s="64"/>
      <c r="S135" s="389"/>
      <c r="T135" s="64"/>
      <c r="U135" s="64"/>
      <c r="V135" s="64"/>
      <c r="W135" s="64"/>
      <c r="X135" s="64"/>
      <c r="Y135" s="64"/>
      <c r="Z135" s="64"/>
      <c r="AA135" s="64"/>
      <c r="AB135" s="64"/>
    </row>
    <row r="136" spans="2:28" s="55" customFormat="1" ht="14.25" hidden="1">
      <c r="B136" s="72"/>
      <c r="C136" s="72"/>
      <c r="D136" s="73"/>
      <c r="E136" s="74"/>
      <c r="F136" s="75"/>
      <c r="G136" s="75"/>
      <c r="H136" s="75"/>
      <c r="I136" s="76"/>
      <c r="J136" s="76"/>
      <c r="K136" s="75"/>
      <c r="L136" s="75"/>
      <c r="M136" s="96"/>
      <c r="N136" s="96"/>
      <c r="O136" s="96"/>
      <c r="R136" s="64"/>
      <c r="S136" s="389"/>
      <c r="T136" s="64"/>
      <c r="U136" s="64"/>
      <c r="V136" s="64"/>
      <c r="W136" s="64"/>
      <c r="X136" s="64"/>
      <c r="Y136" s="64"/>
      <c r="Z136" s="64"/>
      <c r="AA136" s="64"/>
      <c r="AB136" s="64"/>
    </row>
    <row r="137" spans="2:28" s="55" customFormat="1" ht="14.25" hidden="1">
      <c r="B137" s="72"/>
      <c r="C137" s="72"/>
      <c r="D137" s="73"/>
      <c r="E137" s="74"/>
      <c r="F137" s="75"/>
      <c r="G137" s="75"/>
      <c r="H137" s="75"/>
      <c r="I137" s="76"/>
      <c r="J137" s="76"/>
      <c r="K137" s="75"/>
      <c r="L137" s="75"/>
      <c r="M137" s="96"/>
      <c r="N137" s="96"/>
      <c r="O137" s="96"/>
      <c r="R137" s="64"/>
      <c r="S137" s="389"/>
      <c r="T137" s="64"/>
      <c r="U137" s="64"/>
      <c r="V137" s="64"/>
      <c r="W137" s="64"/>
      <c r="X137" s="64"/>
      <c r="Y137" s="64"/>
      <c r="Z137" s="64"/>
      <c r="AA137" s="64"/>
      <c r="AB137" s="64"/>
    </row>
    <row r="138" spans="2:28" s="55" customFormat="1" ht="14.25" hidden="1">
      <c r="B138" s="72"/>
      <c r="C138" s="72"/>
      <c r="D138" s="73"/>
      <c r="E138" s="74"/>
      <c r="F138" s="75"/>
      <c r="G138" s="75"/>
      <c r="H138" s="75"/>
      <c r="I138" s="76"/>
      <c r="J138" s="76"/>
      <c r="K138" s="75"/>
      <c r="L138" s="75"/>
      <c r="M138" s="96"/>
      <c r="N138" s="96"/>
      <c r="O138" s="96"/>
      <c r="R138" s="64"/>
      <c r="S138" s="389"/>
      <c r="T138" s="64"/>
      <c r="U138" s="64"/>
      <c r="V138" s="64"/>
      <c r="W138" s="64"/>
      <c r="X138" s="64"/>
      <c r="Y138" s="64"/>
      <c r="Z138" s="64"/>
      <c r="AA138" s="64"/>
      <c r="AB138" s="64"/>
    </row>
    <row r="139" spans="2:28" s="55" customFormat="1" ht="14.25" hidden="1">
      <c r="B139" s="72"/>
      <c r="C139" s="72"/>
      <c r="D139" s="73"/>
      <c r="E139" s="74"/>
      <c r="F139" s="75"/>
      <c r="G139" s="75"/>
      <c r="H139" s="75"/>
      <c r="I139" s="76"/>
      <c r="J139" s="76"/>
      <c r="K139" s="75"/>
      <c r="L139" s="75"/>
      <c r="M139" s="96"/>
      <c r="N139" s="96"/>
      <c r="O139" s="96"/>
      <c r="R139" s="64"/>
      <c r="S139" s="389"/>
      <c r="T139" s="64"/>
      <c r="U139" s="64"/>
      <c r="V139" s="64"/>
      <c r="W139" s="64"/>
      <c r="X139" s="64"/>
      <c r="Y139" s="64"/>
      <c r="Z139" s="64"/>
      <c r="AA139" s="64"/>
      <c r="AB139" s="64"/>
    </row>
    <row r="140" spans="2:28" s="55" customFormat="1" ht="14.25" hidden="1">
      <c r="B140" s="72"/>
      <c r="C140" s="72"/>
      <c r="D140" s="73"/>
      <c r="E140" s="74"/>
      <c r="F140" s="75"/>
      <c r="G140" s="75"/>
      <c r="H140" s="75"/>
      <c r="I140" s="76"/>
      <c r="J140" s="76"/>
      <c r="K140" s="75"/>
      <c r="L140" s="75"/>
      <c r="M140" s="96"/>
      <c r="N140" s="96"/>
      <c r="O140" s="96"/>
      <c r="R140" s="64"/>
      <c r="S140" s="389"/>
      <c r="T140" s="64"/>
      <c r="U140" s="64"/>
      <c r="V140" s="64"/>
      <c r="W140" s="64"/>
      <c r="X140" s="64"/>
      <c r="Y140" s="64"/>
      <c r="Z140" s="64"/>
      <c r="AA140" s="64"/>
      <c r="AB140" s="64"/>
    </row>
    <row r="141" spans="2:28" s="55" customFormat="1" ht="14.25" hidden="1">
      <c r="B141" s="72"/>
      <c r="C141" s="72"/>
      <c r="D141" s="73"/>
      <c r="E141" s="74"/>
      <c r="F141" s="75"/>
      <c r="G141" s="75"/>
      <c r="H141" s="75"/>
      <c r="I141" s="76"/>
      <c r="J141" s="76"/>
      <c r="K141" s="75"/>
      <c r="L141" s="75"/>
      <c r="M141" s="96"/>
      <c r="N141" s="96"/>
      <c r="O141" s="96"/>
      <c r="R141" s="64"/>
      <c r="S141" s="389"/>
      <c r="T141" s="64"/>
      <c r="U141" s="64"/>
      <c r="V141" s="64"/>
      <c r="W141" s="64"/>
      <c r="X141" s="64"/>
      <c r="Y141" s="64"/>
      <c r="Z141" s="64"/>
      <c r="AA141" s="64"/>
      <c r="AB141" s="64"/>
    </row>
    <row r="142" spans="2:28" s="55" customFormat="1" ht="14.25" hidden="1">
      <c r="B142" s="72"/>
      <c r="C142" s="72"/>
      <c r="D142" s="73"/>
      <c r="E142" s="74"/>
      <c r="F142" s="75"/>
      <c r="G142" s="75"/>
      <c r="H142" s="75"/>
      <c r="I142" s="76"/>
      <c r="J142" s="76"/>
      <c r="K142" s="75"/>
      <c r="L142" s="75"/>
      <c r="M142" s="96"/>
      <c r="N142" s="96"/>
      <c r="O142" s="96"/>
      <c r="R142" s="64"/>
      <c r="S142" s="389"/>
      <c r="T142" s="64"/>
      <c r="U142" s="64"/>
      <c r="V142" s="64"/>
      <c r="W142" s="64"/>
      <c r="X142" s="64"/>
      <c r="Y142" s="64"/>
      <c r="Z142" s="64"/>
      <c r="AA142" s="64"/>
      <c r="AB142" s="64"/>
    </row>
    <row r="143" spans="2:28" s="55" customFormat="1" ht="14.25" hidden="1">
      <c r="B143" s="72"/>
      <c r="C143" s="72"/>
      <c r="D143" s="73"/>
      <c r="E143" s="74"/>
      <c r="F143" s="75"/>
      <c r="G143" s="75"/>
      <c r="H143" s="75"/>
      <c r="I143" s="76"/>
      <c r="J143" s="76"/>
      <c r="K143" s="75"/>
      <c r="L143" s="75"/>
      <c r="M143" s="96"/>
      <c r="N143" s="96"/>
      <c r="O143" s="96"/>
      <c r="R143" s="64"/>
      <c r="S143" s="389"/>
      <c r="T143" s="64"/>
      <c r="U143" s="64"/>
      <c r="V143" s="64"/>
      <c r="W143" s="64"/>
      <c r="X143" s="64"/>
      <c r="Y143" s="64"/>
      <c r="Z143" s="64"/>
      <c r="AA143" s="64"/>
      <c r="AB143" s="64"/>
    </row>
    <row r="144" spans="2:28" s="55" customFormat="1" ht="14.25" hidden="1">
      <c r="B144" s="72"/>
      <c r="C144" s="72"/>
      <c r="D144" s="73"/>
      <c r="E144" s="74"/>
      <c r="F144" s="75"/>
      <c r="G144" s="75"/>
      <c r="H144" s="75"/>
      <c r="I144" s="76"/>
      <c r="J144" s="76"/>
      <c r="K144" s="75"/>
      <c r="L144" s="75"/>
      <c r="M144" s="96"/>
      <c r="N144" s="96"/>
      <c r="O144" s="96"/>
      <c r="R144" s="64"/>
      <c r="S144" s="389"/>
      <c r="T144" s="64"/>
      <c r="U144" s="64"/>
      <c r="V144" s="64"/>
      <c r="W144" s="64"/>
      <c r="X144" s="64"/>
      <c r="Y144" s="64"/>
      <c r="Z144" s="64"/>
      <c r="AA144" s="64"/>
      <c r="AB144" s="64"/>
    </row>
    <row r="145" spans="2:28" s="55" customFormat="1" ht="14.25" hidden="1">
      <c r="B145" s="72"/>
      <c r="C145" s="72"/>
      <c r="D145" s="73"/>
      <c r="E145" s="74"/>
      <c r="F145" s="75"/>
      <c r="G145" s="75"/>
      <c r="H145" s="75"/>
      <c r="I145" s="76"/>
      <c r="J145" s="76"/>
      <c r="K145" s="75"/>
      <c r="L145" s="75"/>
      <c r="M145" s="96"/>
      <c r="N145" s="96"/>
      <c r="O145" s="96"/>
      <c r="R145" s="64"/>
      <c r="S145" s="389"/>
      <c r="T145" s="64"/>
      <c r="U145" s="64"/>
      <c r="V145" s="64"/>
      <c r="W145" s="64"/>
      <c r="X145" s="64"/>
      <c r="Y145" s="64"/>
      <c r="Z145" s="64"/>
      <c r="AA145" s="64"/>
      <c r="AB145" s="64"/>
    </row>
    <row r="146" spans="2:28" s="55" customFormat="1" ht="14.25" hidden="1">
      <c r="B146" s="72"/>
      <c r="C146" s="72"/>
      <c r="D146" s="73"/>
      <c r="E146" s="74"/>
      <c r="F146" s="75"/>
      <c r="G146" s="75"/>
      <c r="H146" s="75"/>
      <c r="I146" s="76"/>
      <c r="J146" s="76"/>
      <c r="K146" s="75"/>
      <c r="L146" s="75"/>
      <c r="M146" s="96"/>
      <c r="N146" s="96"/>
      <c r="O146" s="96"/>
      <c r="R146" s="64"/>
      <c r="S146" s="389"/>
      <c r="T146" s="64"/>
      <c r="U146" s="64"/>
      <c r="V146" s="64"/>
      <c r="W146" s="64"/>
      <c r="X146" s="64"/>
      <c r="Y146" s="64"/>
      <c r="Z146" s="64"/>
      <c r="AA146" s="64"/>
      <c r="AB146" s="64"/>
    </row>
    <row r="147" spans="2:28" s="55" customFormat="1" ht="14.25" hidden="1">
      <c r="B147" s="72"/>
      <c r="C147" s="72"/>
      <c r="D147" s="73"/>
      <c r="E147" s="74"/>
      <c r="F147" s="75"/>
      <c r="G147" s="75"/>
      <c r="H147" s="75"/>
      <c r="I147" s="76"/>
      <c r="J147" s="76"/>
      <c r="K147" s="75"/>
      <c r="L147" s="75"/>
      <c r="M147" s="96"/>
      <c r="N147" s="96"/>
      <c r="O147" s="96"/>
      <c r="R147" s="64"/>
      <c r="S147" s="389"/>
      <c r="T147" s="64"/>
      <c r="U147" s="64"/>
      <c r="V147" s="64"/>
      <c r="W147" s="64"/>
      <c r="X147" s="64"/>
      <c r="Y147" s="64"/>
      <c r="Z147" s="64"/>
      <c r="AA147" s="64"/>
      <c r="AB147" s="64"/>
    </row>
    <row r="148" spans="2:28" s="55" customFormat="1" ht="14.25" hidden="1">
      <c r="B148" s="72"/>
      <c r="C148" s="72"/>
      <c r="D148" s="73"/>
      <c r="E148" s="74"/>
      <c r="F148" s="75"/>
      <c r="G148" s="75"/>
      <c r="H148" s="75"/>
      <c r="I148" s="76"/>
      <c r="J148" s="76"/>
      <c r="K148" s="75"/>
      <c r="L148" s="75"/>
      <c r="M148" s="96"/>
      <c r="N148" s="96"/>
      <c r="O148" s="96"/>
      <c r="R148" s="64"/>
      <c r="S148" s="389"/>
      <c r="T148" s="64"/>
      <c r="U148" s="64"/>
      <c r="V148" s="64"/>
      <c r="W148" s="64"/>
      <c r="X148" s="64"/>
      <c r="Y148" s="64"/>
      <c r="Z148" s="64"/>
      <c r="AA148" s="64"/>
      <c r="AB148" s="64"/>
    </row>
    <row r="149" spans="2:28" s="55" customFormat="1" ht="14.25" hidden="1">
      <c r="B149" s="72"/>
      <c r="C149" s="72"/>
      <c r="D149" s="73"/>
      <c r="E149" s="74"/>
      <c r="F149" s="75"/>
      <c r="G149" s="75"/>
      <c r="H149" s="75"/>
      <c r="I149" s="76"/>
      <c r="J149" s="76"/>
      <c r="K149" s="75"/>
      <c r="L149" s="75"/>
      <c r="M149" s="96"/>
      <c r="N149" s="96"/>
      <c r="O149" s="96"/>
      <c r="R149" s="64"/>
      <c r="S149" s="389"/>
      <c r="T149" s="64"/>
      <c r="U149" s="64"/>
      <c r="V149" s="64"/>
      <c r="W149" s="64"/>
      <c r="X149" s="64"/>
      <c r="Y149" s="64"/>
      <c r="Z149" s="64"/>
      <c r="AA149" s="64"/>
      <c r="AB149" s="64"/>
    </row>
    <row r="150" spans="2:28" s="55" customFormat="1" ht="14.25" hidden="1">
      <c r="B150" s="72"/>
      <c r="C150" s="72"/>
      <c r="D150" s="73"/>
      <c r="E150" s="74"/>
      <c r="F150" s="75"/>
      <c r="G150" s="75"/>
      <c r="H150" s="75"/>
      <c r="I150" s="76"/>
      <c r="J150" s="76"/>
      <c r="K150" s="75"/>
      <c r="L150" s="75"/>
      <c r="M150" s="96"/>
      <c r="N150" s="96"/>
      <c r="O150" s="96"/>
      <c r="R150" s="64"/>
      <c r="S150" s="389"/>
      <c r="T150" s="64"/>
      <c r="U150" s="64"/>
      <c r="V150" s="64"/>
      <c r="W150" s="64"/>
      <c r="X150" s="64"/>
      <c r="Y150" s="64"/>
      <c r="Z150" s="64"/>
      <c r="AA150" s="64"/>
      <c r="AB150" s="64"/>
    </row>
    <row r="151" spans="2:28" s="55" customFormat="1" ht="14.25" hidden="1">
      <c r="B151" s="72"/>
      <c r="C151" s="72"/>
      <c r="D151" s="73"/>
      <c r="E151" s="74"/>
      <c r="F151" s="75"/>
      <c r="G151" s="75"/>
      <c r="H151" s="75"/>
      <c r="I151" s="76"/>
      <c r="J151" s="76"/>
      <c r="K151" s="75"/>
      <c r="L151" s="75"/>
      <c r="M151" s="96"/>
      <c r="N151" s="96"/>
      <c r="O151" s="96"/>
      <c r="R151" s="64"/>
      <c r="S151" s="389"/>
      <c r="T151" s="64"/>
      <c r="U151" s="64"/>
      <c r="V151" s="64"/>
      <c r="W151" s="64"/>
      <c r="X151" s="64"/>
      <c r="Y151" s="64"/>
      <c r="Z151" s="64"/>
      <c r="AA151" s="64"/>
      <c r="AB151" s="64"/>
    </row>
    <row r="152" spans="2:28" s="55" customFormat="1" ht="14.25" hidden="1">
      <c r="B152" s="72"/>
      <c r="C152" s="72"/>
      <c r="D152" s="73"/>
      <c r="E152" s="74"/>
      <c r="F152" s="75"/>
      <c r="G152" s="75"/>
      <c r="H152" s="75"/>
      <c r="I152" s="76"/>
      <c r="J152" s="76"/>
      <c r="K152" s="75"/>
      <c r="L152" s="75"/>
      <c r="M152" s="96"/>
      <c r="N152" s="96"/>
      <c r="O152" s="96"/>
      <c r="R152" s="64"/>
      <c r="S152" s="389"/>
      <c r="T152" s="64"/>
      <c r="U152" s="64"/>
      <c r="V152" s="64"/>
      <c r="W152" s="64"/>
      <c r="X152" s="64"/>
      <c r="Y152" s="64"/>
      <c r="Z152" s="64"/>
      <c r="AA152" s="64"/>
      <c r="AB152" s="64"/>
    </row>
    <row r="153" spans="2:28" s="55" customFormat="1" ht="14.25" hidden="1">
      <c r="B153" s="72"/>
      <c r="C153" s="72"/>
      <c r="D153" s="73"/>
      <c r="E153" s="74"/>
      <c r="F153" s="75"/>
      <c r="G153" s="75"/>
      <c r="H153" s="75"/>
      <c r="I153" s="76"/>
      <c r="J153" s="76"/>
      <c r="K153" s="75"/>
      <c r="L153" s="75"/>
      <c r="M153" s="96"/>
      <c r="N153" s="96"/>
      <c r="O153" s="96"/>
      <c r="R153" s="64"/>
      <c r="S153" s="389"/>
      <c r="T153" s="64"/>
      <c r="U153" s="64"/>
      <c r="V153" s="64"/>
      <c r="W153" s="64"/>
      <c r="X153" s="64"/>
      <c r="Y153" s="64"/>
      <c r="Z153" s="64"/>
      <c r="AA153" s="64"/>
      <c r="AB153" s="64"/>
    </row>
    <row r="154" spans="2:28" s="55" customFormat="1" ht="14.25" hidden="1">
      <c r="B154" s="72"/>
      <c r="C154" s="72"/>
      <c r="D154" s="73"/>
      <c r="E154" s="74"/>
      <c r="F154" s="75"/>
      <c r="G154" s="75"/>
      <c r="H154" s="75"/>
      <c r="I154" s="76"/>
      <c r="J154" s="76"/>
      <c r="K154" s="75"/>
      <c r="L154" s="75"/>
      <c r="M154" s="96"/>
      <c r="N154" s="96"/>
      <c r="O154" s="96"/>
      <c r="R154" s="64"/>
      <c r="S154" s="389"/>
      <c r="T154" s="64"/>
      <c r="U154" s="64"/>
      <c r="V154" s="64"/>
      <c r="W154" s="64"/>
      <c r="X154" s="64"/>
      <c r="Y154" s="64"/>
      <c r="Z154" s="64"/>
      <c r="AA154" s="64"/>
      <c r="AB154" s="64"/>
    </row>
    <row r="155" spans="2:28" s="55" customFormat="1" ht="14.25" hidden="1">
      <c r="B155" s="72"/>
      <c r="C155" s="72"/>
      <c r="D155" s="73"/>
      <c r="E155" s="74"/>
      <c r="F155" s="75"/>
      <c r="G155" s="75"/>
      <c r="H155" s="75"/>
      <c r="I155" s="76"/>
      <c r="J155" s="76"/>
      <c r="K155" s="75"/>
      <c r="L155" s="75"/>
      <c r="M155" s="96"/>
      <c r="N155" s="96"/>
      <c r="O155" s="96"/>
      <c r="R155" s="64"/>
      <c r="S155" s="389"/>
      <c r="T155" s="64"/>
      <c r="U155" s="64"/>
      <c r="V155" s="64"/>
      <c r="W155" s="64"/>
      <c r="X155" s="64"/>
      <c r="Y155" s="64"/>
      <c r="Z155" s="64"/>
      <c r="AA155" s="64"/>
      <c r="AB155" s="64"/>
    </row>
    <row r="156" spans="2:28" s="55" customFormat="1" ht="14.25" hidden="1">
      <c r="B156" s="72"/>
      <c r="C156" s="72"/>
      <c r="D156" s="73"/>
      <c r="E156" s="74"/>
      <c r="F156" s="75"/>
      <c r="G156" s="75"/>
      <c r="H156" s="75"/>
      <c r="I156" s="76"/>
      <c r="J156" s="76"/>
      <c r="K156" s="75"/>
      <c r="L156" s="75"/>
      <c r="M156" s="96"/>
      <c r="N156" s="96"/>
      <c r="O156" s="96"/>
      <c r="R156" s="64"/>
      <c r="S156" s="389"/>
      <c r="T156" s="64"/>
      <c r="U156" s="64"/>
      <c r="V156" s="64"/>
      <c r="W156" s="64"/>
      <c r="X156" s="64"/>
      <c r="Y156" s="64"/>
      <c r="Z156" s="64"/>
      <c r="AA156" s="64"/>
      <c r="AB156" s="64"/>
    </row>
    <row r="157" spans="2:28" s="55" customFormat="1" ht="14.25" hidden="1">
      <c r="B157" s="72"/>
      <c r="C157" s="72"/>
      <c r="D157" s="73"/>
      <c r="E157" s="74"/>
      <c r="F157" s="75"/>
      <c r="G157" s="75"/>
      <c r="H157" s="75"/>
      <c r="I157" s="76"/>
      <c r="J157" s="76"/>
      <c r="K157" s="75"/>
      <c r="L157" s="75"/>
      <c r="M157" s="96"/>
      <c r="N157" s="96"/>
      <c r="O157" s="96"/>
      <c r="R157" s="64"/>
      <c r="S157" s="389"/>
      <c r="T157" s="64"/>
      <c r="U157" s="64"/>
      <c r="V157" s="64"/>
      <c r="W157" s="64"/>
      <c r="X157" s="64"/>
      <c r="Y157" s="64"/>
      <c r="Z157" s="64"/>
      <c r="AA157" s="64"/>
      <c r="AB157" s="64"/>
    </row>
    <row r="158" spans="2:28" s="55" customFormat="1" ht="14.25" hidden="1">
      <c r="B158" s="72"/>
      <c r="C158" s="72"/>
      <c r="D158" s="73"/>
      <c r="E158" s="74"/>
      <c r="F158" s="75"/>
      <c r="G158" s="75"/>
      <c r="H158" s="75"/>
      <c r="I158" s="76"/>
      <c r="J158" s="76"/>
      <c r="K158" s="75"/>
      <c r="L158" s="75"/>
      <c r="M158" s="96"/>
      <c r="N158" s="96"/>
      <c r="O158" s="96"/>
      <c r="R158" s="64"/>
      <c r="S158" s="389"/>
      <c r="T158" s="64"/>
      <c r="U158" s="64"/>
      <c r="V158" s="64"/>
      <c r="W158" s="64"/>
      <c r="X158" s="64"/>
      <c r="Y158" s="64"/>
      <c r="Z158" s="64"/>
      <c r="AA158" s="64"/>
      <c r="AB158" s="64"/>
    </row>
    <row r="159" spans="2:28" s="55" customFormat="1" ht="14.25" hidden="1">
      <c r="B159" s="72"/>
      <c r="C159" s="72"/>
      <c r="D159" s="73"/>
      <c r="E159" s="74"/>
      <c r="F159" s="75"/>
      <c r="G159" s="75"/>
      <c r="H159" s="75"/>
      <c r="I159" s="76"/>
      <c r="J159" s="76"/>
      <c r="K159" s="75"/>
      <c r="L159" s="75"/>
      <c r="M159" s="96"/>
      <c r="N159" s="96"/>
      <c r="O159" s="96"/>
      <c r="R159" s="64"/>
      <c r="S159" s="389"/>
      <c r="T159" s="64"/>
      <c r="U159" s="64"/>
      <c r="V159" s="64"/>
      <c r="W159" s="64"/>
      <c r="X159" s="64"/>
      <c r="Y159" s="64"/>
      <c r="Z159" s="64"/>
      <c r="AA159" s="64"/>
      <c r="AB159" s="64"/>
    </row>
    <row r="160" spans="2:28" s="55" customFormat="1" ht="14.25" hidden="1">
      <c r="B160" s="72"/>
      <c r="C160" s="72"/>
      <c r="D160" s="73"/>
      <c r="E160" s="74"/>
      <c r="F160" s="75"/>
      <c r="G160" s="75"/>
      <c r="H160" s="75"/>
      <c r="I160" s="76"/>
      <c r="J160" s="76"/>
      <c r="K160" s="75"/>
      <c r="L160" s="75"/>
      <c r="M160" s="96"/>
      <c r="N160" s="96"/>
      <c r="O160" s="96"/>
      <c r="R160" s="64"/>
      <c r="S160" s="389"/>
      <c r="T160" s="64"/>
      <c r="U160" s="64"/>
      <c r="V160" s="64"/>
      <c r="W160" s="64"/>
      <c r="X160" s="64"/>
      <c r="Y160" s="64"/>
      <c r="Z160" s="64"/>
      <c r="AA160" s="64"/>
      <c r="AB160" s="64"/>
    </row>
    <row r="161" spans="2:28" s="55" customFormat="1" ht="14.25" hidden="1">
      <c r="B161" s="72"/>
      <c r="C161" s="72"/>
      <c r="D161" s="73"/>
      <c r="E161" s="74"/>
      <c r="F161" s="75"/>
      <c r="G161" s="75"/>
      <c r="H161" s="75"/>
      <c r="I161" s="76"/>
      <c r="J161" s="76"/>
      <c r="K161" s="75"/>
      <c r="L161" s="75"/>
      <c r="M161" s="96"/>
      <c r="N161" s="96"/>
      <c r="O161" s="96"/>
      <c r="R161" s="64"/>
      <c r="S161" s="389"/>
      <c r="T161" s="64"/>
      <c r="U161" s="64"/>
      <c r="V161" s="64"/>
      <c r="W161" s="64"/>
      <c r="X161" s="64"/>
      <c r="Y161" s="64"/>
      <c r="Z161" s="64"/>
      <c r="AA161" s="64"/>
      <c r="AB161" s="64"/>
    </row>
    <row r="162" spans="2:28" s="55" customFormat="1" ht="14.25" hidden="1">
      <c r="B162" s="72"/>
      <c r="C162" s="72"/>
      <c r="D162" s="73"/>
      <c r="E162" s="74"/>
      <c r="F162" s="75"/>
      <c r="G162" s="75"/>
      <c r="H162" s="75"/>
      <c r="I162" s="76"/>
      <c r="J162" s="76"/>
      <c r="K162" s="75"/>
      <c r="L162" s="75"/>
      <c r="M162" s="96"/>
      <c r="N162" s="96"/>
      <c r="O162" s="96"/>
      <c r="R162" s="64"/>
      <c r="S162" s="389"/>
      <c r="T162" s="64"/>
      <c r="U162" s="64"/>
      <c r="V162" s="64"/>
      <c r="W162" s="64"/>
      <c r="X162" s="64"/>
      <c r="Y162" s="64"/>
      <c r="Z162" s="64"/>
      <c r="AA162" s="64"/>
      <c r="AB162" s="64"/>
    </row>
    <row r="163" spans="2:28" s="55" customFormat="1" ht="14.25" hidden="1">
      <c r="B163" s="72"/>
      <c r="C163" s="72"/>
      <c r="D163" s="73"/>
      <c r="E163" s="74"/>
      <c r="F163" s="75"/>
      <c r="G163" s="75"/>
      <c r="H163" s="75"/>
      <c r="I163" s="76"/>
      <c r="J163" s="76"/>
      <c r="K163" s="75"/>
      <c r="L163" s="75"/>
      <c r="M163" s="96"/>
      <c r="N163" s="96"/>
      <c r="O163" s="96"/>
      <c r="R163" s="64"/>
      <c r="S163" s="389"/>
      <c r="T163" s="64"/>
      <c r="U163" s="64"/>
      <c r="V163" s="64"/>
      <c r="W163" s="64"/>
      <c r="X163" s="64"/>
      <c r="Y163" s="64"/>
      <c r="Z163" s="64"/>
      <c r="AA163" s="64"/>
      <c r="AB163" s="64"/>
    </row>
    <row r="164" spans="2:28" s="55" customFormat="1" ht="14.25" hidden="1">
      <c r="B164" s="72"/>
      <c r="C164" s="72"/>
      <c r="D164" s="73"/>
      <c r="E164" s="74"/>
      <c r="F164" s="75"/>
      <c r="G164" s="75"/>
      <c r="H164" s="75"/>
      <c r="I164" s="76"/>
      <c r="J164" s="76"/>
      <c r="K164" s="75"/>
      <c r="L164" s="75"/>
      <c r="M164" s="96"/>
      <c r="N164" s="96"/>
      <c r="O164" s="96"/>
      <c r="R164" s="64"/>
      <c r="S164" s="389"/>
      <c r="T164" s="64"/>
      <c r="U164" s="64"/>
      <c r="V164" s="64"/>
      <c r="W164" s="64"/>
      <c r="X164" s="64"/>
      <c r="Y164" s="64"/>
      <c r="Z164" s="64"/>
      <c r="AA164" s="64"/>
      <c r="AB164" s="64"/>
    </row>
    <row r="165" spans="2:28" s="55" customFormat="1" ht="14.25" hidden="1">
      <c r="B165" s="72"/>
      <c r="C165" s="72"/>
      <c r="D165" s="73"/>
      <c r="E165" s="74"/>
      <c r="F165" s="75"/>
      <c r="G165" s="75"/>
      <c r="H165" s="75"/>
      <c r="I165" s="76"/>
      <c r="J165" s="76"/>
      <c r="K165" s="75"/>
      <c r="L165" s="75"/>
      <c r="M165" s="96"/>
      <c r="N165" s="96"/>
      <c r="O165" s="96"/>
      <c r="R165" s="64"/>
      <c r="S165" s="389"/>
      <c r="T165" s="64"/>
      <c r="U165" s="64"/>
      <c r="V165" s="64"/>
      <c r="W165" s="64"/>
      <c r="X165" s="64"/>
      <c r="Y165" s="64"/>
      <c r="Z165" s="64"/>
      <c r="AA165" s="64"/>
      <c r="AB165" s="64"/>
    </row>
    <row r="166" spans="2:28" s="55" customFormat="1" ht="14.25" hidden="1">
      <c r="B166" s="72"/>
      <c r="C166" s="72"/>
      <c r="D166" s="73"/>
      <c r="E166" s="74"/>
      <c r="F166" s="75"/>
      <c r="G166" s="75"/>
      <c r="H166" s="75"/>
      <c r="I166" s="76"/>
      <c r="J166" s="76"/>
      <c r="K166" s="75"/>
      <c r="L166" s="75"/>
      <c r="M166" s="96"/>
      <c r="N166" s="96"/>
      <c r="O166" s="96"/>
      <c r="R166" s="64"/>
      <c r="S166" s="389"/>
      <c r="T166" s="64"/>
      <c r="U166" s="64"/>
      <c r="V166" s="64"/>
      <c r="W166" s="64"/>
      <c r="X166" s="64"/>
      <c r="Y166" s="64"/>
      <c r="Z166" s="64"/>
      <c r="AA166" s="64"/>
      <c r="AB166" s="64"/>
    </row>
    <row r="167" spans="2:28" s="55" customFormat="1" ht="14.25" hidden="1">
      <c r="B167" s="72"/>
      <c r="C167" s="72"/>
      <c r="D167" s="73"/>
      <c r="E167" s="74"/>
      <c r="F167" s="75"/>
      <c r="G167" s="75"/>
      <c r="H167" s="75"/>
      <c r="I167" s="76"/>
      <c r="J167" s="76"/>
      <c r="K167" s="75"/>
      <c r="L167" s="75"/>
      <c r="M167" s="96"/>
      <c r="N167" s="96"/>
      <c r="O167" s="96"/>
      <c r="R167" s="64"/>
      <c r="S167" s="389"/>
      <c r="T167" s="64"/>
      <c r="U167" s="64"/>
      <c r="V167" s="64"/>
      <c r="W167" s="64"/>
      <c r="X167" s="64"/>
      <c r="Y167" s="64"/>
      <c r="Z167" s="64"/>
      <c r="AA167" s="64"/>
      <c r="AB167" s="64"/>
    </row>
    <row r="168" spans="2:28" s="55" customFormat="1" ht="14.25" hidden="1">
      <c r="B168" s="72"/>
      <c r="C168" s="72"/>
      <c r="D168" s="73"/>
      <c r="E168" s="74"/>
      <c r="F168" s="75"/>
      <c r="G168" s="75"/>
      <c r="H168" s="75"/>
      <c r="I168" s="76"/>
      <c r="J168" s="76"/>
      <c r="K168" s="75"/>
      <c r="L168" s="75"/>
      <c r="M168" s="96"/>
      <c r="N168" s="96"/>
      <c r="O168" s="96"/>
      <c r="R168" s="64"/>
      <c r="S168" s="389"/>
      <c r="T168" s="64"/>
      <c r="U168" s="64"/>
      <c r="V168" s="64"/>
      <c r="W168" s="64"/>
      <c r="X168" s="64"/>
      <c r="Y168" s="64"/>
      <c r="Z168" s="64"/>
      <c r="AA168" s="64"/>
      <c r="AB168" s="64"/>
    </row>
    <row r="169" spans="2:28" s="55" customFormat="1" ht="14.25" hidden="1">
      <c r="B169" s="72"/>
      <c r="C169" s="72"/>
      <c r="D169" s="73"/>
      <c r="E169" s="74"/>
      <c r="F169" s="75"/>
      <c r="G169" s="75"/>
      <c r="H169" s="75"/>
      <c r="I169" s="76"/>
      <c r="J169" s="76"/>
      <c r="K169" s="75"/>
      <c r="L169" s="75"/>
      <c r="M169" s="96"/>
      <c r="N169" s="96"/>
      <c r="O169" s="96"/>
      <c r="R169" s="64"/>
      <c r="S169" s="389"/>
      <c r="T169" s="64"/>
      <c r="U169" s="64"/>
      <c r="V169" s="64"/>
      <c r="W169" s="64"/>
      <c r="X169" s="64"/>
      <c r="Y169" s="64"/>
      <c r="Z169" s="64"/>
      <c r="AA169" s="64"/>
      <c r="AB169" s="64"/>
    </row>
    <row r="170" spans="2:28" s="55" customFormat="1" ht="14.25" hidden="1">
      <c r="B170" s="72"/>
      <c r="C170" s="72"/>
      <c r="D170" s="73"/>
      <c r="E170" s="74"/>
      <c r="F170" s="75"/>
      <c r="G170" s="75"/>
      <c r="H170" s="75"/>
      <c r="I170" s="76"/>
      <c r="J170" s="76"/>
      <c r="K170" s="75"/>
      <c r="L170" s="75"/>
      <c r="M170" s="96"/>
      <c r="N170" s="96"/>
      <c r="O170" s="96"/>
      <c r="R170" s="64"/>
      <c r="S170" s="389"/>
      <c r="T170" s="64"/>
      <c r="U170" s="64"/>
      <c r="V170" s="64"/>
      <c r="W170" s="64"/>
      <c r="X170" s="64"/>
      <c r="Y170" s="64"/>
      <c r="Z170" s="64"/>
      <c r="AA170" s="64"/>
      <c r="AB170" s="64"/>
    </row>
    <row r="171" spans="2:28" s="55" customFormat="1" ht="14.25" hidden="1">
      <c r="B171" s="72"/>
      <c r="C171" s="72"/>
      <c r="D171" s="73"/>
      <c r="E171" s="74"/>
      <c r="F171" s="75"/>
      <c r="G171" s="75"/>
      <c r="H171" s="75"/>
      <c r="I171" s="76"/>
      <c r="J171" s="76"/>
      <c r="K171" s="75"/>
      <c r="L171" s="75"/>
      <c r="M171" s="96"/>
      <c r="N171" s="96"/>
      <c r="O171" s="96"/>
      <c r="R171" s="64"/>
      <c r="S171" s="389"/>
      <c r="T171" s="64"/>
      <c r="U171" s="64"/>
      <c r="V171" s="64"/>
      <c r="W171" s="64"/>
      <c r="X171" s="64"/>
      <c r="Y171" s="64"/>
      <c r="Z171" s="64"/>
      <c r="AA171" s="64"/>
      <c r="AB171" s="64"/>
    </row>
    <row r="172" spans="2:28" s="55" customFormat="1" ht="14.25" hidden="1">
      <c r="B172" s="72"/>
      <c r="C172" s="72"/>
      <c r="D172" s="73"/>
      <c r="E172" s="74"/>
      <c r="F172" s="75"/>
      <c r="G172" s="75"/>
      <c r="H172" s="75"/>
      <c r="I172" s="76"/>
      <c r="J172" s="76"/>
      <c r="K172" s="75"/>
      <c r="L172" s="75"/>
      <c r="M172" s="96"/>
      <c r="N172" s="96"/>
      <c r="O172" s="96"/>
      <c r="R172" s="64"/>
      <c r="S172" s="389"/>
      <c r="T172" s="64"/>
      <c r="U172" s="64"/>
      <c r="V172" s="64"/>
      <c r="W172" s="64"/>
      <c r="X172" s="64"/>
      <c r="Y172" s="64"/>
      <c r="Z172" s="64"/>
      <c r="AA172" s="64"/>
      <c r="AB172" s="64"/>
    </row>
    <row r="173" spans="2:28" s="55" customFormat="1" ht="14.25" hidden="1">
      <c r="B173" s="72"/>
      <c r="C173" s="72"/>
      <c r="D173" s="73"/>
      <c r="E173" s="74"/>
      <c r="F173" s="75"/>
      <c r="G173" s="75"/>
      <c r="H173" s="75"/>
      <c r="I173" s="76"/>
      <c r="J173" s="76"/>
      <c r="K173" s="75"/>
      <c r="L173" s="75"/>
      <c r="M173" s="96"/>
      <c r="N173" s="96"/>
      <c r="O173" s="96"/>
      <c r="R173" s="64"/>
      <c r="S173" s="389"/>
      <c r="T173" s="64"/>
      <c r="U173" s="64"/>
      <c r="V173" s="64"/>
      <c r="W173" s="64"/>
      <c r="X173" s="64"/>
      <c r="Y173" s="64"/>
      <c r="Z173" s="64"/>
      <c r="AA173" s="64"/>
      <c r="AB173" s="64"/>
    </row>
    <row r="174" spans="2:28" s="55" customFormat="1" ht="14.25" hidden="1">
      <c r="B174" s="72"/>
      <c r="C174" s="72"/>
      <c r="D174" s="73"/>
      <c r="E174" s="74"/>
      <c r="F174" s="75"/>
      <c r="G174" s="75"/>
      <c r="H174" s="75"/>
      <c r="I174" s="76"/>
      <c r="J174" s="76"/>
      <c r="K174" s="75"/>
      <c r="L174" s="75"/>
      <c r="M174" s="96"/>
      <c r="N174" s="96"/>
      <c r="O174" s="96"/>
      <c r="R174" s="64"/>
      <c r="S174" s="389"/>
      <c r="T174" s="64"/>
      <c r="U174" s="64"/>
      <c r="V174" s="64"/>
      <c r="W174" s="64"/>
      <c r="X174" s="64"/>
      <c r="Y174" s="64"/>
      <c r="Z174" s="64"/>
      <c r="AA174" s="64"/>
      <c r="AB174" s="64"/>
    </row>
    <row r="175" spans="2:28" s="55" customFormat="1" ht="14.25" hidden="1">
      <c r="B175" s="72"/>
      <c r="C175" s="72"/>
      <c r="D175" s="73"/>
      <c r="E175" s="74"/>
      <c r="F175" s="75"/>
      <c r="G175" s="75"/>
      <c r="H175" s="75"/>
      <c r="I175" s="76"/>
      <c r="J175" s="76"/>
      <c r="K175" s="75"/>
      <c r="L175" s="75"/>
      <c r="M175" s="96"/>
      <c r="N175" s="96"/>
      <c r="O175" s="96"/>
      <c r="R175" s="64"/>
      <c r="S175" s="389"/>
      <c r="T175" s="64"/>
      <c r="U175" s="64"/>
      <c r="V175" s="64"/>
      <c r="W175" s="64"/>
      <c r="X175" s="64"/>
      <c r="Y175" s="64"/>
      <c r="Z175" s="64"/>
      <c r="AA175" s="64"/>
      <c r="AB175" s="64"/>
    </row>
    <row r="176" spans="2:28" s="55" customFormat="1" ht="14.25" hidden="1">
      <c r="B176" s="72"/>
      <c r="C176" s="72"/>
      <c r="D176" s="73"/>
      <c r="E176" s="74"/>
      <c r="F176" s="75"/>
      <c r="G176" s="75"/>
      <c r="H176" s="75"/>
      <c r="I176" s="76"/>
      <c r="J176" s="76"/>
      <c r="K176" s="75"/>
      <c r="L176" s="75"/>
      <c r="M176" s="96"/>
      <c r="N176" s="96"/>
      <c r="O176" s="96"/>
      <c r="R176" s="64"/>
      <c r="S176" s="389"/>
      <c r="T176" s="64"/>
      <c r="U176" s="64"/>
      <c r="V176" s="64"/>
      <c r="W176" s="64"/>
      <c r="X176" s="64"/>
      <c r="Y176" s="64"/>
      <c r="Z176" s="64"/>
      <c r="AA176" s="64"/>
      <c r="AB176" s="64"/>
    </row>
    <row r="177" spans="2:28" s="55" customFormat="1" ht="14.25" hidden="1">
      <c r="B177" s="72"/>
      <c r="C177" s="72"/>
      <c r="D177" s="73"/>
      <c r="E177" s="74"/>
      <c r="F177" s="75"/>
      <c r="G177" s="75"/>
      <c r="H177" s="75"/>
      <c r="I177" s="76"/>
      <c r="J177" s="76"/>
      <c r="K177" s="75"/>
      <c r="L177" s="75"/>
      <c r="M177" s="96"/>
      <c r="N177" s="96"/>
      <c r="O177" s="96"/>
      <c r="R177" s="64"/>
      <c r="S177" s="389"/>
      <c r="T177" s="64"/>
      <c r="U177" s="64"/>
      <c r="V177" s="64"/>
      <c r="W177" s="64"/>
      <c r="X177" s="64"/>
      <c r="Y177" s="64"/>
      <c r="Z177" s="64"/>
      <c r="AA177" s="64"/>
      <c r="AB177" s="64"/>
    </row>
    <row r="178" spans="2:28" s="55" customFormat="1" ht="14.25" hidden="1">
      <c r="B178" s="72"/>
      <c r="C178" s="72"/>
      <c r="D178" s="73"/>
      <c r="E178" s="74"/>
      <c r="F178" s="75"/>
      <c r="G178" s="75"/>
      <c r="H178" s="75"/>
      <c r="I178" s="76"/>
      <c r="J178" s="76"/>
      <c r="K178" s="75"/>
      <c r="L178" s="75"/>
      <c r="M178" s="96"/>
      <c r="N178" s="96"/>
      <c r="O178" s="96"/>
      <c r="R178" s="64"/>
      <c r="S178" s="389"/>
      <c r="T178" s="64"/>
      <c r="U178" s="64"/>
      <c r="V178" s="64"/>
      <c r="W178" s="64"/>
      <c r="X178" s="64"/>
      <c r="Y178" s="64"/>
      <c r="Z178" s="64"/>
      <c r="AA178" s="64"/>
      <c r="AB178" s="64"/>
    </row>
    <row r="179" spans="2:28" s="55" customFormat="1" ht="14.25" hidden="1">
      <c r="B179" s="72"/>
      <c r="C179" s="72"/>
      <c r="D179" s="73"/>
      <c r="E179" s="74"/>
      <c r="F179" s="75"/>
      <c r="G179" s="75"/>
      <c r="H179" s="75"/>
      <c r="I179" s="76"/>
      <c r="J179" s="76"/>
      <c r="K179" s="75"/>
      <c r="L179" s="75"/>
      <c r="M179" s="96"/>
      <c r="N179" s="96"/>
      <c r="O179" s="96"/>
      <c r="R179" s="64"/>
      <c r="S179" s="389"/>
      <c r="T179" s="64"/>
      <c r="U179" s="64"/>
      <c r="V179" s="64"/>
      <c r="W179" s="64"/>
      <c r="X179" s="64"/>
      <c r="Y179" s="64"/>
      <c r="Z179" s="64"/>
      <c r="AA179" s="64"/>
      <c r="AB179" s="64"/>
    </row>
    <row r="180" spans="2:28" s="55" customFormat="1" ht="14.25" hidden="1">
      <c r="B180" s="72"/>
      <c r="C180" s="72"/>
      <c r="D180" s="73"/>
      <c r="E180" s="74"/>
      <c r="F180" s="75"/>
      <c r="G180" s="75"/>
      <c r="H180" s="75"/>
      <c r="I180" s="76"/>
      <c r="J180" s="76"/>
      <c r="K180" s="75"/>
      <c r="L180" s="75"/>
      <c r="M180" s="96"/>
      <c r="N180" s="96"/>
      <c r="O180" s="96"/>
      <c r="R180" s="64"/>
      <c r="S180" s="389"/>
      <c r="T180" s="64"/>
      <c r="U180" s="64"/>
      <c r="V180" s="64"/>
      <c r="W180" s="64"/>
      <c r="X180" s="64"/>
      <c r="Y180" s="64"/>
      <c r="Z180" s="64"/>
      <c r="AA180" s="64"/>
      <c r="AB180" s="64"/>
    </row>
    <row r="181" spans="2:28" s="55" customFormat="1" ht="14.25" hidden="1">
      <c r="B181" s="72"/>
      <c r="C181" s="72"/>
      <c r="D181" s="73"/>
      <c r="E181" s="74"/>
      <c r="F181" s="75"/>
      <c r="G181" s="75"/>
      <c r="H181" s="75"/>
      <c r="I181" s="76"/>
      <c r="J181" s="76"/>
      <c r="K181" s="75"/>
      <c r="L181" s="75"/>
      <c r="M181" s="96"/>
      <c r="N181" s="96"/>
      <c r="O181" s="96"/>
      <c r="R181" s="64"/>
      <c r="S181" s="389"/>
      <c r="T181" s="64"/>
      <c r="U181" s="64"/>
      <c r="V181" s="64"/>
      <c r="W181" s="64"/>
      <c r="X181" s="64"/>
      <c r="Y181" s="64"/>
      <c r="Z181" s="64"/>
      <c r="AA181" s="64"/>
      <c r="AB181" s="64"/>
    </row>
    <row r="182" spans="2:28" s="55" customFormat="1" ht="14.25" hidden="1">
      <c r="B182" s="72"/>
      <c r="C182" s="72"/>
      <c r="D182" s="73"/>
      <c r="E182" s="74"/>
      <c r="F182" s="75"/>
      <c r="G182" s="75"/>
      <c r="H182" s="75"/>
      <c r="I182" s="76"/>
      <c r="J182" s="76"/>
      <c r="K182" s="75"/>
      <c r="L182" s="75"/>
      <c r="M182" s="96"/>
      <c r="N182" s="96"/>
      <c r="O182" s="96"/>
      <c r="R182" s="64"/>
      <c r="S182" s="389"/>
      <c r="T182" s="64"/>
      <c r="U182" s="64"/>
      <c r="V182" s="64"/>
      <c r="W182" s="64"/>
      <c r="X182" s="64"/>
      <c r="Y182" s="64"/>
      <c r="Z182" s="64"/>
      <c r="AA182" s="64"/>
      <c r="AB182" s="64"/>
    </row>
    <row r="183" spans="2:28" s="55" customFormat="1" ht="14.25" hidden="1">
      <c r="B183" s="72"/>
      <c r="C183" s="72"/>
      <c r="D183" s="73"/>
      <c r="E183" s="74"/>
      <c r="F183" s="75"/>
      <c r="G183" s="75"/>
      <c r="H183" s="75"/>
      <c r="I183" s="76"/>
      <c r="J183" s="76"/>
      <c r="K183" s="75"/>
      <c r="L183" s="75"/>
      <c r="M183" s="96"/>
      <c r="N183" s="96"/>
      <c r="O183" s="96"/>
      <c r="R183" s="64"/>
      <c r="S183" s="389"/>
      <c r="T183" s="64"/>
      <c r="U183" s="64"/>
      <c r="V183" s="64"/>
      <c r="W183" s="64"/>
      <c r="X183" s="64"/>
      <c r="Y183" s="64"/>
      <c r="Z183" s="64"/>
      <c r="AA183" s="64"/>
      <c r="AB183" s="64"/>
    </row>
    <row r="184" spans="2:28" s="55" customFormat="1" ht="14.25" hidden="1">
      <c r="B184" s="72"/>
      <c r="C184" s="72"/>
      <c r="D184" s="73"/>
      <c r="E184" s="74"/>
      <c r="F184" s="75"/>
      <c r="G184" s="75"/>
      <c r="H184" s="75"/>
      <c r="I184" s="76"/>
      <c r="J184" s="76"/>
      <c r="K184" s="75"/>
      <c r="L184" s="75"/>
      <c r="M184" s="96"/>
      <c r="N184" s="96"/>
      <c r="O184" s="96"/>
      <c r="R184" s="64"/>
      <c r="S184" s="389"/>
      <c r="T184" s="64"/>
      <c r="U184" s="64"/>
      <c r="V184" s="64"/>
      <c r="W184" s="64"/>
      <c r="X184" s="64"/>
      <c r="Y184" s="64"/>
      <c r="Z184" s="64"/>
      <c r="AA184" s="64"/>
      <c r="AB184" s="64"/>
    </row>
    <row r="185" spans="2:28" s="55" customFormat="1" ht="14.25" hidden="1">
      <c r="B185" s="72"/>
      <c r="C185" s="72"/>
      <c r="D185" s="73"/>
      <c r="E185" s="74"/>
      <c r="F185" s="75"/>
      <c r="G185" s="75"/>
      <c r="H185" s="75"/>
      <c r="I185" s="76"/>
      <c r="J185" s="76"/>
      <c r="K185" s="75"/>
      <c r="L185" s="75"/>
      <c r="M185" s="96"/>
      <c r="N185" s="96"/>
      <c r="O185" s="96"/>
      <c r="R185" s="64"/>
      <c r="S185" s="389"/>
      <c r="T185" s="64"/>
      <c r="U185" s="64"/>
      <c r="V185" s="64"/>
      <c r="W185" s="64"/>
      <c r="X185" s="64"/>
      <c r="Y185" s="64"/>
      <c r="Z185" s="64"/>
      <c r="AA185" s="64"/>
      <c r="AB185" s="64"/>
    </row>
    <row r="186" spans="2:28" s="55" customFormat="1" ht="14.25" hidden="1">
      <c r="B186" s="72"/>
      <c r="C186" s="72"/>
      <c r="D186" s="73"/>
      <c r="E186" s="74"/>
      <c r="F186" s="75"/>
      <c r="G186" s="75"/>
      <c r="H186" s="75"/>
      <c r="I186" s="76"/>
      <c r="J186" s="76"/>
      <c r="K186" s="75"/>
      <c r="L186" s="75"/>
      <c r="M186" s="96"/>
      <c r="N186" s="96"/>
      <c r="O186" s="96"/>
      <c r="R186" s="64"/>
      <c r="S186" s="389"/>
      <c r="T186" s="64"/>
      <c r="U186" s="64"/>
      <c r="V186" s="64"/>
      <c r="W186" s="64"/>
      <c r="X186" s="64"/>
      <c r="Y186" s="64"/>
      <c r="Z186" s="64"/>
      <c r="AA186" s="64"/>
      <c r="AB186" s="64"/>
    </row>
    <row r="187" spans="2:28" s="55" customFormat="1" ht="14.25" hidden="1">
      <c r="B187" s="72"/>
      <c r="C187" s="72"/>
      <c r="D187" s="73"/>
      <c r="E187" s="74"/>
      <c r="F187" s="75"/>
      <c r="G187" s="75"/>
      <c r="H187" s="75"/>
      <c r="I187" s="76"/>
      <c r="J187" s="76"/>
      <c r="K187" s="75"/>
      <c r="L187" s="75"/>
      <c r="M187" s="96"/>
      <c r="N187" s="96"/>
      <c r="O187" s="96"/>
      <c r="R187" s="64"/>
      <c r="S187" s="389"/>
      <c r="T187" s="64"/>
      <c r="U187" s="64"/>
      <c r="V187" s="64"/>
      <c r="W187" s="64"/>
      <c r="X187" s="64"/>
      <c r="Y187" s="64"/>
      <c r="Z187" s="64"/>
      <c r="AA187" s="64"/>
      <c r="AB187" s="64"/>
    </row>
    <row r="188" spans="2:28" s="55" customFormat="1" ht="14.25" hidden="1">
      <c r="B188" s="72"/>
      <c r="C188" s="72"/>
      <c r="D188" s="73"/>
      <c r="E188" s="74"/>
      <c r="F188" s="75"/>
      <c r="G188" s="75"/>
      <c r="H188" s="75"/>
      <c r="I188" s="76"/>
      <c r="J188" s="76"/>
      <c r="K188" s="75"/>
      <c r="L188" s="75"/>
      <c r="M188" s="96"/>
      <c r="N188" s="96"/>
      <c r="O188" s="96"/>
      <c r="R188" s="64"/>
      <c r="S188" s="389"/>
      <c r="T188" s="64"/>
      <c r="U188" s="64"/>
      <c r="V188" s="64"/>
      <c r="W188" s="64"/>
      <c r="X188" s="64"/>
      <c r="Y188" s="64"/>
      <c r="Z188" s="64"/>
      <c r="AA188" s="64"/>
      <c r="AB188" s="64"/>
    </row>
    <row r="189" spans="2:28" s="55" customFormat="1" ht="14.25" hidden="1">
      <c r="B189" s="72"/>
      <c r="C189" s="72"/>
      <c r="D189" s="73"/>
      <c r="E189" s="74"/>
      <c r="F189" s="75"/>
      <c r="G189" s="75"/>
      <c r="H189" s="75"/>
      <c r="I189" s="76"/>
      <c r="J189" s="76"/>
      <c r="K189" s="75"/>
      <c r="L189" s="75"/>
      <c r="M189" s="96"/>
      <c r="N189" s="96"/>
      <c r="O189" s="96"/>
      <c r="R189" s="64"/>
      <c r="S189" s="389"/>
      <c r="T189" s="64"/>
      <c r="U189" s="64"/>
      <c r="V189" s="64"/>
      <c r="W189" s="64"/>
      <c r="X189" s="64"/>
      <c r="Y189" s="64"/>
      <c r="Z189" s="64"/>
      <c r="AA189" s="64"/>
      <c r="AB189" s="64"/>
    </row>
    <row r="190" spans="2:28" s="55" customFormat="1" ht="14.25" hidden="1">
      <c r="B190" s="72"/>
      <c r="C190" s="72"/>
      <c r="D190" s="73"/>
      <c r="E190" s="74"/>
      <c r="F190" s="75"/>
      <c r="G190" s="75"/>
      <c r="H190" s="75"/>
      <c r="I190" s="76"/>
      <c r="J190" s="76"/>
      <c r="K190" s="75"/>
      <c r="L190" s="75"/>
      <c r="M190" s="96"/>
      <c r="N190" s="96"/>
      <c r="O190" s="96"/>
      <c r="R190" s="64"/>
      <c r="S190" s="389"/>
      <c r="T190" s="64"/>
      <c r="U190" s="64"/>
      <c r="V190" s="64"/>
      <c r="W190" s="64"/>
      <c r="X190" s="64"/>
      <c r="Y190" s="64"/>
      <c r="Z190" s="64"/>
      <c r="AA190" s="64"/>
      <c r="AB190" s="64"/>
    </row>
    <row r="191" spans="2:28" s="55" customFormat="1" ht="14.25" hidden="1">
      <c r="B191" s="72"/>
      <c r="C191" s="72"/>
      <c r="D191" s="73"/>
      <c r="E191" s="74"/>
      <c r="F191" s="75"/>
      <c r="G191" s="75"/>
      <c r="H191" s="75"/>
      <c r="I191" s="76"/>
      <c r="J191" s="76"/>
      <c r="K191" s="75"/>
      <c r="L191" s="75"/>
      <c r="M191" s="96"/>
      <c r="N191" s="96"/>
      <c r="O191" s="96"/>
      <c r="R191" s="64"/>
      <c r="S191" s="389"/>
      <c r="T191" s="64"/>
      <c r="U191" s="64"/>
      <c r="V191" s="64"/>
      <c r="W191" s="64"/>
      <c r="X191" s="64"/>
      <c r="Y191" s="64"/>
      <c r="Z191" s="64"/>
      <c r="AA191" s="64"/>
      <c r="AB191" s="64"/>
    </row>
    <row r="192" spans="2:28" s="55" customFormat="1" ht="14.25" hidden="1">
      <c r="B192" s="72"/>
      <c r="C192" s="72"/>
      <c r="D192" s="73"/>
      <c r="E192" s="74"/>
      <c r="F192" s="75"/>
      <c r="G192" s="75"/>
      <c r="H192" s="75"/>
      <c r="I192" s="76"/>
      <c r="J192" s="76"/>
      <c r="K192" s="75"/>
      <c r="L192" s="75"/>
      <c r="M192" s="96"/>
      <c r="N192" s="96"/>
      <c r="O192" s="96"/>
      <c r="R192" s="64"/>
      <c r="S192" s="389"/>
      <c r="T192" s="64"/>
      <c r="U192" s="64"/>
      <c r="V192" s="64"/>
      <c r="W192" s="64"/>
      <c r="X192" s="64"/>
      <c r="Y192" s="64"/>
      <c r="Z192" s="64"/>
      <c r="AA192" s="64"/>
      <c r="AB192" s="64"/>
    </row>
    <row r="193" spans="2:28" s="55" customFormat="1" ht="14.25" hidden="1">
      <c r="B193" s="72"/>
      <c r="C193" s="72"/>
      <c r="D193" s="73"/>
      <c r="E193" s="74"/>
      <c r="F193" s="75"/>
      <c r="G193" s="75"/>
      <c r="H193" s="75"/>
      <c r="I193" s="76"/>
      <c r="J193" s="76"/>
      <c r="K193" s="75"/>
      <c r="L193" s="75"/>
      <c r="M193" s="96"/>
      <c r="N193" s="96"/>
      <c r="O193" s="96"/>
      <c r="R193" s="64"/>
      <c r="S193" s="389"/>
      <c r="T193" s="64"/>
      <c r="U193" s="64"/>
      <c r="V193" s="64"/>
      <c r="W193" s="64"/>
      <c r="X193" s="64"/>
      <c r="Y193" s="64"/>
      <c r="Z193" s="64"/>
      <c r="AA193" s="64"/>
      <c r="AB193" s="64"/>
    </row>
    <row r="194" spans="2:28" s="55" customFormat="1" ht="14.25" hidden="1">
      <c r="B194" s="72"/>
      <c r="C194" s="72"/>
      <c r="D194" s="73"/>
      <c r="E194" s="74"/>
      <c r="F194" s="75"/>
      <c r="G194" s="75"/>
      <c r="H194" s="75"/>
      <c r="I194" s="76"/>
      <c r="J194" s="76"/>
      <c r="K194" s="75"/>
      <c r="L194" s="75"/>
      <c r="M194" s="96"/>
      <c r="N194" s="96"/>
      <c r="O194" s="96"/>
      <c r="R194" s="64"/>
      <c r="S194" s="389"/>
      <c r="T194" s="64"/>
      <c r="U194" s="64"/>
      <c r="V194" s="64"/>
      <c r="W194" s="64"/>
      <c r="X194" s="64"/>
      <c r="Y194" s="64"/>
      <c r="Z194" s="64"/>
      <c r="AA194" s="64"/>
      <c r="AB194" s="64"/>
    </row>
    <row r="195" spans="2:28" s="55" customFormat="1" ht="14.25" hidden="1" customHeight="1">
      <c r="B195" s="72"/>
      <c r="C195" s="72"/>
      <c r="D195" s="73"/>
      <c r="E195" s="74"/>
      <c r="F195" s="75"/>
      <c r="G195" s="75"/>
      <c r="H195" s="75"/>
      <c r="I195" s="76"/>
      <c r="J195" s="76"/>
      <c r="K195" s="75"/>
      <c r="L195" s="75"/>
      <c r="M195" s="96"/>
      <c r="N195" s="96"/>
      <c r="O195" s="96"/>
      <c r="R195" s="64"/>
      <c r="S195" s="389"/>
      <c r="T195" s="64"/>
      <c r="U195" s="64"/>
      <c r="V195" s="64"/>
      <c r="W195" s="64"/>
      <c r="X195" s="64"/>
      <c r="Y195" s="64"/>
      <c r="Z195" s="64"/>
      <c r="AA195" s="64"/>
      <c r="AB195" s="64"/>
    </row>
    <row r="196" spans="2:28" s="55" customFormat="1" ht="14.25" hidden="1" customHeight="1">
      <c r="B196" s="72"/>
      <c r="C196" s="72"/>
      <c r="D196" s="73"/>
      <c r="E196" s="74"/>
      <c r="F196" s="75"/>
      <c r="G196" s="75"/>
      <c r="H196" s="75"/>
      <c r="I196" s="76"/>
      <c r="J196" s="76"/>
      <c r="K196" s="75"/>
      <c r="L196" s="75"/>
      <c r="M196" s="96"/>
      <c r="N196" s="96"/>
      <c r="O196" s="96"/>
      <c r="R196" s="64"/>
      <c r="S196" s="389"/>
      <c r="T196" s="64"/>
      <c r="U196" s="64"/>
      <c r="V196" s="64"/>
      <c r="W196" s="64"/>
      <c r="X196" s="64"/>
      <c r="Y196" s="64"/>
      <c r="Z196" s="64"/>
      <c r="AA196" s="64"/>
      <c r="AB196" s="64"/>
    </row>
    <row r="197" spans="2:28" s="55" customFormat="1" ht="14.25" hidden="1" customHeight="1">
      <c r="B197" s="72"/>
      <c r="C197" s="72"/>
      <c r="D197" s="73"/>
      <c r="E197" s="74"/>
      <c r="F197" s="75"/>
      <c r="G197" s="75"/>
      <c r="H197" s="75"/>
      <c r="I197" s="76"/>
      <c r="J197" s="76"/>
      <c r="K197" s="75"/>
      <c r="L197" s="75"/>
      <c r="M197" s="96"/>
      <c r="N197" s="96"/>
      <c r="O197" s="96"/>
      <c r="R197" s="64"/>
      <c r="S197" s="389"/>
      <c r="T197" s="64"/>
      <c r="U197" s="64"/>
      <c r="V197" s="64"/>
      <c r="W197" s="64"/>
      <c r="X197" s="64"/>
      <c r="Y197" s="64"/>
      <c r="Z197" s="64"/>
      <c r="AA197" s="64"/>
      <c r="AB197" s="64"/>
    </row>
    <row r="198" spans="2:28" s="55" customFormat="1" ht="14.25" hidden="1" customHeight="1">
      <c r="B198" s="72"/>
      <c r="C198" s="72"/>
      <c r="D198" s="73"/>
      <c r="E198" s="74"/>
      <c r="F198" s="75"/>
      <c r="G198" s="75"/>
      <c r="H198" s="75"/>
      <c r="I198" s="76"/>
      <c r="J198" s="76"/>
      <c r="K198" s="75"/>
      <c r="L198" s="75"/>
      <c r="M198" s="96"/>
      <c r="N198" s="96"/>
      <c r="O198" s="96"/>
      <c r="R198" s="64"/>
      <c r="S198" s="389"/>
      <c r="T198" s="64"/>
      <c r="U198" s="64"/>
      <c r="V198" s="64"/>
      <c r="W198" s="64"/>
      <c r="X198" s="64"/>
      <c r="Y198" s="64"/>
      <c r="Z198" s="64"/>
      <c r="AA198" s="64"/>
      <c r="AB198" s="64"/>
    </row>
    <row r="199" spans="2:28" s="55" customFormat="1" ht="14.25" hidden="1" customHeight="1">
      <c r="B199" s="72"/>
      <c r="C199" s="72"/>
      <c r="D199" s="73"/>
      <c r="E199" s="74"/>
      <c r="F199" s="75"/>
      <c r="G199" s="75"/>
      <c r="H199" s="75"/>
      <c r="I199" s="76"/>
      <c r="J199" s="76"/>
      <c r="K199" s="75"/>
      <c r="L199" s="75"/>
      <c r="M199" s="96"/>
      <c r="N199" s="96"/>
      <c r="O199" s="96"/>
      <c r="R199" s="64"/>
      <c r="S199" s="389"/>
      <c r="T199" s="64"/>
      <c r="U199" s="64"/>
      <c r="V199" s="64"/>
      <c r="W199" s="64"/>
      <c r="X199" s="64"/>
      <c r="Y199" s="64"/>
      <c r="Z199" s="64"/>
      <c r="AA199" s="64"/>
      <c r="AB199" s="64"/>
    </row>
    <row r="200" spans="2:28" s="55" customFormat="1" ht="14.25" hidden="1" customHeight="1">
      <c r="B200" s="72"/>
      <c r="C200" s="72"/>
      <c r="D200" s="73"/>
      <c r="E200" s="74"/>
      <c r="F200" s="75"/>
      <c r="G200" s="75"/>
      <c r="H200" s="75"/>
      <c r="I200" s="76"/>
      <c r="J200" s="76"/>
      <c r="K200" s="75"/>
      <c r="L200" s="75"/>
      <c r="M200" s="96"/>
      <c r="N200" s="96"/>
      <c r="O200" s="96"/>
      <c r="R200" s="64"/>
      <c r="S200" s="389"/>
      <c r="T200" s="64"/>
      <c r="U200" s="64"/>
      <c r="V200" s="64"/>
      <c r="W200" s="64"/>
      <c r="X200" s="64"/>
      <c r="Y200" s="64"/>
      <c r="Z200" s="64"/>
      <c r="AA200" s="64"/>
      <c r="AB200" s="64"/>
    </row>
    <row r="201" spans="2:28" s="55" customFormat="1" ht="14.25" hidden="1" customHeight="1">
      <c r="B201" s="72"/>
      <c r="C201" s="72"/>
      <c r="D201" s="73"/>
      <c r="E201" s="74"/>
      <c r="F201" s="75"/>
      <c r="G201" s="75"/>
      <c r="H201" s="75"/>
      <c r="I201" s="76"/>
      <c r="J201" s="76"/>
      <c r="K201" s="75"/>
      <c r="L201" s="75"/>
      <c r="M201" s="96"/>
      <c r="N201" s="96"/>
      <c r="O201" s="96"/>
      <c r="R201" s="64"/>
      <c r="S201" s="389"/>
      <c r="T201" s="64"/>
      <c r="U201" s="64"/>
      <c r="V201" s="64"/>
      <c r="W201" s="64"/>
      <c r="X201" s="64"/>
      <c r="Y201" s="64"/>
      <c r="Z201" s="64"/>
      <c r="AA201" s="64"/>
      <c r="AB201" s="64"/>
    </row>
    <row r="202" spans="2:28" s="55" customFormat="1" ht="14.25" hidden="1" customHeight="1">
      <c r="B202" s="72"/>
      <c r="C202" s="72"/>
      <c r="D202" s="73"/>
      <c r="E202" s="74"/>
      <c r="F202" s="75"/>
      <c r="G202" s="75"/>
      <c r="H202" s="75"/>
      <c r="I202" s="76"/>
      <c r="J202" s="76"/>
      <c r="K202" s="75"/>
      <c r="L202" s="75"/>
      <c r="M202" s="96"/>
      <c r="N202" s="96"/>
      <c r="O202" s="96"/>
      <c r="R202" s="64"/>
      <c r="S202" s="389"/>
      <c r="T202" s="64"/>
      <c r="U202" s="64"/>
      <c r="V202" s="64"/>
      <c r="W202" s="64"/>
      <c r="X202" s="64"/>
      <c r="Y202" s="64"/>
      <c r="Z202" s="64"/>
      <c r="AA202" s="64"/>
      <c r="AB202" s="64"/>
    </row>
    <row r="203" spans="2:28" s="55" customFormat="1" ht="14.25" hidden="1" customHeight="1">
      <c r="B203" s="72"/>
      <c r="C203" s="72"/>
      <c r="D203" s="73"/>
      <c r="E203" s="74"/>
      <c r="F203" s="75"/>
      <c r="G203" s="75"/>
      <c r="H203" s="75"/>
      <c r="I203" s="76"/>
      <c r="J203" s="76"/>
      <c r="K203" s="75"/>
      <c r="L203" s="75"/>
      <c r="M203" s="96"/>
      <c r="N203" s="96"/>
      <c r="O203" s="96"/>
      <c r="R203" s="64"/>
      <c r="S203" s="389"/>
      <c r="T203" s="64"/>
      <c r="U203" s="64"/>
      <c r="V203" s="64"/>
      <c r="W203" s="64"/>
      <c r="X203" s="64"/>
      <c r="Y203" s="64"/>
      <c r="Z203" s="64"/>
      <c r="AA203" s="64"/>
      <c r="AB203" s="64"/>
    </row>
    <row r="204" spans="2:28" s="55" customFormat="1" ht="14.25" hidden="1" customHeight="1">
      <c r="B204" s="72"/>
      <c r="C204" s="72"/>
      <c r="D204" s="73"/>
      <c r="E204" s="74"/>
      <c r="F204" s="75"/>
      <c r="G204" s="75"/>
      <c r="H204" s="75"/>
      <c r="I204" s="76"/>
      <c r="J204" s="76"/>
      <c r="K204" s="75"/>
      <c r="L204" s="75"/>
      <c r="M204" s="96"/>
      <c r="N204" s="96"/>
      <c r="O204" s="96"/>
      <c r="R204" s="64"/>
      <c r="S204" s="389"/>
      <c r="T204" s="64"/>
      <c r="U204" s="64"/>
      <c r="V204" s="64"/>
      <c r="W204" s="64"/>
      <c r="X204" s="64"/>
      <c r="Y204" s="64"/>
      <c r="Z204" s="64"/>
      <c r="AA204" s="64"/>
      <c r="AB204" s="64"/>
    </row>
    <row r="205" spans="2:28" s="55" customFormat="1" ht="14.25" hidden="1" customHeight="1">
      <c r="B205" s="72"/>
      <c r="C205" s="72"/>
      <c r="D205" s="73"/>
      <c r="E205" s="74"/>
      <c r="F205" s="75"/>
      <c r="G205" s="75"/>
      <c r="H205" s="75"/>
      <c r="I205" s="76"/>
      <c r="J205" s="76"/>
      <c r="K205" s="75"/>
      <c r="L205" s="75"/>
      <c r="M205" s="96"/>
      <c r="N205" s="96"/>
      <c r="O205" s="96"/>
      <c r="R205" s="64"/>
      <c r="S205" s="389"/>
      <c r="T205" s="64"/>
      <c r="U205" s="64"/>
      <c r="V205" s="64"/>
      <c r="W205" s="64"/>
      <c r="X205" s="64"/>
      <c r="Y205" s="64"/>
      <c r="Z205" s="64"/>
      <c r="AA205" s="64"/>
      <c r="AB205" s="64"/>
    </row>
  </sheetData>
  <sheetProtection password="C784" sheet="1" objects="1" scenarios="1"/>
  <mergeCells count="10">
    <mergeCell ref="AH45:AJ45"/>
    <mergeCell ref="H37:K39"/>
    <mergeCell ref="Q2:Q5"/>
    <mergeCell ref="K5:L5"/>
    <mergeCell ref="N5:O5"/>
    <mergeCell ref="D13:E13"/>
    <mergeCell ref="D14:E14"/>
    <mergeCell ref="L23:O23"/>
    <mergeCell ref="AH43:AJ43"/>
    <mergeCell ref="AH44:AJ44"/>
  </mergeCells>
  <phoneticPr fontId="27"/>
  <conditionalFormatting sqref="H36:K36">
    <cfRule type="expression" dxfId="324" priority="2" stopIfTrue="1">
      <formula>$U$36=$W$37</formula>
    </cfRule>
  </conditionalFormatting>
  <conditionalFormatting sqref="I28:K35 H29:H35">
    <cfRule type="expression" dxfId="323" priority="1" stopIfTrue="1">
      <formula>$U$36=$W$37</formula>
    </cfRule>
  </conditionalFormatting>
  <hyperlinks>
    <hyperlink ref="Q2" location="メイン!A1" display="戻る" xr:uid="{00000000-0004-0000-0200-000000000000}"/>
  </hyperlinks>
  <printOptions horizontalCentered="1"/>
  <pageMargins left="0.59055118110236227" right="0.59055118110236227" top="0.78740157480314965" bottom="0.59055118110236227" header="0.51181102362204722" footer="0.51181102362204722"/>
  <pageSetup paperSize="9" scale="70" orientation="portrait" r:id="rId1"/>
  <headerFooter alignWithMargins="0">
    <oddHeader>&amp;L&amp;F&amp;R&amp;A</oddHeader>
    <oddFooter>&amp;C&amp;P/&amp;N</oddFooter>
  </headerFooter>
  <colBreaks count="1" manualBreakCount="1">
    <brk id="16" max="7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AE175"/>
  <sheetViews>
    <sheetView showGridLines="0" zoomScale="59" zoomScaleNormal="59" workbookViewId="0">
      <selection activeCell="J5" sqref="J5"/>
    </sheetView>
  </sheetViews>
  <sheetFormatPr defaultColWidth="0" defaultRowHeight="13.5" zeroHeight="1"/>
  <cols>
    <col min="1" max="1" width="1.25" customWidth="1"/>
    <col min="2" max="2" width="5.875" style="44" customWidth="1"/>
    <col min="3" max="3" width="28.125" style="44" customWidth="1"/>
    <col min="4" max="4" width="15" style="44" customWidth="1"/>
    <col min="5" max="5" width="13.125" style="44" customWidth="1"/>
    <col min="6" max="6" width="9.875" customWidth="1"/>
    <col min="7" max="7" width="3" customWidth="1"/>
    <col min="8" max="8" width="4.125" customWidth="1"/>
    <col min="9" max="9" width="29.375" bestFit="1" customWidth="1"/>
    <col min="10" max="10" width="10.75" bestFit="1" customWidth="1"/>
    <col min="11" max="11" width="1.125" customWidth="1"/>
    <col min="12" max="12" width="27.375" customWidth="1"/>
    <col min="13" max="13" width="11.375" customWidth="1"/>
    <col min="14" max="14" width="4.375" customWidth="1"/>
    <col min="15" max="15" width="2.875" customWidth="1"/>
    <col min="16" max="16" width="5.625" hidden="1" customWidth="1"/>
    <col min="17" max="18" width="14.125" hidden="1" customWidth="1"/>
    <col min="19" max="19" width="2.125" hidden="1" customWidth="1"/>
    <col min="20" max="21" width="14.125" hidden="1" customWidth="1"/>
  </cols>
  <sheetData>
    <row r="1" spans="2:31" ht="9.75" customHeight="1" thickBot="1">
      <c r="B1"/>
      <c r="C1"/>
      <c r="D1"/>
      <c r="E1"/>
    </row>
    <row r="2" spans="2:31" s="12" customFormat="1" ht="18.75">
      <c r="B2" s="8" t="s">
        <v>157</v>
      </c>
      <c r="C2" s="9"/>
      <c r="D2" s="10"/>
      <c r="E2" s="9"/>
      <c r="F2" s="11"/>
      <c r="G2"/>
      <c r="H2" s="2768" t="s">
        <v>3827</v>
      </c>
      <c r="I2" s="17"/>
      <c r="J2" s="17"/>
      <c r="K2" s="17"/>
      <c r="L2" s="17"/>
      <c r="M2" s="17"/>
      <c r="N2" s="18"/>
      <c r="O2"/>
      <c r="P2"/>
      <c r="Q2"/>
      <c r="R2"/>
      <c r="S2"/>
      <c r="T2"/>
      <c r="U2"/>
      <c r="V2"/>
      <c r="W2"/>
      <c r="X2"/>
      <c r="Y2"/>
      <c r="Z2"/>
      <c r="AA2"/>
      <c r="AB2"/>
      <c r="AC2"/>
      <c r="AD2"/>
      <c r="AE2"/>
    </row>
    <row r="3" spans="2:31" s="12" customFormat="1" ht="21" customHeight="1">
      <c r="B3" s="13" t="s">
        <v>1435</v>
      </c>
      <c r="C3" s="14"/>
      <c r="D3" s="15"/>
      <c r="E3" s="14"/>
      <c r="F3" s="16"/>
      <c r="G3"/>
      <c r="H3" s="2761" t="s">
        <v>3833</v>
      </c>
      <c r="I3" s="3"/>
      <c r="J3" s="3"/>
      <c r="K3" s="3"/>
      <c r="L3" s="3"/>
      <c r="M3" s="3"/>
      <c r="N3" s="23"/>
      <c r="O3"/>
      <c r="Q3" s="19">
        <v>2</v>
      </c>
      <c r="R3" t="s">
        <v>1436</v>
      </c>
      <c r="S3"/>
      <c r="T3"/>
      <c r="U3"/>
      <c r="V3"/>
      <c r="W3"/>
      <c r="X3"/>
      <c r="Y3"/>
      <c r="Z3"/>
      <c r="AA3"/>
      <c r="AB3"/>
      <c r="AC3"/>
      <c r="AD3"/>
      <c r="AE3"/>
    </row>
    <row r="4" spans="2:31">
      <c r="B4" s="20"/>
      <c r="C4" s="21" t="s">
        <v>1437</v>
      </c>
      <c r="D4" s="21" t="s">
        <v>1438</v>
      </c>
      <c r="E4" s="3"/>
      <c r="F4" s="16"/>
      <c r="H4" s="22" t="s">
        <v>1990</v>
      </c>
      <c r="I4" s="3"/>
      <c r="J4" s="3"/>
      <c r="K4" s="3"/>
      <c r="L4" s="3"/>
      <c r="M4" s="3"/>
      <c r="N4" s="23"/>
    </row>
    <row r="5" spans="2:31" ht="16.5">
      <c r="B5" s="20"/>
      <c r="C5" s="24" t="str">
        <f>IF($Q$7=0,"根拠を記入してください",$Q$7)</f>
        <v>東京電力エナジーパートナー(株)</v>
      </c>
      <c r="D5" s="25">
        <f>IF($R$7=0,Q9,$R$7)</f>
        <v>4.57E-4</v>
      </c>
      <c r="E5" s="33" t="s">
        <v>2783</v>
      </c>
      <c r="F5" s="16"/>
      <c r="H5" s="22"/>
      <c r="I5" s="26" t="str">
        <f>CO2データ!D105</f>
        <v>北海道電力(株)</v>
      </c>
      <c r="J5" s="27">
        <f>CO2データ!I105</f>
        <v>5.9299999999999999E-4</v>
      </c>
      <c r="K5" s="3"/>
      <c r="L5" s="3"/>
      <c r="M5" s="3"/>
      <c r="N5" s="23"/>
    </row>
    <row r="6" spans="2:31">
      <c r="B6" s="20"/>
      <c r="C6" s="3"/>
      <c r="D6" s="3"/>
      <c r="E6" s="3"/>
      <c r="F6" s="16"/>
      <c r="H6" s="22"/>
      <c r="I6" s="26" t="str">
        <f>CO2データ!D106</f>
        <v>東北電力(株)</v>
      </c>
      <c r="J6" s="27">
        <f>CO2データ!I106</f>
        <v>5.1900000000000004E-4</v>
      </c>
      <c r="K6" s="22"/>
      <c r="L6" s="3"/>
      <c r="M6" s="3"/>
      <c r="N6" s="28"/>
      <c r="Q6" t="s">
        <v>1439</v>
      </c>
      <c r="R6" t="s">
        <v>1440</v>
      </c>
    </row>
    <row r="7" spans="2:31">
      <c r="B7" s="20"/>
      <c r="C7" s="3"/>
      <c r="D7" s="3"/>
      <c r="E7" s="3"/>
      <c r="F7" s="16"/>
      <c r="H7" s="22"/>
      <c r="I7" s="26" t="str">
        <f>CO2データ!D107</f>
        <v>東京電力エナジーパートナー(株)</v>
      </c>
      <c r="J7" s="27">
        <f>CO2データ!I107</f>
        <v>4.57E-4</v>
      </c>
      <c r="K7" s="22"/>
      <c r="L7" s="3"/>
      <c r="M7" s="3"/>
      <c r="N7" s="28"/>
      <c r="Q7" t="str">
        <f>IF($Q$3=1,C10,IF($Q$3=2,C16,IF($Q$3=3,C20,IF($Q$3=4,C24,C28))))</f>
        <v>東京電力エナジーパートナー(株)</v>
      </c>
      <c r="R7">
        <f>IF($Q$3=1,D10,IF($Q$3=2,D16,IF($Q$3=3,D20,IF($Q$3=4,D24,D28))))</f>
        <v>4.57E-4</v>
      </c>
    </row>
    <row r="8" spans="2:31">
      <c r="B8" s="20" t="s">
        <v>1991</v>
      </c>
      <c r="C8" s="3"/>
      <c r="D8" s="3"/>
      <c r="E8" s="3"/>
      <c r="F8" s="16"/>
      <c r="H8" s="22"/>
      <c r="I8" s="26" t="str">
        <f>CO2データ!D108</f>
        <v>中部電力ミライズ(株)（旧：中部電力(株)）</v>
      </c>
      <c r="J8" s="27">
        <f>CO2データ!I108</f>
        <v>4.3100000000000001E-4</v>
      </c>
      <c r="K8" s="22"/>
      <c r="L8" s="3"/>
      <c r="M8" s="3"/>
      <c r="N8" s="28"/>
    </row>
    <row r="9" spans="2:31">
      <c r="B9" s="20"/>
      <c r="C9" s="21" t="s">
        <v>1437</v>
      </c>
      <c r="D9" s="29" t="s">
        <v>1992</v>
      </c>
      <c r="E9" s="3"/>
      <c r="F9" s="16"/>
      <c r="H9" s="22"/>
      <c r="I9" s="26" t="str">
        <f>CO2データ!D109</f>
        <v>北陸電力(株)</v>
      </c>
      <c r="J9" s="27">
        <f>CO2データ!I109</f>
        <v>5.1000000000000004E-4</v>
      </c>
      <c r="K9" s="22"/>
      <c r="L9" s="3"/>
      <c r="M9" s="3"/>
      <c r="N9" s="28"/>
      <c r="Q9" t="s">
        <v>1993</v>
      </c>
    </row>
    <row r="10" spans="2:31" ht="16.5">
      <c r="B10" s="20"/>
      <c r="C10" s="30"/>
      <c r="D10" s="31"/>
      <c r="E10" s="33" t="s">
        <v>2784</v>
      </c>
      <c r="F10" s="16"/>
      <c r="H10" s="22"/>
      <c r="I10" s="26" t="str">
        <f>CO2データ!D110</f>
        <v>関西電力(株)</v>
      </c>
      <c r="J10" s="27">
        <f>CO2データ!I110</f>
        <v>3.4000000000000002E-4</v>
      </c>
      <c r="K10" s="22"/>
      <c r="L10" s="3"/>
      <c r="M10" s="3"/>
      <c r="N10" s="28"/>
    </row>
    <row r="11" spans="2:31">
      <c r="B11" s="20"/>
      <c r="C11" s="3"/>
      <c r="D11" s="3"/>
      <c r="E11" s="3"/>
      <c r="F11" s="16"/>
      <c r="H11" s="22"/>
      <c r="I11" s="26" t="str">
        <f>CO2データ!D111</f>
        <v>中国電力(株)</v>
      </c>
      <c r="J11" s="27">
        <f>CO2データ!I111</f>
        <v>5.6099999999999998E-4</v>
      </c>
      <c r="K11" s="22"/>
      <c r="L11" s="3"/>
      <c r="M11" s="3"/>
      <c r="N11" s="28"/>
    </row>
    <row r="12" spans="2:31">
      <c r="B12" s="20" t="s">
        <v>299</v>
      </c>
      <c r="C12" s="3"/>
      <c r="D12" s="3"/>
      <c r="E12" s="3"/>
      <c r="F12" s="16"/>
      <c r="H12" s="22"/>
      <c r="I12" s="26" t="str">
        <f>CO2データ!D112</f>
        <v>四国電力(株)</v>
      </c>
      <c r="J12" s="27">
        <f>CO2データ!I112</f>
        <v>3.8200000000000002E-4</v>
      </c>
      <c r="K12" s="22"/>
      <c r="L12" s="3"/>
      <c r="M12" s="3"/>
      <c r="N12" s="28"/>
    </row>
    <row r="13" spans="2:31">
      <c r="B13" s="32" t="s">
        <v>1994</v>
      </c>
      <c r="C13" s="3243" t="s">
        <v>2563</v>
      </c>
      <c r="D13" s="3244"/>
      <c r="E13" s="3244"/>
      <c r="F13" s="16"/>
      <c r="H13" s="22"/>
      <c r="I13" s="26" t="str">
        <f>CO2データ!D113</f>
        <v>九州電力(株)</v>
      </c>
      <c r="J13" s="27">
        <f>CO2データ!I113</f>
        <v>3.4400000000000001E-4</v>
      </c>
      <c r="K13" s="22"/>
      <c r="L13" s="3"/>
      <c r="M13" s="3"/>
      <c r="N13" s="28"/>
    </row>
    <row r="14" spans="2:31">
      <c r="B14" s="32"/>
      <c r="C14" s="3244"/>
      <c r="D14" s="3244"/>
      <c r="E14" s="3244"/>
      <c r="F14" s="16"/>
      <c r="H14" s="22"/>
      <c r="I14" s="26" t="str">
        <f>CO2データ!D114</f>
        <v>沖縄電力(株)</v>
      </c>
      <c r="J14" s="27">
        <f>CO2データ!I114</f>
        <v>8.0999999999999996E-4</v>
      </c>
      <c r="K14" s="22"/>
      <c r="L14" s="3"/>
      <c r="M14" s="3"/>
      <c r="N14" s="28"/>
    </row>
    <row r="15" spans="2:31">
      <c r="B15" s="20"/>
      <c r="C15" s="21" t="s">
        <v>300</v>
      </c>
      <c r="D15" s="29" t="s">
        <v>1995</v>
      </c>
      <c r="E15" s="3"/>
      <c r="F15" s="16"/>
      <c r="H15" s="2762" t="s">
        <v>3826</v>
      </c>
      <c r="I15" s="33"/>
      <c r="J15" s="33"/>
      <c r="K15" s="33"/>
      <c r="L15" s="3"/>
      <c r="M15" s="3"/>
      <c r="N15" s="28"/>
    </row>
    <row r="16" spans="2:31" ht="16.5">
      <c r="B16" s="20"/>
      <c r="C16" s="2758" t="s">
        <v>3821</v>
      </c>
      <c r="D16" s="35">
        <f>IF(C16=I16,J16,VLOOKUP(C16,C89:E98,3))</f>
        <v>4.57E-4</v>
      </c>
      <c r="E16" s="33" t="s">
        <v>2784</v>
      </c>
      <c r="F16" s="16"/>
      <c r="H16" s="22"/>
      <c r="I16" s="2759" t="s">
        <v>3825</v>
      </c>
      <c r="J16" s="2760">
        <v>5.0000000000000001E-4</v>
      </c>
      <c r="K16" s="22"/>
      <c r="L16" s="3"/>
      <c r="M16" s="3"/>
      <c r="N16" s="28"/>
    </row>
    <row r="17" spans="2:14" ht="15" customHeight="1">
      <c r="B17" s="20"/>
      <c r="C17" s="33"/>
      <c r="D17" s="33"/>
      <c r="E17" s="33"/>
      <c r="F17" s="16"/>
      <c r="H17" s="22"/>
      <c r="I17" s="3"/>
      <c r="J17" s="3"/>
      <c r="K17" s="33" t="s">
        <v>2784</v>
      </c>
      <c r="L17" s="3"/>
      <c r="M17" s="3"/>
      <c r="N17" s="28"/>
    </row>
    <row r="18" spans="2:14" ht="15" customHeight="1">
      <c r="B18" s="32" t="s">
        <v>1996</v>
      </c>
      <c r="C18" s="3" t="s">
        <v>301</v>
      </c>
      <c r="D18" s="3"/>
      <c r="E18" s="3"/>
      <c r="F18" s="16"/>
      <c r="H18" s="22"/>
      <c r="I18" s="3"/>
      <c r="J18" s="3"/>
      <c r="K18" s="3"/>
      <c r="L18" s="3"/>
      <c r="M18" s="3"/>
      <c r="N18" s="28"/>
    </row>
    <row r="19" spans="2:14" ht="15" customHeight="1">
      <c r="B19" s="20"/>
      <c r="C19" s="21" t="s">
        <v>1437</v>
      </c>
      <c r="D19" s="29" t="s">
        <v>1992</v>
      </c>
      <c r="E19" s="3"/>
      <c r="F19" s="16"/>
      <c r="H19" s="22"/>
      <c r="I19" s="3"/>
      <c r="J19" s="3"/>
      <c r="K19" s="3"/>
      <c r="L19" s="3"/>
      <c r="M19" s="3"/>
      <c r="N19" s="28"/>
    </row>
    <row r="20" spans="2:14" ht="15" customHeight="1">
      <c r="B20" s="20"/>
      <c r="C20" s="2757"/>
      <c r="D20" s="31"/>
      <c r="E20" s="33" t="s">
        <v>2784</v>
      </c>
      <c r="F20" s="16"/>
      <c r="H20" s="22"/>
      <c r="I20" s="3"/>
      <c r="J20" s="3"/>
      <c r="K20" s="3"/>
      <c r="L20" s="3"/>
      <c r="M20" s="3"/>
      <c r="N20" s="28"/>
    </row>
    <row r="21" spans="2:14" ht="15" customHeight="1">
      <c r="B21" s="20"/>
      <c r="C21" s="33"/>
      <c r="D21" s="33"/>
      <c r="E21" s="33"/>
      <c r="F21" s="16"/>
      <c r="H21" s="22"/>
      <c r="I21" s="3"/>
      <c r="J21" s="3"/>
      <c r="K21" s="3"/>
      <c r="L21" s="3"/>
      <c r="M21" s="3"/>
      <c r="N21" s="28"/>
    </row>
    <row r="22" spans="2:14" ht="15" customHeight="1">
      <c r="B22" s="32" t="s">
        <v>1997</v>
      </c>
      <c r="C22" s="3" t="s">
        <v>1998</v>
      </c>
      <c r="D22" s="3"/>
      <c r="E22" s="3"/>
      <c r="F22" s="16"/>
      <c r="H22" s="22"/>
      <c r="I22" s="3"/>
      <c r="J22" s="3"/>
      <c r="K22" s="3"/>
      <c r="L22" s="3"/>
      <c r="M22" s="3"/>
      <c r="N22" s="28"/>
    </row>
    <row r="23" spans="2:14" ht="15" customHeight="1">
      <c r="B23" s="32"/>
      <c r="C23" s="21" t="s">
        <v>171</v>
      </c>
      <c r="D23" s="29" t="s">
        <v>1441</v>
      </c>
      <c r="E23" s="3"/>
      <c r="F23" s="16"/>
      <c r="H23" s="22"/>
      <c r="I23" s="3"/>
      <c r="J23" s="3"/>
      <c r="K23" s="3"/>
      <c r="L23" s="3"/>
      <c r="M23" s="3"/>
      <c r="N23" s="28"/>
    </row>
    <row r="24" spans="2:14" ht="15" customHeight="1">
      <c r="B24" s="20"/>
      <c r="C24" s="34" t="s">
        <v>170</v>
      </c>
      <c r="D24" s="35" t="str">
        <f>IF($Q$3=4,J85,"")</f>
        <v/>
      </c>
      <c r="E24" s="33" t="s">
        <v>2784</v>
      </c>
      <c r="F24" s="16"/>
      <c r="H24" s="22"/>
      <c r="I24" s="3"/>
      <c r="J24" s="3"/>
      <c r="K24" s="3"/>
      <c r="L24" s="3"/>
      <c r="M24" s="3"/>
      <c r="N24" s="28"/>
    </row>
    <row r="25" spans="2:14" ht="15" customHeight="1">
      <c r="B25" s="20"/>
      <c r="C25" s="3"/>
      <c r="D25" s="3"/>
      <c r="E25" s="3"/>
      <c r="F25" s="16"/>
      <c r="H25" s="22"/>
      <c r="I25" s="3"/>
      <c r="J25" s="3"/>
      <c r="K25" s="3"/>
      <c r="L25" s="3"/>
      <c r="M25" s="3"/>
      <c r="N25" s="28"/>
    </row>
    <row r="26" spans="2:14" ht="15" customHeight="1">
      <c r="B26" s="20" t="s">
        <v>1999</v>
      </c>
      <c r="C26" s="3"/>
      <c r="D26" s="3"/>
      <c r="E26" s="3"/>
      <c r="F26" s="16"/>
      <c r="H26" s="22"/>
      <c r="I26" s="3"/>
      <c r="J26" s="3"/>
      <c r="K26" s="3"/>
      <c r="L26" s="3"/>
      <c r="M26" s="3"/>
      <c r="N26" s="28"/>
    </row>
    <row r="27" spans="2:14" ht="15" customHeight="1">
      <c r="B27" s="20"/>
      <c r="C27" s="21" t="s">
        <v>1437</v>
      </c>
      <c r="D27" s="29" t="s">
        <v>1992</v>
      </c>
      <c r="E27" s="3"/>
      <c r="F27" s="16"/>
      <c r="H27" s="22"/>
      <c r="I27" s="3"/>
      <c r="J27" s="3"/>
      <c r="K27" s="3"/>
      <c r="L27" s="3"/>
      <c r="M27" s="3"/>
      <c r="N27" s="28"/>
    </row>
    <row r="28" spans="2:14" ht="15" customHeight="1">
      <c r="B28" s="20"/>
      <c r="C28" s="30"/>
      <c r="D28" s="31"/>
      <c r="E28" s="33" t="s">
        <v>2784</v>
      </c>
      <c r="F28" s="16"/>
      <c r="H28" s="22"/>
      <c r="I28" s="3"/>
      <c r="J28" s="3"/>
      <c r="K28" s="3"/>
      <c r="L28" s="3"/>
      <c r="M28" s="3"/>
      <c r="N28" s="28"/>
    </row>
    <row r="29" spans="2:14" ht="15" customHeight="1">
      <c r="B29" s="20"/>
      <c r="C29" s="3"/>
      <c r="D29" s="3"/>
      <c r="E29" s="3"/>
      <c r="F29" s="16"/>
      <c r="H29" s="22"/>
      <c r="I29" s="3"/>
      <c r="J29" s="3"/>
      <c r="K29" s="3"/>
      <c r="L29" s="3"/>
      <c r="M29" s="3"/>
      <c r="N29" s="28"/>
    </row>
    <row r="30" spans="2:14" ht="15" hidden="1" customHeight="1">
      <c r="B30" s="20"/>
      <c r="C30" s="3"/>
      <c r="D30" s="3"/>
      <c r="E30" s="3"/>
      <c r="F30" s="16"/>
      <c r="H30" s="22"/>
      <c r="I30" s="3"/>
      <c r="J30" s="3"/>
      <c r="K30" s="3"/>
      <c r="L30" s="26">
        <f>CO2データ!D169</f>
        <v>0</v>
      </c>
      <c r="M30" s="27">
        <f>CO2データ!I169</f>
        <v>0</v>
      </c>
      <c r="N30" s="28"/>
    </row>
    <row r="31" spans="2:14" ht="15" hidden="1" customHeight="1">
      <c r="B31" s="20"/>
      <c r="C31" s="3"/>
      <c r="D31" s="3"/>
      <c r="E31" s="3"/>
      <c r="F31" s="16"/>
      <c r="H31" s="22"/>
      <c r="I31" s="3"/>
      <c r="J31" s="3"/>
      <c r="K31" s="3"/>
      <c r="L31" s="26">
        <f>CO2データ!D170</f>
        <v>0</v>
      </c>
      <c r="M31" s="27">
        <f>CO2データ!I170</f>
        <v>0</v>
      </c>
      <c r="N31" s="28"/>
    </row>
    <row r="32" spans="2:14" ht="15" hidden="1" customHeight="1">
      <c r="B32" s="20"/>
      <c r="C32" s="3"/>
      <c r="D32" s="3"/>
      <c r="E32" s="3"/>
      <c r="F32" s="16"/>
      <c r="H32" s="22"/>
      <c r="I32" s="3"/>
      <c r="J32" s="3"/>
      <c r="K32" s="3"/>
      <c r="L32" s="26">
        <f>CO2データ!D171</f>
        <v>0</v>
      </c>
      <c r="M32" s="27">
        <f>CO2データ!I171</f>
        <v>0</v>
      </c>
      <c r="N32" s="28"/>
    </row>
    <row r="33" spans="2:14" ht="15" hidden="1" customHeight="1">
      <c r="B33" s="20"/>
      <c r="C33" s="3"/>
      <c r="D33" s="3"/>
      <c r="E33" s="3"/>
      <c r="F33" s="16"/>
      <c r="H33" s="22"/>
      <c r="I33" s="3"/>
      <c r="J33" s="3"/>
      <c r="K33" s="3"/>
      <c r="L33" s="26">
        <f>CO2データ!D172</f>
        <v>0</v>
      </c>
      <c r="M33" s="27">
        <f>CO2データ!I172</f>
        <v>0</v>
      </c>
      <c r="N33" s="28"/>
    </row>
    <row r="34" spans="2:14" ht="15" hidden="1" customHeight="1">
      <c r="B34" s="20"/>
      <c r="C34" s="3"/>
      <c r="D34" s="3"/>
      <c r="E34" s="3"/>
      <c r="F34" s="16"/>
      <c r="H34" s="22"/>
      <c r="I34" s="3"/>
      <c r="J34" s="3"/>
      <c r="K34" s="3"/>
      <c r="L34" s="26">
        <f>CO2データ!D173</f>
        <v>0</v>
      </c>
      <c r="M34" s="27">
        <f>CO2データ!I173</f>
        <v>0</v>
      </c>
      <c r="N34" s="28"/>
    </row>
    <row r="35" spans="2:14" ht="15" hidden="1" customHeight="1">
      <c r="B35" s="20"/>
      <c r="C35" s="3"/>
      <c r="D35" s="3"/>
      <c r="E35" s="3"/>
      <c r="F35" s="16"/>
      <c r="H35" s="22"/>
      <c r="I35" s="3"/>
      <c r="J35" s="3"/>
      <c r="K35" s="3"/>
      <c r="L35" s="26">
        <f>CO2データ!D174</f>
        <v>0</v>
      </c>
      <c r="M35" s="27">
        <f>CO2データ!I174</f>
        <v>0</v>
      </c>
      <c r="N35" s="28"/>
    </row>
    <row r="36" spans="2:14" ht="15" hidden="1" customHeight="1">
      <c r="B36" s="20"/>
      <c r="C36" s="3"/>
      <c r="D36" s="3"/>
      <c r="E36" s="3"/>
      <c r="F36" s="16"/>
      <c r="H36" s="22"/>
      <c r="I36" s="3"/>
      <c r="J36" s="3"/>
      <c r="K36" s="3"/>
      <c r="L36" s="26">
        <f>CO2データ!D175</f>
        <v>0</v>
      </c>
      <c r="M36" s="27">
        <f>CO2データ!I175</f>
        <v>0</v>
      </c>
      <c r="N36" s="28"/>
    </row>
    <row r="37" spans="2:14" ht="15" hidden="1" customHeight="1">
      <c r="B37" s="20"/>
      <c r="C37" s="3"/>
      <c r="D37" s="3"/>
      <c r="E37" s="3"/>
      <c r="F37" s="16"/>
      <c r="H37" s="22"/>
      <c r="I37" s="3"/>
      <c r="J37" s="3"/>
      <c r="K37" s="3"/>
      <c r="L37" s="26">
        <f>CO2データ!D176</f>
        <v>0</v>
      </c>
      <c r="M37" s="27">
        <f>CO2データ!I176</f>
        <v>0</v>
      </c>
      <c r="N37" s="28"/>
    </row>
    <row r="38" spans="2:14" ht="15" hidden="1" customHeight="1">
      <c r="B38" s="20"/>
      <c r="C38" s="3"/>
      <c r="D38" s="3"/>
      <c r="E38" s="3"/>
      <c r="F38" s="16"/>
      <c r="H38" s="22"/>
      <c r="I38" s="3"/>
      <c r="J38" s="3"/>
      <c r="K38" s="3"/>
      <c r="L38" s="26">
        <f>CO2データ!D177</f>
        <v>0</v>
      </c>
      <c r="M38" s="27">
        <f>CO2データ!I177</f>
        <v>0</v>
      </c>
      <c r="N38" s="28"/>
    </row>
    <row r="39" spans="2:14" ht="15" hidden="1" customHeight="1">
      <c r="B39" s="20"/>
      <c r="C39" s="3"/>
      <c r="D39" s="3"/>
      <c r="E39" s="3"/>
      <c r="F39" s="16"/>
      <c r="H39" s="22"/>
      <c r="I39" s="3"/>
      <c r="J39" s="3"/>
      <c r="K39" s="3"/>
      <c r="L39" s="26">
        <f>CO2データ!D178</f>
        <v>0</v>
      </c>
      <c r="M39" s="27">
        <f>CO2データ!I178</f>
        <v>0</v>
      </c>
      <c r="N39" s="28"/>
    </row>
    <row r="40" spans="2:14" ht="15" hidden="1" customHeight="1">
      <c r="B40" s="20"/>
      <c r="C40" s="3"/>
      <c r="D40" s="3"/>
      <c r="E40" s="3"/>
      <c r="F40" s="16"/>
      <c r="H40" s="22"/>
      <c r="I40" s="3"/>
      <c r="J40" s="3"/>
      <c r="K40" s="3"/>
      <c r="L40" s="26">
        <f>CO2データ!D179</f>
        <v>0</v>
      </c>
      <c r="M40" s="27">
        <f>CO2データ!I179</f>
        <v>0</v>
      </c>
      <c r="N40" s="28"/>
    </row>
    <row r="41" spans="2:14" ht="15" hidden="1" customHeight="1">
      <c r="B41" s="20"/>
      <c r="C41" s="3"/>
      <c r="D41" s="3"/>
      <c r="E41" s="3"/>
      <c r="F41" s="16"/>
      <c r="H41" s="22"/>
      <c r="I41" s="3"/>
      <c r="J41" s="3"/>
      <c r="K41" s="3"/>
      <c r="L41" s="26">
        <f>CO2データ!D180</f>
        <v>0</v>
      </c>
      <c r="M41" s="27">
        <f>CO2データ!I180</f>
        <v>0</v>
      </c>
      <c r="N41" s="28"/>
    </row>
    <row r="42" spans="2:14" ht="15" hidden="1" customHeight="1">
      <c r="B42" s="20"/>
      <c r="C42" s="3"/>
      <c r="D42" s="3"/>
      <c r="E42" s="3"/>
      <c r="F42" s="16"/>
      <c r="H42" s="22"/>
      <c r="I42" s="3"/>
      <c r="J42" s="3"/>
      <c r="K42" s="3"/>
      <c r="L42" s="26">
        <f>CO2データ!D181</f>
        <v>0</v>
      </c>
      <c r="M42" s="27">
        <f>CO2データ!I181</f>
        <v>0</v>
      </c>
      <c r="N42" s="28"/>
    </row>
    <row r="43" spans="2:14" ht="15" hidden="1" customHeight="1">
      <c r="B43" s="20"/>
      <c r="C43" s="3"/>
      <c r="D43" s="3"/>
      <c r="E43" s="3"/>
      <c r="F43" s="16"/>
      <c r="H43" s="22"/>
      <c r="I43" s="3"/>
      <c r="J43" s="3"/>
      <c r="K43" s="3"/>
      <c r="L43" s="26">
        <f>CO2データ!D182</f>
        <v>0</v>
      </c>
      <c r="M43" s="27">
        <f>CO2データ!I182</f>
        <v>0</v>
      </c>
      <c r="N43" s="28"/>
    </row>
    <row r="44" spans="2:14" ht="15" hidden="1" customHeight="1">
      <c r="B44" s="20"/>
      <c r="C44" s="3"/>
      <c r="D44" s="3"/>
      <c r="E44" s="3"/>
      <c r="F44" s="16"/>
      <c r="H44" s="22"/>
      <c r="I44" s="3"/>
      <c r="J44" s="3"/>
      <c r="K44" s="3"/>
      <c r="L44" s="14"/>
      <c r="M44" s="1487"/>
      <c r="N44" s="28"/>
    </row>
    <row r="45" spans="2:14" ht="15" hidden="1" customHeight="1">
      <c r="B45" s="20"/>
      <c r="C45" s="3"/>
      <c r="D45" s="3"/>
      <c r="E45" s="3"/>
      <c r="F45" s="16"/>
      <c r="H45" s="22"/>
      <c r="I45" s="3"/>
      <c r="J45" s="3"/>
      <c r="K45" s="3"/>
      <c r="L45" s="14"/>
      <c r="M45" s="1487"/>
      <c r="N45" s="28"/>
    </row>
    <row r="46" spans="2:14" ht="15" hidden="1" customHeight="1">
      <c r="B46" s="20"/>
      <c r="C46" s="3"/>
      <c r="D46" s="3"/>
      <c r="E46" s="3"/>
      <c r="F46" s="16"/>
      <c r="H46" s="22"/>
      <c r="I46" s="3"/>
      <c r="J46" s="3"/>
      <c r="K46" s="3"/>
      <c r="L46" s="14"/>
      <c r="M46" s="1487"/>
      <c r="N46" s="28"/>
    </row>
    <row r="47" spans="2:14" ht="15" hidden="1" customHeight="1">
      <c r="B47" s="20"/>
      <c r="C47" s="3"/>
      <c r="D47" s="3"/>
      <c r="E47" s="3"/>
      <c r="F47" s="16"/>
      <c r="H47" s="22"/>
      <c r="I47" s="3"/>
      <c r="J47" s="3"/>
      <c r="K47" s="3"/>
      <c r="L47" s="14"/>
      <c r="M47" s="1487"/>
      <c r="N47" s="28"/>
    </row>
    <row r="48" spans="2:14" ht="15" hidden="1" customHeight="1">
      <c r="B48" s="20"/>
      <c r="C48" s="3"/>
      <c r="D48" s="3"/>
      <c r="E48" s="3"/>
      <c r="F48" s="16"/>
      <c r="H48" s="22"/>
      <c r="I48" s="3"/>
      <c r="J48" s="3"/>
      <c r="K48" s="3"/>
      <c r="L48" s="14"/>
      <c r="M48" s="1487"/>
      <c r="N48" s="28"/>
    </row>
    <row r="49" spans="2:14" ht="15" hidden="1" customHeight="1">
      <c r="B49" s="20"/>
      <c r="C49" s="3"/>
      <c r="D49" s="3"/>
      <c r="E49" s="3"/>
      <c r="F49" s="16"/>
      <c r="H49" s="22"/>
      <c r="I49" s="3"/>
      <c r="J49" s="3"/>
      <c r="K49" s="3"/>
      <c r="L49" s="14"/>
      <c r="M49" s="1487"/>
      <c r="N49" s="28"/>
    </row>
    <row r="50" spans="2:14" ht="15" hidden="1" customHeight="1">
      <c r="B50" s="20"/>
      <c r="C50" s="3"/>
      <c r="D50" s="3"/>
      <c r="E50" s="3"/>
      <c r="F50" s="16"/>
      <c r="H50" s="22"/>
      <c r="I50" s="3"/>
      <c r="J50" s="3"/>
      <c r="K50" s="3"/>
      <c r="L50" s="14"/>
      <c r="M50" s="1487"/>
      <c r="N50" s="28"/>
    </row>
    <row r="51" spans="2:14" ht="15" hidden="1" customHeight="1">
      <c r="B51" s="20"/>
      <c r="C51" s="3"/>
      <c r="D51" s="3"/>
      <c r="E51" s="3"/>
      <c r="F51" s="16"/>
      <c r="H51" s="22"/>
      <c r="I51" s="3"/>
      <c r="J51" s="3"/>
      <c r="K51" s="3"/>
      <c r="L51" s="14"/>
      <c r="M51" s="1487"/>
      <c r="N51" s="28"/>
    </row>
    <row r="52" spans="2:14" ht="15" hidden="1" customHeight="1">
      <c r="B52" s="20"/>
      <c r="C52" s="3"/>
      <c r="D52" s="3"/>
      <c r="E52" s="3"/>
      <c r="F52" s="16"/>
      <c r="H52" s="22"/>
      <c r="I52" s="3"/>
      <c r="J52" s="3"/>
      <c r="K52" s="3"/>
      <c r="L52" s="14"/>
      <c r="M52" s="1487"/>
      <c r="N52" s="28"/>
    </row>
    <row r="53" spans="2:14" ht="15" hidden="1" customHeight="1">
      <c r="B53" s="20"/>
      <c r="C53" s="3"/>
      <c r="D53" s="3"/>
      <c r="E53" s="3"/>
      <c r="F53" s="16"/>
      <c r="H53" s="22"/>
      <c r="I53" s="3"/>
      <c r="J53" s="3"/>
      <c r="K53" s="3"/>
      <c r="L53" s="14"/>
      <c r="M53" s="1487"/>
      <c r="N53" s="28"/>
    </row>
    <row r="54" spans="2:14" ht="15" hidden="1" customHeight="1">
      <c r="B54" s="20"/>
      <c r="C54" s="3"/>
      <c r="D54" s="3"/>
      <c r="E54" s="3"/>
      <c r="F54" s="16"/>
      <c r="H54" s="22"/>
      <c r="I54" s="3"/>
      <c r="J54" s="3"/>
      <c r="K54" s="3"/>
      <c r="L54" s="14"/>
      <c r="M54" s="1487"/>
      <c r="N54" s="28"/>
    </row>
    <row r="55" spans="2:14" ht="15" hidden="1" customHeight="1">
      <c r="B55" s="20"/>
      <c r="C55" s="3"/>
      <c r="D55" s="3"/>
      <c r="E55" s="3"/>
      <c r="F55" s="16"/>
      <c r="H55" s="22"/>
      <c r="I55" s="3"/>
      <c r="J55" s="3"/>
      <c r="K55" s="3"/>
      <c r="L55" s="14"/>
      <c r="M55" s="1487"/>
      <c r="N55" s="28"/>
    </row>
    <row r="56" spans="2:14" ht="15" hidden="1" customHeight="1">
      <c r="B56" s="20"/>
      <c r="C56" s="3"/>
      <c r="D56" s="3"/>
      <c r="E56" s="3"/>
      <c r="F56" s="16"/>
      <c r="H56" s="22"/>
      <c r="I56" s="3"/>
      <c r="J56" s="3"/>
      <c r="K56" s="3"/>
      <c r="L56" s="14"/>
      <c r="M56" s="1487"/>
      <c r="N56" s="28"/>
    </row>
    <row r="57" spans="2:14" ht="15" hidden="1" customHeight="1">
      <c r="B57" s="20"/>
      <c r="C57" s="3"/>
      <c r="D57" s="3"/>
      <c r="E57" s="3"/>
      <c r="F57" s="16"/>
      <c r="H57" s="22"/>
      <c r="I57" s="3"/>
      <c r="J57" s="3"/>
      <c r="K57" s="3"/>
      <c r="L57" s="14"/>
      <c r="M57" s="1487"/>
      <c r="N57" s="28"/>
    </row>
    <row r="58" spans="2:14" ht="15" hidden="1" customHeight="1">
      <c r="B58" s="20"/>
      <c r="C58" s="3"/>
      <c r="D58" s="3"/>
      <c r="E58" s="3"/>
      <c r="F58" s="16"/>
      <c r="H58" s="22"/>
      <c r="I58" s="3"/>
      <c r="J58" s="3"/>
      <c r="K58" s="3"/>
      <c r="L58" s="14"/>
      <c r="M58" s="1487"/>
      <c r="N58" s="28"/>
    </row>
    <row r="59" spans="2:14" ht="15" hidden="1" customHeight="1">
      <c r="B59" s="20"/>
      <c r="C59" s="3"/>
      <c r="D59" s="3"/>
      <c r="E59" s="3"/>
      <c r="F59" s="16"/>
      <c r="H59" s="22"/>
      <c r="I59" s="3"/>
      <c r="J59" s="3"/>
      <c r="K59" s="3"/>
      <c r="L59" s="14"/>
      <c r="M59" s="1487"/>
      <c r="N59" s="28"/>
    </row>
    <row r="60" spans="2:14" ht="15" hidden="1" customHeight="1">
      <c r="B60" s="20"/>
      <c r="C60" s="3"/>
      <c r="D60" s="3"/>
      <c r="E60" s="3"/>
      <c r="F60" s="16"/>
      <c r="H60" s="22"/>
      <c r="I60" s="3"/>
      <c r="J60" s="3"/>
      <c r="K60" s="3"/>
      <c r="L60" s="14"/>
      <c r="M60" s="1487"/>
      <c r="N60" s="28"/>
    </row>
    <row r="61" spans="2:14" ht="15" hidden="1" customHeight="1">
      <c r="B61" s="20"/>
      <c r="C61" s="3"/>
      <c r="D61" s="3"/>
      <c r="E61" s="3"/>
      <c r="F61" s="16"/>
      <c r="H61" s="22"/>
      <c r="I61" s="3"/>
      <c r="J61" s="3"/>
      <c r="K61" s="3"/>
      <c r="L61" s="14"/>
      <c r="M61" s="1487"/>
      <c r="N61" s="28"/>
    </row>
    <row r="62" spans="2:14" ht="15" hidden="1" customHeight="1">
      <c r="B62" s="20"/>
      <c r="C62" s="3"/>
      <c r="D62" s="3"/>
      <c r="E62" s="3"/>
      <c r="F62" s="16"/>
      <c r="H62" s="22"/>
      <c r="I62" s="3"/>
      <c r="J62" s="3"/>
      <c r="K62" s="3"/>
      <c r="L62" s="14"/>
      <c r="M62" s="1487"/>
      <c r="N62" s="28"/>
    </row>
    <row r="63" spans="2:14" ht="15" hidden="1" customHeight="1">
      <c r="B63" s="20"/>
      <c r="C63" s="3"/>
      <c r="D63" s="3"/>
      <c r="E63" s="3"/>
      <c r="F63" s="16"/>
      <c r="H63" s="22"/>
      <c r="I63" s="3"/>
      <c r="J63" s="3"/>
      <c r="K63" s="3"/>
      <c r="L63" s="14"/>
      <c r="M63" s="1487"/>
      <c r="N63" s="28"/>
    </row>
    <row r="64" spans="2:14" ht="15" hidden="1" customHeight="1">
      <c r="B64" s="20"/>
      <c r="C64" s="3"/>
      <c r="D64" s="3"/>
      <c r="E64" s="3"/>
      <c r="F64" s="16"/>
      <c r="H64" s="22"/>
      <c r="I64" s="3"/>
      <c r="J64" s="3"/>
      <c r="K64" s="3"/>
      <c r="L64" s="14"/>
      <c r="M64" s="1487"/>
      <c r="N64" s="28"/>
    </row>
    <row r="65" spans="2:14" ht="15" hidden="1" customHeight="1">
      <c r="B65" s="20"/>
      <c r="C65" s="3"/>
      <c r="D65" s="3"/>
      <c r="E65" s="3"/>
      <c r="F65" s="16"/>
      <c r="H65" s="22"/>
      <c r="I65" s="3"/>
      <c r="J65" s="3"/>
      <c r="K65" s="3"/>
      <c r="L65" s="14"/>
      <c r="M65" s="1487"/>
      <c r="N65" s="28"/>
    </row>
    <row r="66" spans="2:14" ht="15" hidden="1" customHeight="1">
      <c r="B66" s="20"/>
      <c r="C66" s="3"/>
      <c r="D66" s="3"/>
      <c r="E66" s="3"/>
      <c r="F66" s="16"/>
      <c r="H66" s="22"/>
      <c r="I66" s="3"/>
      <c r="J66" s="3"/>
      <c r="K66" s="3"/>
      <c r="L66" s="14"/>
      <c r="M66" s="1487"/>
      <c r="N66" s="28"/>
    </row>
    <row r="67" spans="2:14" ht="15" hidden="1" customHeight="1">
      <c r="B67" s="20"/>
      <c r="C67" s="3"/>
      <c r="D67" s="3"/>
      <c r="E67" s="3"/>
      <c r="F67" s="16"/>
      <c r="H67" s="22"/>
      <c r="I67" s="3"/>
      <c r="J67" s="3"/>
      <c r="K67" s="3"/>
      <c r="L67" s="14"/>
      <c r="M67" s="1487"/>
      <c r="N67" s="28"/>
    </row>
    <row r="68" spans="2:14" ht="15" hidden="1" customHeight="1">
      <c r="B68" s="20"/>
      <c r="C68" s="3"/>
      <c r="D68" s="3"/>
      <c r="E68" s="3"/>
      <c r="F68" s="16"/>
      <c r="H68" s="22"/>
      <c r="I68" s="3"/>
      <c r="J68" s="3"/>
      <c r="K68" s="3"/>
      <c r="L68" s="14"/>
      <c r="M68" s="1487"/>
      <c r="N68" s="28"/>
    </row>
    <row r="69" spans="2:14" ht="15" hidden="1" customHeight="1">
      <c r="B69" s="20"/>
      <c r="C69" s="3"/>
      <c r="D69" s="3"/>
      <c r="E69" s="3"/>
      <c r="F69" s="16"/>
      <c r="H69" s="22"/>
      <c r="I69" s="3"/>
      <c r="J69" s="3"/>
      <c r="K69" s="3"/>
      <c r="L69" s="14"/>
      <c r="M69" s="1487"/>
      <c r="N69" s="28"/>
    </row>
    <row r="70" spans="2:14" ht="15" hidden="1" customHeight="1">
      <c r="B70" s="20"/>
      <c r="C70" s="3"/>
      <c r="D70" s="3"/>
      <c r="E70" s="3"/>
      <c r="F70" s="16"/>
      <c r="H70" s="22"/>
      <c r="I70" s="3"/>
      <c r="J70" s="3"/>
      <c r="K70" s="3"/>
      <c r="L70" s="14"/>
      <c r="M70" s="1487"/>
      <c r="N70" s="28"/>
    </row>
    <row r="71" spans="2:14" ht="15" hidden="1" customHeight="1">
      <c r="B71" s="20"/>
      <c r="C71" s="3"/>
      <c r="D71" s="3"/>
      <c r="E71" s="3"/>
      <c r="F71" s="16"/>
      <c r="H71" s="22"/>
      <c r="I71" s="3"/>
      <c r="J71" s="3"/>
      <c r="K71" s="3"/>
      <c r="L71" s="14"/>
      <c r="M71" s="1487"/>
      <c r="N71" s="28"/>
    </row>
    <row r="72" spans="2:14" ht="15" hidden="1" customHeight="1">
      <c r="B72" s="20"/>
      <c r="C72" s="3"/>
      <c r="D72" s="3"/>
      <c r="E72" s="3"/>
      <c r="F72" s="16"/>
      <c r="H72" s="22"/>
      <c r="I72" s="3"/>
      <c r="J72" s="3"/>
      <c r="K72" s="3"/>
      <c r="L72" s="14"/>
      <c r="M72" s="1487"/>
      <c r="N72" s="28"/>
    </row>
    <row r="73" spans="2:14" ht="15" hidden="1" customHeight="1">
      <c r="B73" s="20"/>
      <c r="C73" s="3"/>
      <c r="D73" s="3"/>
      <c r="E73" s="3"/>
      <c r="F73" s="16"/>
      <c r="H73" s="22"/>
      <c r="I73" s="3"/>
      <c r="J73" s="3"/>
      <c r="K73" s="3"/>
      <c r="L73" s="14"/>
      <c r="M73" s="1487"/>
      <c r="N73" s="28"/>
    </row>
    <row r="74" spans="2:14" ht="15" hidden="1" customHeight="1">
      <c r="B74" s="20"/>
      <c r="C74" s="3"/>
      <c r="D74" s="3"/>
      <c r="E74" s="3"/>
      <c r="F74" s="16"/>
      <c r="H74" s="22"/>
      <c r="I74" s="3"/>
      <c r="J74" s="3"/>
      <c r="K74" s="3"/>
      <c r="L74" s="14"/>
      <c r="M74" s="1487"/>
      <c r="N74" s="28"/>
    </row>
    <row r="75" spans="2:14" ht="15" hidden="1" customHeight="1">
      <c r="B75" s="20"/>
      <c r="C75" s="3"/>
      <c r="D75" s="3"/>
      <c r="E75" s="3"/>
      <c r="F75" s="16"/>
      <c r="H75" s="22"/>
      <c r="I75" s="3"/>
      <c r="J75" s="3"/>
      <c r="K75" s="3"/>
      <c r="L75" s="14"/>
      <c r="M75" s="1487"/>
      <c r="N75" s="28"/>
    </row>
    <row r="76" spans="2:14" ht="15" hidden="1" customHeight="1">
      <c r="B76" s="20"/>
      <c r="C76" s="3"/>
      <c r="D76" s="3"/>
      <c r="E76" s="3"/>
      <c r="F76" s="16"/>
      <c r="H76" s="22"/>
      <c r="I76" s="3"/>
      <c r="J76" s="3"/>
      <c r="K76" s="3"/>
      <c r="L76" s="14"/>
      <c r="M76" s="1487"/>
      <c r="N76" s="28"/>
    </row>
    <row r="77" spans="2:14" ht="15" hidden="1" customHeight="1">
      <c r="B77" s="20"/>
      <c r="C77" s="3"/>
      <c r="D77" s="3"/>
      <c r="E77" s="3"/>
      <c r="F77" s="16"/>
      <c r="H77" s="22"/>
      <c r="I77" s="3"/>
      <c r="J77" s="3"/>
      <c r="K77" s="3"/>
      <c r="L77" s="14"/>
      <c r="M77" s="1487"/>
      <c r="N77" s="28"/>
    </row>
    <row r="78" spans="2:14" ht="15" hidden="1" customHeight="1">
      <c r="B78" s="20"/>
      <c r="C78" s="3"/>
      <c r="D78" s="3"/>
      <c r="E78" s="3"/>
      <c r="F78" s="16"/>
      <c r="H78" s="22"/>
      <c r="I78" s="3"/>
      <c r="J78" s="3"/>
      <c r="K78" s="3"/>
      <c r="L78" s="14"/>
      <c r="M78" s="1487"/>
      <c r="N78" s="28"/>
    </row>
    <row r="79" spans="2:14" ht="15" hidden="1" customHeight="1">
      <c r="B79" s="20"/>
      <c r="C79" s="3"/>
      <c r="D79" s="3"/>
      <c r="E79" s="3"/>
      <c r="F79" s="16"/>
      <c r="H79" s="22"/>
      <c r="I79" s="3"/>
      <c r="J79" s="3"/>
      <c r="K79" s="3"/>
      <c r="L79" s="14"/>
      <c r="M79" s="1487"/>
      <c r="N79" s="28"/>
    </row>
    <row r="80" spans="2:14" ht="15" hidden="1" customHeight="1">
      <c r="B80" s="20"/>
      <c r="C80" s="3"/>
      <c r="D80" s="3"/>
      <c r="E80" s="3"/>
      <c r="F80" s="16"/>
      <c r="H80" s="22"/>
      <c r="I80" s="3"/>
      <c r="J80" s="3"/>
      <c r="K80" s="3"/>
      <c r="L80" s="14"/>
      <c r="M80" s="1487"/>
      <c r="N80" s="28"/>
    </row>
    <row r="81" spans="2:14" ht="15" hidden="1" customHeight="1">
      <c r="B81" s="20"/>
      <c r="C81" s="3"/>
      <c r="D81" s="3"/>
      <c r="E81" s="3"/>
      <c r="F81" s="16"/>
      <c r="H81" s="22"/>
      <c r="I81" s="3"/>
      <c r="J81" s="3"/>
      <c r="K81" s="3"/>
      <c r="L81" s="14"/>
      <c r="M81" s="1487"/>
      <c r="N81" s="28"/>
    </row>
    <row r="82" spans="2:14" ht="15" hidden="1" customHeight="1">
      <c r="B82" s="20"/>
      <c r="C82" s="3"/>
      <c r="D82" s="3"/>
      <c r="E82" s="3"/>
      <c r="F82" s="16"/>
      <c r="H82" s="22"/>
      <c r="I82" s="3"/>
      <c r="J82" s="3"/>
      <c r="K82" s="3"/>
      <c r="L82" s="14"/>
      <c r="M82" s="1487"/>
      <c r="N82" s="28"/>
    </row>
    <row r="83" spans="2:14">
      <c r="B83" s="36"/>
      <c r="C83" s="3"/>
      <c r="D83" s="3"/>
      <c r="E83" s="3"/>
      <c r="F83" s="16"/>
      <c r="H83" s="22"/>
      <c r="I83" s="3"/>
      <c r="J83" s="3"/>
      <c r="K83" s="33"/>
      <c r="L83" s="3"/>
      <c r="M83" s="3"/>
      <c r="N83" s="28"/>
    </row>
    <row r="84" spans="2:14">
      <c r="B84" s="36"/>
      <c r="C84" s="3"/>
      <c r="D84" s="3"/>
      <c r="E84" s="3"/>
      <c r="F84" s="16"/>
      <c r="H84" s="22" t="s">
        <v>172</v>
      </c>
      <c r="I84" s="3"/>
      <c r="J84" s="3"/>
      <c r="K84" s="3"/>
      <c r="L84" s="3"/>
      <c r="M84" s="3"/>
      <c r="N84" s="28"/>
    </row>
    <row r="85" spans="2:14" ht="16.5">
      <c r="B85" s="36"/>
      <c r="C85" s="3"/>
      <c r="D85" s="3"/>
      <c r="E85" s="3"/>
      <c r="F85" s="16"/>
      <c r="H85" s="22"/>
      <c r="I85" s="37" t="str">
        <f>CO2データ!D184</f>
        <v>代替値</v>
      </c>
      <c r="J85" s="27">
        <f>CO2データ!I184</f>
        <v>4.7699999999999999E-4</v>
      </c>
      <c r="K85" s="33" t="s">
        <v>2784</v>
      </c>
      <c r="L85" s="3"/>
      <c r="M85" s="3"/>
      <c r="N85" s="28"/>
    </row>
    <row r="86" spans="2:14" ht="14.25" thickBot="1">
      <c r="B86" s="38"/>
      <c r="C86" s="39"/>
      <c r="D86" s="39"/>
      <c r="E86" s="39"/>
      <c r="F86" s="40"/>
      <c r="H86" s="41"/>
      <c r="I86" s="42"/>
      <c r="J86" s="42"/>
      <c r="K86" s="42"/>
      <c r="L86" s="42"/>
      <c r="M86" s="42"/>
      <c r="N86" s="43"/>
    </row>
    <row r="87" spans="2:14">
      <c r="H87" s="44"/>
      <c r="I87" s="44"/>
      <c r="J87" s="44"/>
      <c r="K87" s="44"/>
      <c r="L87" s="44"/>
      <c r="M87" s="44"/>
    </row>
    <row r="88" spans="2:14" hidden="1">
      <c r="B88" s="44" t="s">
        <v>173</v>
      </c>
      <c r="E88" s="44" t="str">
        <f>CO2データ!I104</f>
        <v>実排出係数及び代替値</v>
      </c>
      <c r="F88" s="44"/>
      <c r="G88" s="44"/>
      <c r="H88" s="44"/>
    </row>
    <row r="89" spans="2:14" hidden="1">
      <c r="C89" s="877" t="s">
        <v>2562</v>
      </c>
      <c r="D89" s="877" t="str">
        <f>I14</f>
        <v>沖縄電力(株)</v>
      </c>
      <c r="E89" s="877">
        <f>J14</f>
        <v>8.0999999999999996E-4</v>
      </c>
      <c r="F89" s="44"/>
      <c r="I89" s="45"/>
    </row>
    <row r="90" spans="2:14" hidden="1">
      <c r="C90" s="877" t="s">
        <v>2558</v>
      </c>
      <c r="D90" s="877" t="str">
        <f>I10</f>
        <v>関西電力(株)</v>
      </c>
      <c r="E90" s="877">
        <f>J10</f>
        <v>3.4000000000000002E-4</v>
      </c>
      <c r="F90" s="44"/>
      <c r="I90" s="45"/>
    </row>
    <row r="91" spans="2:14" hidden="1">
      <c r="C91" s="877" t="s">
        <v>2561</v>
      </c>
      <c r="D91" s="877" t="str">
        <f>I13</f>
        <v>九州電力(株)</v>
      </c>
      <c r="E91" s="877">
        <f>J13</f>
        <v>3.4400000000000001E-4</v>
      </c>
      <c r="F91" s="44"/>
    </row>
    <row r="92" spans="2:14" hidden="1">
      <c r="C92" s="877" t="s">
        <v>2560</v>
      </c>
      <c r="D92" s="877" t="str">
        <f>I12</f>
        <v>四国電力(株)</v>
      </c>
      <c r="E92" s="877">
        <f>J12</f>
        <v>3.8200000000000002E-4</v>
      </c>
      <c r="F92" s="44"/>
    </row>
    <row r="93" spans="2:14" hidden="1">
      <c r="C93" s="877" t="s">
        <v>2559</v>
      </c>
      <c r="D93" s="877" t="str">
        <f>I11</f>
        <v>中国電力(株)</v>
      </c>
      <c r="E93" s="877">
        <f>J11</f>
        <v>5.6099999999999998E-4</v>
      </c>
      <c r="F93" s="44"/>
    </row>
    <row r="94" spans="2:14" hidden="1">
      <c r="C94" s="877" t="s">
        <v>3823</v>
      </c>
      <c r="D94" s="877" t="str">
        <f>I8</f>
        <v>中部電力ミライズ(株)（旧：中部電力(株)）</v>
      </c>
      <c r="E94" s="877">
        <f>J8</f>
        <v>4.3100000000000001E-4</v>
      </c>
      <c r="F94" s="44"/>
    </row>
    <row r="95" spans="2:14" hidden="1">
      <c r="C95" s="877" t="s">
        <v>3821</v>
      </c>
      <c r="D95" s="877" t="str">
        <f>I7</f>
        <v>東京電力エナジーパートナー(株)</v>
      </c>
      <c r="E95" s="877">
        <f>J7</f>
        <v>4.57E-4</v>
      </c>
      <c r="F95" s="44"/>
    </row>
    <row r="96" spans="2:14" hidden="1">
      <c r="C96" s="877" t="s">
        <v>2556</v>
      </c>
      <c r="D96" s="877" t="str">
        <f>I6</f>
        <v>東北電力(株)</v>
      </c>
      <c r="E96" s="877">
        <f>J6</f>
        <v>5.1900000000000004E-4</v>
      </c>
      <c r="F96" s="44"/>
    </row>
    <row r="97" spans="3:6" hidden="1">
      <c r="C97" s="877" t="s">
        <v>2555</v>
      </c>
      <c r="D97" s="877" t="str">
        <f>I5</f>
        <v>北海道電力(株)</v>
      </c>
      <c r="E97" s="877">
        <f>J5</f>
        <v>5.9299999999999999E-4</v>
      </c>
      <c r="F97" s="44"/>
    </row>
    <row r="98" spans="3:6" hidden="1">
      <c r="C98" s="877" t="s">
        <v>2557</v>
      </c>
      <c r="D98" s="877" t="str">
        <f>I9</f>
        <v>北陸電力(株)</v>
      </c>
      <c r="E98" s="877">
        <f>J9</f>
        <v>5.1000000000000004E-4</v>
      </c>
      <c r="F98" s="44"/>
    </row>
    <row r="99" spans="3:6" hidden="1">
      <c r="F99" s="44"/>
    </row>
    <row r="100" spans="3:6" hidden="1">
      <c r="C100" s="877"/>
      <c r="D100" s="877"/>
      <c r="E100" s="2763"/>
      <c r="F100" s="44"/>
    </row>
    <row r="101" spans="3:6" hidden="1">
      <c r="C101" s="877"/>
      <c r="F101" s="44"/>
    </row>
    <row r="102" spans="3:6" hidden="1">
      <c r="C102" s="877"/>
      <c r="F102" s="44"/>
    </row>
    <row r="103" spans="3:6" hidden="1">
      <c r="C103" s="877"/>
      <c r="F103" s="44"/>
    </row>
    <row r="104" spans="3:6" hidden="1">
      <c r="C104" s="877"/>
      <c r="F104" s="44"/>
    </row>
    <row r="105" spans="3:6" hidden="1">
      <c r="C105" s="877"/>
      <c r="F105" s="44"/>
    </row>
    <row r="106" spans="3:6" hidden="1">
      <c r="C106" s="877"/>
      <c r="F106" s="44"/>
    </row>
    <row r="107" spans="3:6" hidden="1">
      <c r="C107" s="877"/>
      <c r="F107" s="44"/>
    </row>
    <row r="108" spans="3:6" hidden="1">
      <c r="C108" s="877"/>
      <c r="F108" s="44"/>
    </row>
    <row r="109" spans="3:6" hidden="1">
      <c r="C109" s="877"/>
      <c r="F109" s="44"/>
    </row>
    <row r="110" spans="3:6" hidden="1">
      <c r="C110" s="877"/>
      <c r="F110" s="44"/>
    </row>
    <row r="111" spans="3:6" hidden="1">
      <c r="C111" s="877"/>
      <c r="F111" s="44"/>
    </row>
    <row r="112" spans="3:6" hidden="1">
      <c r="C112" s="877"/>
      <c r="F112" s="44"/>
    </row>
    <row r="113" spans="3:6" hidden="1">
      <c r="C113" s="877"/>
      <c r="F113" s="44"/>
    </row>
    <row r="114" spans="3:6" hidden="1">
      <c r="C114" s="877"/>
      <c r="F114" s="44"/>
    </row>
    <row r="115" spans="3:6" hidden="1">
      <c r="C115" s="877"/>
      <c r="F115" s="44"/>
    </row>
    <row r="116" spans="3:6" hidden="1">
      <c r="C116" s="877"/>
      <c r="F116" s="44"/>
    </row>
    <row r="117" spans="3:6" hidden="1">
      <c r="C117" s="877"/>
      <c r="F117" s="44"/>
    </row>
    <row r="118" spans="3:6" hidden="1">
      <c r="C118" s="877"/>
      <c r="F118" s="44"/>
    </row>
    <row r="119" spans="3:6" hidden="1">
      <c r="C119" s="877"/>
      <c r="F119" s="44"/>
    </row>
    <row r="120" spans="3:6" hidden="1">
      <c r="C120" s="877"/>
      <c r="F120" s="44"/>
    </row>
    <row r="121" spans="3:6" hidden="1">
      <c r="C121" s="877"/>
      <c r="F121" s="44"/>
    </row>
    <row r="122" spans="3:6" hidden="1">
      <c r="C122" s="877"/>
      <c r="F122" s="44"/>
    </row>
    <row r="123" spans="3:6" hidden="1">
      <c r="C123" s="877"/>
      <c r="F123" s="44"/>
    </row>
    <row r="124" spans="3:6" hidden="1">
      <c r="C124" s="877"/>
      <c r="F124" s="44"/>
    </row>
    <row r="125" spans="3:6" hidden="1">
      <c r="C125" s="877"/>
      <c r="F125" s="44"/>
    </row>
    <row r="126" spans="3:6" hidden="1">
      <c r="C126" s="877"/>
      <c r="F126" s="44"/>
    </row>
    <row r="127" spans="3:6" hidden="1">
      <c r="C127" s="877"/>
      <c r="F127" s="44"/>
    </row>
    <row r="128" spans="3:6" hidden="1">
      <c r="C128" s="877"/>
      <c r="F128" s="44"/>
    </row>
    <row r="129" spans="3:6" hidden="1">
      <c r="C129" s="877"/>
      <c r="F129" s="44"/>
    </row>
    <row r="130" spans="3:6" hidden="1">
      <c r="C130" s="877"/>
      <c r="F130" s="44"/>
    </row>
    <row r="131" spans="3:6" hidden="1">
      <c r="C131" s="877"/>
      <c r="F131" s="44"/>
    </row>
    <row r="132" spans="3:6" hidden="1">
      <c r="C132" s="877"/>
      <c r="F132" s="44"/>
    </row>
    <row r="133" spans="3:6" hidden="1">
      <c r="C133" s="877"/>
      <c r="F133" s="44"/>
    </row>
    <row r="134" spans="3:6" hidden="1">
      <c r="C134" s="877"/>
      <c r="F134" s="44"/>
    </row>
    <row r="135" spans="3:6" hidden="1">
      <c r="C135" s="877"/>
      <c r="F135" s="44"/>
    </row>
    <row r="136" spans="3:6" hidden="1">
      <c r="C136" s="877"/>
      <c r="F136" s="44"/>
    </row>
    <row r="137" spans="3:6" hidden="1">
      <c r="C137" s="877"/>
      <c r="F137" s="44"/>
    </row>
    <row r="138" spans="3:6" hidden="1">
      <c r="C138" s="877"/>
      <c r="F138" s="44"/>
    </row>
    <row r="139" spans="3:6" hidden="1">
      <c r="C139" s="877"/>
      <c r="F139" s="44"/>
    </row>
    <row r="140" spans="3:6" hidden="1">
      <c r="C140" s="877"/>
      <c r="F140" s="44"/>
    </row>
    <row r="141" spans="3:6" hidden="1">
      <c r="C141" s="877"/>
      <c r="F141" s="44"/>
    </row>
    <row r="142" spans="3:6" hidden="1">
      <c r="C142" s="877"/>
      <c r="F142" s="44"/>
    </row>
    <row r="143" spans="3:6" hidden="1">
      <c r="C143" s="877"/>
      <c r="F143" s="44"/>
    </row>
    <row r="144" spans="3:6" hidden="1">
      <c r="C144" s="877"/>
      <c r="F144" s="44"/>
    </row>
    <row r="145" spans="3:6" hidden="1">
      <c r="C145" s="877"/>
      <c r="F145" s="44"/>
    </row>
    <row r="146" spans="3:6" hidden="1">
      <c r="C146" s="877"/>
      <c r="F146" s="44"/>
    </row>
    <row r="147" spans="3:6" hidden="1">
      <c r="C147" s="877"/>
      <c r="F147" s="44"/>
    </row>
    <row r="148" spans="3:6" hidden="1">
      <c r="C148" s="877"/>
      <c r="F148" s="44"/>
    </row>
    <row r="149" spans="3:6" hidden="1">
      <c r="C149" s="877"/>
      <c r="F149" s="44"/>
    </row>
    <row r="150" spans="3:6" hidden="1">
      <c r="C150" s="877"/>
      <c r="F150" s="44"/>
    </row>
    <row r="151" spans="3:6" hidden="1">
      <c r="C151" s="877"/>
      <c r="F151" s="44"/>
    </row>
    <row r="152" spans="3:6" hidden="1">
      <c r="C152" s="877"/>
      <c r="F152" s="44"/>
    </row>
    <row r="153" spans="3:6" hidden="1">
      <c r="C153" s="877"/>
      <c r="F153" s="44"/>
    </row>
    <row r="154" spans="3:6" hidden="1">
      <c r="C154" s="877"/>
      <c r="F154" s="44"/>
    </row>
    <row r="155" spans="3:6" hidden="1">
      <c r="C155" s="877"/>
      <c r="F155" s="44"/>
    </row>
    <row r="156" spans="3:6" hidden="1">
      <c r="C156" s="877"/>
      <c r="F156" s="44"/>
    </row>
    <row r="157" spans="3:6" hidden="1">
      <c r="C157" s="877"/>
      <c r="F157" s="44"/>
    </row>
    <row r="158" spans="3:6" hidden="1">
      <c r="C158" s="877"/>
      <c r="F158" s="44"/>
    </row>
    <row r="159" spans="3:6" hidden="1">
      <c r="C159" s="877"/>
      <c r="F159" s="44"/>
    </row>
    <row r="160" spans="3:6" hidden="1">
      <c r="C160" s="877"/>
      <c r="F160" s="44"/>
    </row>
    <row r="161" spans="3:6" hidden="1">
      <c r="C161" s="877"/>
      <c r="F161" s="44"/>
    </row>
    <row r="162" spans="3:6" hidden="1">
      <c r="C162" s="877"/>
      <c r="F162" s="44"/>
    </row>
    <row r="163" spans="3:6" hidden="1">
      <c r="C163" s="877"/>
      <c r="F163" s="44"/>
    </row>
    <row r="164" spans="3:6" hidden="1">
      <c r="C164" s="877"/>
      <c r="F164" s="44"/>
    </row>
    <row r="165" spans="3:6" hidden="1">
      <c r="C165" s="877"/>
      <c r="F165" s="44"/>
    </row>
    <row r="166" spans="3:6" hidden="1">
      <c r="C166" s="877"/>
      <c r="F166" s="44"/>
    </row>
    <row r="167" spans="3:6" hidden="1">
      <c r="C167" s="877"/>
      <c r="F167" s="44"/>
    </row>
    <row r="168" spans="3:6" hidden="1">
      <c r="C168" s="877"/>
      <c r="F168" s="44"/>
    </row>
    <row r="169" spans="3:6" hidden="1">
      <c r="C169" s="877"/>
      <c r="F169" s="44"/>
    </row>
    <row r="170" spans="3:6" hidden="1">
      <c r="C170" s="877"/>
      <c r="F170" s="44"/>
    </row>
    <row r="171" spans="3:6" hidden="1">
      <c r="C171" s="877"/>
      <c r="F171" s="44"/>
    </row>
    <row r="172" spans="3:6" hidden="1">
      <c r="C172" s="877"/>
      <c r="F172" s="44"/>
    </row>
    <row r="173" spans="3:6" hidden="1">
      <c r="C173" s="877"/>
      <c r="F173" s="44"/>
    </row>
    <row r="174" spans="3:6" hidden="1">
      <c r="C174" s="877"/>
      <c r="F174" s="44"/>
    </row>
    <row r="175" spans="3:6" hidden="1">
      <c r="C175" s="877"/>
      <c r="F175" s="44"/>
    </row>
  </sheetData>
  <sheetProtection password="C784" sheet="1" objects="1" scenarios="1"/>
  <sortState xmlns:xlrd2="http://schemas.microsoft.com/office/spreadsheetml/2017/richdata2" ref="C89:C99">
    <sortCondition ref="C89"/>
  </sortState>
  <mergeCells count="1">
    <mergeCell ref="C13:E14"/>
  </mergeCells>
  <phoneticPr fontId="27"/>
  <conditionalFormatting sqref="C16">
    <cfRule type="expression" dxfId="322" priority="2" stopIfTrue="1">
      <formula>$Q$3=2</formula>
    </cfRule>
  </conditionalFormatting>
  <conditionalFormatting sqref="C10:D10">
    <cfRule type="expression" dxfId="321" priority="3" stopIfTrue="1">
      <formula>$Q$3=1</formula>
    </cfRule>
  </conditionalFormatting>
  <conditionalFormatting sqref="C20:D20">
    <cfRule type="expression" dxfId="320" priority="1" stopIfTrue="1">
      <formula>$Q$3=3</formula>
    </cfRule>
  </conditionalFormatting>
  <conditionalFormatting sqref="C28:D28">
    <cfRule type="expression" dxfId="319" priority="5" stopIfTrue="1">
      <formula>$Q$3=5</formula>
    </cfRule>
  </conditionalFormatting>
  <dataValidations count="1">
    <dataValidation type="list" allowBlank="1" showInputMessage="1" showErrorMessage="1" sqref="C16" xr:uid="{00000000-0002-0000-0300-000000000000}">
      <formula1>$I$5:$I$16</formula1>
    </dataValidation>
  </dataValidations>
  <pageMargins left="0.75" right="0.75" top="1" bottom="1" header="0.51200000000000001" footer="0.51200000000000001"/>
  <pageSetup paperSize="9" scale="52" orientation="portrait" verticalDpi="360" r:id="rId1"/>
  <headerFooter alignWithMargins="0">
    <oddHeader>&amp;L&amp;F&amp;R&amp;A</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sizeWithCells="1">
                  <from>
                    <xdr:col>1</xdr:col>
                    <xdr:colOff>190500</xdr:colOff>
                    <xdr:row>8</xdr:row>
                    <xdr:rowOff>152400</xdr:rowOff>
                  </from>
                  <to>
                    <xdr:col>2</xdr:col>
                    <xdr:colOff>0</xdr:colOff>
                    <xdr:row>9</xdr:row>
                    <xdr:rowOff>152400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sizeWithCells="1">
                  <from>
                    <xdr:col>1</xdr:col>
                    <xdr:colOff>190500</xdr:colOff>
                    <xdr:row>14</xdr:row>
                    <xdr:rowOff>123825</xdr:rowOff>
                  </from>
                  <to>
                    <xdr:col>2</xdr:col>
                    <xdr:colOff>0</xdr:colOff>
                    <xdr:row>16</xdr:row>
                    <xdr:rowOff>19050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sizeWithCells="1">
                  <from>
                    <xdr:col>1</xdr:col>
                    <xdr:colOff>190500</xdr:colOff>
                    <xdr:row>18</xdr:row>
                    <xdr:rowOff>66675</xdr:rowOff>
                  </from>
                  <to>
                    <xdr:col>2</xdr:col>
                    <xdr:colOff>0</xdr:colOff>
                    <xdr:row>20</xdr:row>
                    <xdr:rowOff>114300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sizeWithCells="1">
                  <from>
                    <xdr:col>1</xdr:col>
                    <xdr:colOff>190500</xdr:colOff>
                    <xdr:row>22</xdr:row>
                    <xdr:rowOff>180975</xdr:rowOff>
                  </from>
                  <to>
                    <xdr:col>2</xdr:col>
                    <xdr:colOff>0</xdr:colOff>
                    <xdr:row>24</xdr:row>
                    <xdr:rowOff>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sizeWithCells="1">
                  <from>
                    <xdr:col>1</xdr:col>
                    <xdr:colOff>190500</xdr:colOff>
                    <xdr:row>26</xdr:row>
                    <xdr:rowOff>142875</xdr:rowOff>
                  </from>
                  <to>
                    <xdr:col>2</xdr:col>
                    <xdr:colOff>0</xdr:colOff>
                    <xdr:row>28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VS80"/>
  <sheetViews>
    <sheetView showGridLines="0" topLeftCell="A7" zoomScale="40" zoomScaleNormal="40" workbookViewId="0">
      <selection activeCell="F6" sqref="F6"/>
    </sheetView>
  </sheetViews>
  <sheetFormatPr defaultColWidth="0" defaultRowHeight="13.5" customHeight="1" zeroHeight="1"/>
  <cols>
    <col min="1" max="1" width="4.5" customWidth="1"/>
    <col min="2" max="2" width="8" customWidth="1"/>
    <col min="3" max="3" width="5" customWidth="1"/>
    <col min="4" max="4" width="6.375" customWidth="1"/>
    <col min="5" max="5" width="6.75" customWidth="1"/>
    <col min="6" max="6" width="37.625" customWidth="1"/>
    <col min="7" max="7" width="99.5" customWidth="1"/>
    <col min="8" max="8" width="22.375" customWidth="1"/>
    <col min="9" max="9" width="17.125" customWidth="1"/>
    <col min="10" max="10" width="2.625" customWidth="1"/>
    <col min="11" max="11" width="8.25" customWidth="1"/>
    <col min="12" max="12" width="9" hidden="1" customWidth="1"/>
    <col min="257" max="257" width="4.5" hidden="1" customWidth="1"/>
    <col min="258" max="258" width="8" hidden="1" customWidth="1"/>
    <col min="259" max="259" width="5" hidden="1" customWidth="1"/>
    <col min="260" max="260" width="6.375" hidden="1" customWidth="1"/>
    <col min="261" max="261" width="6.75" hidden="1" customWidth="1"/>
    <col min="262" max="262" width="37.625" hidden="1" customWidth="1"/>
    <col min="263" max="263" width="99.5" hidden="1" customWidth="1"/>
    <col min="264" max="264" width="22.375" hidden="1" customWidth="1"/>
    <col min="265" max="265" width="17.125" hidden="1" customWidth="1"/>
    <col min="266" max="266" width="2.625" hidden="1" customWidth="1"/>
    <col min="267" max="267" width="8.25" hidden="1" customWidth="1"/>
    <col min="268" max="268" width="0" hidden="1" customWidth="1"/>
    <col min="513" max="513" width="4.5" hidden="1" customWidth="1"/>
    <col min="514" max="514" width="8" hidden="1" customWidth="1"/>
    <col min="515" max="515" width="5" hidden="1" customWidth="1"/>
    <col min="516" max="516" width="6.375" hidden="1" customWidth="1"/>
    <col min="517" max="517" width="6.75" hidden="1" customWidth="1"/>
    <col min="518" max="518" width="37.625" hidden="1" customWidth="1"/>
    <col min="519" max="519" width="99.5" hidden="1" customWidth="1"/>
    <col min="520" max="520" width="22.375" hidden="1" customWidth="1"/>
    <col min="521" max="521" width="17.125" hidden="1" customWidth="1"/>
    <col min="522" max="522" width="2.625" hidden="1" customWidth="1"/>
    <col min="523" max="523" width="8.25" hidden="1" customWidth="1"/>
    <col min="524" max="524" width="0" hidden="1" customWidth="1"/>
    <col min="769" max="769" width="4.5" hidden="1" customWidth="1"/>
    <col min="770" max="770" width="8" hidden="1" customWidth="1"/>
    <col min="771" max="771" width="5" hidden="1" customWidth="1"/>
    <col min="772" max="772" width="6.375" hidden="1" customWidth="1"/>
    <col min="773" max="773" width="6.75" hidden="1" customWidth="1"/>
    <col min="774" max="774" width="37.625" hidden="1" customWidth="1"/>
    <col min="775" max="775" width="99.5" hidden="1" customWidth="1"/>
    <col min="776" max="776" width="22.375" hidden="1" customWidth="1"/>
    <col min="777" max="777" width="17.125" hidden="1" customWidth="1"/>
    <col min="778" max="778" width="2.625" hidden="1" customWidth="1"/>
    <col min="779" max="779" width="8.25" hidden="1" customWidth="1"/>
    <col min="780" max="780" width="0" hidden="1" customWidth="1"/>
    <col min="1025" max="1025" width="4.5" hidden="1" customWidth="1"/>
    <col min="1026" max="1026" width="8" hidden="1" customWidth="1"/>
    <col min="1027" max="1027" width="5" hidden="1" customWidth="1"/>
    <col min="1028" max="1028" width="6.375" hidden="1" customWidth="1"/>
    <col min="1029" max="1029" width="6.75" hidden="1" customWidth="1"/>
    <col min="1030" max="1030" width="37.625" hidden="1" customWidth="1"/>
    <col min="1031" max="1031" width="99.5" hidden="1" customWidth="1"/>
    <col min="1032" max="1032" width="22.375" hidden="1" customWidth="1"/>
    <col min="1033" max="1033" width="17.125" hidden="1" customWidth="1"/>
    <col min="1034" max="1034" width="2.625" hidden="1" customWidth="1"/>
    <col min="1035" max="1035" width="8.25" hidden="1" customWidth="1"/>
    <col min="1036" max="1036" width="0" hidden="1" customWidth="1"/>
    <col min="1281" max="1281" width="4.5" hidden="1" customWidth="1"/>
    <col min="1282" max="1282" width="8" hidden="1" customWidth="1"/>
    <col min="1283" max="1283" width="5" hidden="1" customWidth="1"/>
    <col min="1284" max="1284" width="6.375" hidden="1" customWidth="1"/>
    <col min="1285" max="1285" width="6.75" hidden="1" customWidth="1"/>
    <col min="1286" max="1286" width="37.625" hidden="1" customWidth="1"/>
    <col min="1287" max="1287" width="99.5" hidden="1" customWidth="1"/>
    <col min="1288" max="1288" width="22.375" hidden="1" customWidth="1"/>
    <col min="1289" max="1289" width="17.125" hidden="1" customWidth="1"/>
    <col min="1290" max="1290" width="2.625" hidden="1" customWidth="1"/>
    <col min="1291" max="1291" width="8.25" hidden="1" customWidth="1"/>
    <col min="1292" max="1292" width="0" hidden="1" customWidth="1"/>
    <col min="1537" max="1537" width="4.5" hidden="1" customWidth="1"/>
    <col min="1538" max="1538" width="8" hidden="1" customWidth="1"/>
    <col min="1539" max="1539" width="5" hidden="1" customWidth="1"/>
    <col min="1540" max="1540" width="6.375" hidden="1" customWidth="1"/>
    <col min="1541" max="1541" width="6.75" hidden="1" customWidth="1"/>
    <col min="1542" max="1542" width="37.625" hidden="1" customWidth="1"/>
    <col min="1543" max="1543" width="99.5" hidden="1" customWidth="1"/>
    <col min="1544" max="1544" width="22.375" hidden="1" customWidth="1"/>
    <col min="1545" max="1545" width="17.125" hidden="1" customWidth="1"/>
    <col min="1546" max="1546" width="2.625" hidden="1" customWidth="1"/>
    <col min="1547" max="1547" width="8.25" hidden="1" customWidth="1"/>
    <col min="1548" max="1548" width="0" hidden="1" customWidth="1"/>
    <col min="1793" max="1793" width="4.5" hidden="1" customWidth="1"/>
    <col min="1794" max="1794" width="8" hidden="1" customWidth="1"/>
    <col min="1795" max="1795" width="5" hidden="1" customWidth="1"/>
    <col min="1796" max="1796" width="6.375" hidden="1" customWidth="1"/>
    <col min="1797" max="1797" width="6.75" hidden="1" customWidth="1"/>
    <col min="1798" max="1798" width="37.625" hidden="1" customWidth="1"/>
    <col min="1799" max="1799" width="99.5" hidden="1" customWidth="1"/>
    <col min="1800" max="1800" width="22.375" hidden="1" customWidth="1"/>
    <col min="1801" max="1801" width="17.125" hidden="1" customWidth="1"/>
    <col min="1802" max="1802" width="2.625" hidden="1" customWidth="1"/>
    <col min="1803" max="1803" width="8.25" hidden="1" customWidth="1"/>
    <col min="1804" max="1804" width="0" hidden="1" customWidth="1"/>
    <col min="2049" max="2049" width="4.5" hidden="1" customWidth="1"/>
    <col min="2050" max="2050" width="8" hidden="1" customWidth="1"/>
    <col min="2051" max="2051" width="5" hidden="1" customWidth="1"/>
    <col min="2052" max="2052" width="6.375" hidden="1" customWidth="1"/>
    <col min="2053" max="2053" width="6.75" hidden="1" customWidth="1"/>
    <col min="2054" max="2054" width="37.625" hidden="1" customWidth="1"/>
    <col min="2055" max="2055" width="99.5" hidden="1" customWidth="1"/>
    <col min="2056" max="2056" width="22.375" hidden="1" customWidth="1"/>
    <col min="2057" max="2057" width="17.125" hidden="1" customWidth="1"/>
    <col min="2058" max="2058" width="2.625" hidden="1" customWidth="1"/>
    <col min="2059" max="2059" width="8.25" hidden="1" customWidth="1"/>
    <col min="2060" max="2060" width="0" hidden="1" customWidth="1"/>
    <col min="2305" max="2305" width="4.5" hidden="1" customWidth="1"/>
    <col min="2306" max="2306" width="8" hidden="1" customWidth="1"/>
    <col min="2307" max="2307" width="5" hidden="1" customWidth="1"/>
    <col min="2308" max="2308" width="6.375" hidden="1" customWidth="1"/>
    <col min="2309" max="2309" width="6.75" hidden="1" customWidth="1"/>
    <col min="2310" max="2310" width="37.625" hidden="1" customWidth="1"/>
    <col min="2311" max="2311" width="99.5" hidden="1" customWidth="1"/>
    <col min="2312" max="2312" width="22.375" hidden="1" customWidth="1"/>
    <col min="2313" max="2313" width="17.125" hidden="1" customWidth="1"/>
    <col min="2314" max="2314" width="2.625" hidden="1" customWidth="1"/>
    <col min="2315" max="2315" width="8.25" hidden="1" customWidth="1"/>
    <col min="2316" max="2316" width="0" hidden="1" customWidth="1"/>
    <col min="2561" max="2561" width="4.5" hidden="1" customWidth="1"/>
    <col min="2562" max="2562" width="8" hidden="1" customWidth="1"/>
    <col min="2563" max="2563" width="5" hidden="1" customWidth="1"/>
    <col min="2564" max="2564" width="6.375" hidden="1" customWidth="1"/>
    <col min="2565" max="2565" width="6.75" hidden="1" customWidth="1"/>
    <col min="2566" max="2566" width="37.625" hidden="1" customWidth="1"/>
    <col min="2567" max="2567" width="99.5" hidden="1" customWidth="1"/>
    <col min="2568" max="2568" width="22.375" hidden="1" customWidth="1"/>
    <col min="2569" max="2569" width="17.125" hidden="1" customWidth="1"/>
    <col min="2570" max="2570" width="2.625" hidden="1" customWidth="1"/>
    <col min="2571" max="2571" width="8.25" hidden="1" customWidth="1"/>
    <col min="2572" max="2572" width="0" hidden="1" customWidth="1"/>
    <col min="2817" max="2817" width="4.5" hidden="1" customWidth="1"/>
    <col min="2818" max="2818" width="8" hidden="1" customWidth="1"/>
    <col min="2819" max="2819" width="5" hidden="1" customWidth="1"/>
    <col min="2820" max="2820" width="6.375" hidden="1" customWidth="1"/>
    <col min="2821" max="2821" width="6.75" hidden="1" customWidth="1"/>
    <col min="2822" max="2822" width="37.625" hidden="1" customWidth="1"/>
    <col min="2823" max="2823" width="99.5" hidden="1" customWidth="1"/>
    <col min="2824" max="2824" width="22.375" hidden="1" customWidth="1"/>
    <col min="2825" max="2825" width="17.125" hidden="1" customWidth="1"/>
    <col min="2826" max="2826" width="2.625" hidden="1" customWidth="1"/>
    <col min="2827" max="2827" width="8.25" hidden="1" customWidth="1"/>
    <col min="2828" max="2828" width="0" hidden="1" customWidth="1"/>
    <col min="3073" max="3073" width="4.5" hidden="1" customWidth="1"/>
    <col min="3074" max="3074" width="8" hidden="1" customWidth="1"/>
    <col min="3075" max="3075" width="5" hidden="1" customWidth="1"/>
    <col min="3076" max="3076" width="6.375" hidden="1" customWidth="1"/>
    <col min="3077" max="3077" width="6.75" hidden="1" customWidth="1"/>
    <col min="3078" max="3078" width="37.625" hidden="1" customWidth="1"/>
    <col min="3079" max="3079" width="99.5" hidden="1" customWidth="1"/>
    <col min="3080" max="3080" width="22.375" hidden="1" customWidth="1"/>
    <col min="3081" max="3081" width="17.125" hidden="1" customWidth="1"/>
    <col min="3082" max="3082" width="2.625" hidden="1" customWidth="1"/>
    <col min="3083" max="3083" width="8.25" hidden="1" customWidth="1"/>
    <col min="3084" max="3084" width="0" hidden="1" customWidth="1"/>
    <col min="3329" max="3329" width="4.5" hidden="1" customWidth="1"/>
    <col min="3330" max="3330" width="8" hidden="1" customWidth="1"/>
    <col min="3331" max="3331" width="5" hidden="1" customWidth="1"/>
    <col min="3332" max="3332" width="6.375" hidden="1" customWidth="1"/>
    <col min="3333" max="3333" width="6.75" hidden="1" customWidth="1"/>
    <col min="3334" max="3334" width="37.625" hidden="1" customWidth="1"/>
    <col min="3335" max="3335" width="99.5" hidden="1" customWidth="1"/>
    <col min="3336" max="3336" width="22.375" hidden="1" customWidth="1"/>
    <col min="3337" max="3337" width="17.125" hidden="1" customWidth="1"/>
    <col min="3338" max="3338" width="2.625" hidden="1" customWidth="1"/>
    <col min="3339" max="3339" width="8.25" hidden="1" customWidth="1"/>
    <col min="3340" max="3340" width="0" hidden="1" customWidth="1"/>
    <col min="3585" max="3585" width="4.5" hidden="1" customWidth="1"/>
    <col min="3586" max="3586" width="8" hidden="1" customWidth="1"/>
    <col min="3587" max="3587" width="5" hidden="1" customWidth="1"/>
    <col min="3588" max="3588" width="6.375" hidden="1" customWidth="1"/>
    <col min="3589" max="3589" width="6.75" hidden="1" customWidth="1"/>
    <col min="3590" max="3590" width="37.625" hidden="1" customWidth="1"/>
    <col min="3591" max="3591" width="99.5" hidden="1" customWidth="1"/>
    <col min="3592" max="3592" width="22.375" hidden="1" customWidth="1"/>
    <col min="3593" max="3593" width="17.125" hidden="1" customWidth="1"/>
    <col min="3594" max="3594" width="2.625" hidden="1" customWidth="1"/>
    <col min="3595" max="3595" width="8.25" hidden="1" customWidth="1"/>
    <col min="3596" max="3596" width="0" hidden="1" customWidth="1"/>
    <col min="3841" max="3841" width="4.5" hidden="1" customWidth="1"/>
    <col min="3842" max="3842" width="8" hidden="1" customWidth="1"/>
    <col min="3843" max="3843" width="5" hidden="1" customWidth="1"/>
    <col min="3844" max="3844" width="6.375" hidden="1" customWidth="1"/>
    <col min="3845" max="3845" width="6.75" hidden="1" customWidth="1"/>
    <col min="3846" max="3846" width="37.625" hidden="1" customWidth="1"/>
    <col min="3847" max="3847" width="99.5" hidden="1" customWidth="1"/>
    <col min="3848" max="3848" width="22.375" hidden="1" customWidth="1"/>
    <col min="3849" max="3849" width="17.125" hidden="1" customWidth="1"/>
    <col min="3850" max="3850" width="2.625" hidden="1" customWidth="1"/>
    <col min="3851" max="3851" width="8.25" hidden="1" customWidth="1"/>
    <col min="3852" max="3852" width="0" hidden="1" customWidth="1"/>
    <col min="4097" max="4097" width="4.5" hidden="1" customWidth="1"/>
    <col min="4098" max="4098" width="8" hidden="1" customWidth="1"/>
    <col min="4099" max="4099" width="5" hidden="1" customWidth="1"/>
    <col min="4100" max="4100" width="6.375" hidden="1" customWidth="1"/>
    <col min="4101" max="4101" width="6.75" hidden="1" customWidth="1"/>
    <col min="4102" max="4102" width="37.625" hidden="1" customWidth="1"/>
    <col min="4103" max="4103" width="99.5" hidden="1" customWidth="1"/>
    <col min="4104" max="4104" width="22.375" hidden="1" customWidth="1"/>
    <col min="4105" max="4105" width="17.125" hidden="1" customWidth="1"/>
    <col min="4106" max="4106" width="2.625" hidden="1" customWidth="1"/>
    <col min="4107" max="4107" width="8.25" hidden="1" customWidth="1"/>
    <col min="4108" max="4108" width="0" hidden="1" customWidth="1"/>
    <col min="4353" max="4353" width="4.5" hidden="1" customWidth="1"/>
    <col min="4354" max="4354" width="8" hidden="1" customWidth="1"/>
    <col min="4355" max="4355" width="5" hidden="1" customWidth="1"/>
    <col min="4356" max="4356" width="6.375" hidden="1" customWidth="1"/>
    <col min="4357" max="4357" width="6.75" hidden="1" customWidth="1"/>
    <col min="4358" max="4358" width="37.625" hidden="1" customWidth="1"/>
    <col min="4359" max="4359" width="99.5" hidden="1" customWidth="1"/>
    <col min="4360" max="4360" width="22.375" hidden="1" customWidth="1"/>
    <col min="4361" max="4361" width="17.125" hidden="1" customWidth="1"/>
    <col min="4362" max="4362" width="2.625" hidden="1" customWidth="1"/>
    <col min="4363" max="4363" width="8.25" hidden="1" customWidth="1"/>
    <col min="4364" max="4364" width="0" hidden="1" customWidth="1"/>
    <col min="4609" max="4609" width="4.5" hidden="1" customWidth="1"/>
    <col min="4610" max="4610" width="8" hidden="1" customWidth="1"/>
    <col min="4611" max="4611" width="5" hidden="1" customWidth="1"/>
    <col min="4612" max="4612" width="6.375" hidden="1" customWidth="1"/>
    <col min="4613" max="4613" width="6.75" hidden="1" customWidth="1"/>
    <col min="4614" max="4614" width="37.625" hidden="1" customWidth="1"/>
    <col min="4615" max="4615" width="99.5" hidden="1" customWidth="1"/>
    <col min="4616" max="4616" width="22.375" hidden="1" customWidth="1"/>
    <col min="4617" max="4617" width="17.125" hidden="1" customWidth="1"/>
    <col min="4618" max="4618" width="2.625" hidden="1" customWidth="1"/>
    <col min="4619" max="4619" width="8.25" hidden="1" customWidth="1"/>
    <col min="4620" max="4620" width="0" hidden="1" customWidth="1"/>
    <col min="4865" max="4865" width="4.5" hidden="1" customWidth="1"/>
    <col min="4866" max="4866" width="8" hidden="1" customWidth="1"/>
    <col min="4867" max="4867" width="5" hidden="1" customWidth="1"/>
    <col min="4868" max="4868" width="6.375" hidden="1" customWidth="1"/>
    <col min="4869" max="4869" width="6.75" hidden="1" customWidth="1"/>
    <col min="4870" max="4870" width="37.625" hidden="1" customWidth="1"/>
    <col min="4871" max="4871" width="99.5" hidden="1" customWidth="1"/>
    <col min="4872" max="4872" width="22.375" hidden="1" customWidth="1"/>
    <col min="4873" max="4873" width="17.125" hidden="1" customWidth="1"/>
    <col min="4874" max="4874" width="2.625" hidden="1" customWidth="1"/>
    <col min="4875" max="4875" width="8.25" hidden="1" customWidth="1"/>
    <col min="4876" max="4876" width="0" hidden="1" customWidth="1"/>
    <col min="5121" max="5121" width="4.5" hidden="1" customWidth="1"/>
    <col min="5122" max="5122" width="8" hidden="1" customWidth="1"/>
    <col min="5123" max="5123" width="5" hidden="1" customWidth="1"/>
    <col min="5124" max="5124" width="6.375" hidden="1" customWidth="1"/>
    <col min="5125" max="5125" width="6.75" hidden="1" customWidth="1"/>
    <col min="5126" max="5126" width="37.625" hidden="1" customWidth="1"/>
    <col min="5127" max="5127" width="99.5" hidden="1" customWidth="1"/>
    <col min="5128" max="5128" width="22.375" hidden="1" customWidth="1"/>
    <col min="5129" max="5129" width="17.125" hidden="1" customWidth="1"/>
    <col min="5130" max="5130" width="2.625" hidden="1" customWidth="1"/>
    <col min="5131" max="5131" width="8.25" hidden="1" customWidth="1"/>
    <col min="5132" max="5132" width="0" hidden="1" customWidth="1"/>
    <col min="5377" max="5377" width="4.5" hidden="1" customWidth="1"/>
    <col min="5378" max="5378" width="8" hidden="1" customWidth="1"/>
    <col min="5379" max="5379" width="5" hidden="1" customWidth="1"/>
    <col min="5380" max="5380" width="6.375" hidden="1" customWidth="1"/>
    <col min="5381" max="5381" width="6.75" hidden="1" customWidth="1"/>
    <col min="5382" max="5382" width="37.625" hidden="1" customWidth="1"/>
    <col min="5383" max="5383" width="99.5" hidden="1" customWidth="1"/>
    <col min="5384" max="5384" width="22.375" hidden="1" customWidth="1"/>
    <col min="5385" max="5385" width="17.125" hidden="1" customWidth="1"/>
    <col min="5386" max="5386" width="2.625" hidden="1" customWidth="1"/>
    <col min="5387" max="5387" width="8.25" hidden="1" customWidth="1"/>
    <col min="5388" max="5388" width="0" hidden="1" customWidth="1"/>
    <col min="5633" max="5633" width="4.5" hidden="1" customWidth="1"/>
    <col min="5634" max="5634" width="8" hidden="1" customWidth="1"/>
    <col min="5635" max="5635" width="5" hidden="1" customWidth="1"/>
    <col min="5636" max="5636" width="6.375" hidden="1" customWidth="1"/>
    <col min="5637" max="5637" width="6.75" hidden="1" customWidth="1"/>
    <col min="5638" max="5638" width="37.625" hidden="1" customWidth="1"/>
    <col min="5639" max="5639" width="99.5" hidden="1" customWidth="1"/>
    <col min="5640" max="5640" width="22.375" hidden="1" customWidth="1"/>
    <col min="5641" max="5641" width="17.125" hidden="1" customWidth="1"/>
    <col min="5642" max="5642" width="2.625" hidden="1" customWidth="1"/>
    <col min="5643" max="5643" width="8.25" hidden="1" customWidth="1"/>
    <col min="5644" max="5644" width="0" hidden="1" customWidth="1"/>
    <col min="5889" max="5889" width="4.5" hidden="1" customWidth="1"/>
    <col min="5890" max="5890" width="8" hidden="1" customWidth="1"/>
    <col min="5891" max="5891" width="5" hidden="1" customWidth="1"/>
    <col min="5892" max="5892" width="6.375" hidden="1" customWidth="1"/>
    <col min="5893" max="5893" width="6.75" hidden="1" customWidth="1"/>
    <col min="5894" max="5894" width="37.625" hidden="1" customWidth="1"/>
    <col min="5895" max="5895" width="99.5" hidden="1" customWidth="1"/>
    <col min="5896" max="5896" width="22.375" hidden="1" customWidth="1"/>
    <col min="5897" max="5897" width="17.125" hidden="1" customWidth="1"/>
    <col min="5898" max="5898" width="2.625" hidden="1" customWidth="1"/>
    <col min="5899" max="5899" width="8.25" hidden="1" customWidth="1"/>
    <col min="5900" max="5900" width="0" hidden="1" customWidth="1"/>
    <col min="6145" max="6145" width="4.5" hidden="1" customWidth="1"/>
    <col min="6146" max="6146" width="8" hidden="1" customWidth="1"/>
    <col min="6147" max="6147" width="5" hidden="1" customWidth="1"/>
    <col min="6148" max="6148" width="6.375" hidden="1" customWidth="1"/>
    <col min="6149" max="6149" width="6.75" hidden="1" customWidth="1"/>
    <col min="6150" max="6150" width="37.625" hidden="1" customWidth="1"/>
    <col min="6151" max="6151" width="99.5" hidden="1" customWidth="1"/>
    <col min="6152" max="6152" width="22.375" hidden="1" customWidth="1"/>
    <col min="6153" max="6153" width="17.125" hidden="1" customWidth="1"/>
    <col min="6154" max="6154" width="2.625" hidden="1" customWidth="1"/>
    <col min="6155" max="6155" width="8.25" hidden="1" customWidth="1"/>
    <col min="6156" max="6156" width="0" hidden="1" customWidth="1"/>
    <col min="6401" max="6401" width="4.5" hidden="1" customWidth="1"/>
    <col min="6402" max="6402" width="8" hidden="1" customWidth="1"/>
    <col min="6403" max="6403" width="5" hidden="1" customWidth="1"/>
    <col min="6404" max="6404" width="6.375" hidden="1" customWidth="1"/>
    <col min="6405" max="6405" width="6.75" hidden="1" customWidth="1"/>
    <col min="6406" max="6406" width="37.625" hidden="1" customWidth="1"/>
    <col min="6407" max="6407" width="99.5" hidden="1" customWidth="1"/>
    <col min="6408" max="6408" width="22.375" hidden="1" customWidth="1"/>
    <col min="6409" max="6409" width="17.125" hidden="1" customWidth="1"/>
    <col min="6410" max="6410" width="2.625" hidden="1" customWidth="1"/>
    <col min="6411" max="6411" width="8.25" hidden="1" customWidth="1"/>
    <col min="6412" max="6412" width="0" hidden="1" customWidth="1"/>
    <col min="6657" max="6657" width="4.5" hidden="1" customWidth="1"/>
    <col min="6658" max="6658" width="8" hidden="1" customWidth="1"/>
    <col min="6659" max="6659" width="5" hidden="1" customWidth="1"/>
    <col min="6660" max="6660" width="6.375" hidden="1" customWidth="1"/>
    <col min="6661" max="6661" width="6.75" hidden="1" customWidth="1"/>
    <col min="6662" max="6662" width="37.625" hidden="1" customWidth="1"/>
    <col min="6663" max="6663" width="99.5" hidden="1" customWidth="1"/>
    <col min="6664" max="6664" width="22.375" hidden="1" customWidth="1"/>
    <col min="6665" max="6665" width="17.125" hidden="1" customWidth="1"/>
    <col min="6666" max="6666" width="2.625" hidden="1" customWidth="1"/>
    <col min="6667" max="6667" width="8.25" hidden="1" customWidth="1"/>
    <col min="6668" max="6668" width="0" hidden="1" customWidth="1"/>
    <col min="6913" max="6913" width="4.5" hidden="1" customWidth="1"/>
    <col min="6914" max="6914" width="8" hidden="1" customWidth="1"/>
    <col min="6915" max="6915" width="5" hidden="1" customWidth="1"/>
    <col min="6916" max="6916" width="6.375" hidden="1" customWidth="1"/>
    <col min="6917" max="6917" width="6.75" hidden="1" customWidth="1"/>
    <col min="6918" max="6918" width="37.625" hidden="1" customWidth="1"/>
    <col min="6919" max="6919" width="99.5" hidden="1" customWidth="1"/>
    <col min="6920" max="6920" width="22.375" hidden="1" customWidth="1"/>
    <col min="6921" max="6921" width="17.125" hidden="1" customWidth="1"/>
    <col min="6922" max="6922" width="2.625" hidden="1" customWidth="1"/>
    <col min="6923" max="6923" width="8.25" hidden="1" customWidth="1"/>
    <col min="6924" max="6924" width="0" hidden="1" customWidth="1"/>
    <col min="7169" max="7169" width="4.5" hidden="1" customWidth="1"/>
    <col min="7170" max="7170" width="8" hidden="1" customWidth="1"/>
    <col min="7171" max="7171" width="5" hidden="1" customWidth="1"/>
    <col min="7172" max="7172" width="6.375" hidden="1" customWidth="1"/>
    <col min="7173" max="7173" width="6.75" hidden="1" customWidth="1"/>
    <col min="7174" max="7174" width="37.625" hidden="1" customWidth="1"/>
    <col min="7175" max="7175" width="99.5" hidden="1" customWidth="1"/>
    <col min="7176" max="7176" width="22.375" hidden="1" customWidth="1"/>
    <col min="7177" max="7177" width="17.125" hidden="1" customWidth="1"/>
    <col min="7178" max="7178" width="2.625" hidden="1" customWidth="1"/>
    <col min="7179" max="7179" width="8.25" hidden="1" customWidth="1"/>
    <col min="7180" max="7180" width="0" hidden="1" customWidth="1"/>
    <col min="7425" max="7425" width="4.5" hidden="1" customWidth="1"/>
    <col min="7426" max="7426" width="8" hidden="1" customWidth="1"/>
    <col min="7427" max="7427" width="5" hidden="1" customWidth="1"/>
    <col min="7428" max="7428" width="6.375" hidden="1" customWidth="1"/>
    <col min="7429" max="7429" width="6.75" hidden="1" customWidth="1"/>
    <col min="7430" max="7430" width="37.625" hidden="1" customWidth="1"/>
    <col min="7431" max="7431" width="99.5" hidden="1" customWidth="1"/>
    <col min="7432" max="7432" width="22.375" hidden="1" customWidth="1"/>
    <col min="7433" max="7433" width="17.125" hidden="1" customWidth="1"/>
    <col min="7434" max="7434" width="2.625" hidden="1" customWidth="1"/>
    <col min="7435" max="7435" width="8.25" hidden="1" customWidth="1"/>
    <col min="7436" max="7436" width="0" hidden="1" customWidth="1"/>
    <col min="7681" max="7681" width="4.5" hidden="1" customWidth="1"/>
    <col min="7682" max="7682" width="8" hidden="1" customWidth="1"/>
    <col min="7683" max="7683" width="5" hidden="1" customWidth="1"/>
    <col min="7684" max="7684" width="6.375" hidden="1" customWidth="1"/>
    <col min="7685" max="7685" width="6.75" hidden="1" customWidth="1"/>
    <col min="7686" max="7686" width="37.625" hidden="1" customWidth="1"/>
    <col min="7687" max="7687" width="99.5" hidden="1" customWidth="1"/>
    <col min="7688" max="7688" width="22.375" hidden="1" customWidth="1"/>
    <col min="7689" max="7689" width="17.125" hidden="1" customWidth="1"/>
    <col min="7690" max="7690" width="2.625" hidden="1" customWidth="1"/>
    <col min="7691" max="7691" width="8.25" hidden="1" customWidth="1"/>
    <col min="7692" max="7692" width="0" hidden="1" customWidth="1"/>
    <col min="7937" max="7937" width="4.5" hidden="1" customWidth="1"/>
    <col min="7938" max="7938" width="8" hidden="1" customWidth="1"/>
    <col min="7939" max="7939" width="5" hidden="1" customWidth="1"/>
    <col min="7940" max="7940" width="6.375" hidden="1" customWidth="1"/>
    <col min="7941" max="7941" width="6.75" hidden="1" customWidth="1"/>
    <col min="7942" max="7942" width="37.625" hidden="1" customWidth="1"/>
    <col min="7943" max="7943" width="99.5" hidden="1" customWidth="1"/>
    <col min="7944" max="7944" width="22.375" hidden="1" customWidth="1"/>
    <col min="7945" max="7945" width="17.125" hidden="1" customWidth="1"/>
    <col min="7946" max="7946" width="2.625" hidden="1" customWidth="1"/>
    <col min="7947" max="7947" width="8.25" hidden="1" customWidth="1"/>
    <col min="7948" max="7948" width="0" hidden="1" customWidth="1"/>
    <col min="8193" max="8193" width="4.5" hidden="1" customWidth="1"/>
    <col min="8194" max="8194" width="8" hidden="1" customWidth="1"/>
    <col min="8195" max="8195" width="5" hidden="1" customWidth="1"/>
    <col min="8196" max="8196" width="6.375" hidden="1" customWidth="1"/>
    <col min="8197" max="8197" width="6.75" hidden="1" customWidth="1"/>
    <col min="8198" max="8198" width="37.625" hidden="1" customWidth="1"/>
    <col min="8199" max="8199" width="99.5" hidden="1" customWidth="1"/>
    <col min="8200" max="8200" width="22.375" hidden="1" customWidth="1"/>
    <col min="8201" max="8201" width="17.125" hidden="1" customWidth="1"/>
    <col min="8202" max="8202" width="2.625" hidden="1" customWidth="1"/>
    <col min="8203" max="8203" width="8.25" hidden="1" customWidth="1"/>
    <col min="8204" max="8204" width="0" hidden="1" customWidth="1"/>
    <col min="8449" max="8449" width="4.5" hidden="1" customWidth="1"/>
    <col min="8450" max="8450" width="8" hidden="1" customWidth="1"/>
    <col min="8451" max="8451" width="5" hidden="1" customWidth="1"/>
    <col min="8452" max="8452" width="6.375" hidden="1" customWidth="1"/>
    <col min="8453" max="8453" width="6.75" hidden="1" customWidth="1"/>
    <col min="8454" max="8454" width="37.625" hidden="1" customWidth="1"/>
    <col min="8455" max="8455" width="99.5" hidden="1" customWidth="1"/>
    <col min="8456" max="8456" width="22.375" hidden="1" customWidth="1"/>
    <col min="8457" max="8457" width="17.125" hidden="1" customWidth="1"/>
    <col min="8458" max="8458" width="2.625" hidden="1" customWidth="1"/>
    <col min="8459" max="8459" width="8.25" hidden="1" customWidth="1"/>
    <col min="8460" max="8460" width="0" hidden="1" customWidth="1"/>
    <col min="8705" max="8705" width="4.5" hidden="1" customWidth="1"/>
    <col min="8706" max="8706" width="8" hidden="1" customWidth="1"/>
    <col min="8707" max="8707" width="5" hidden="1" customWidth="1"/>
    <col min="8708" max="8708" width="6.375" hidden="1" customWidth="1"/>
    <col min="8709" max="8709" width="6.75" hidden="1" customWidth="1"/>
    <col min="8710" max="8710" width="37.625" hidden="1" customWidth="1"/>
    <col min="8711" max="8711" width="99.5" hidden="1" customWidth="1"/>
    <col min="8712" max="8712" width="22.375" hidden="1" customWidth="1"/>
    <col min="8713" max="8713" width="17.125" hidden="1" customWidth="1"/>
    <col min="8714" max="8714" width="2.625" hidden="1" customWidth="1"/>
    <col min="8715" max="8715" width="8.25" hidden="1" customWidth="1"/>
    <col min="8716" max="8716" width="0" hidden="1" customWidth="1"/>
    <col min="8961" max="8961" width="4.5" hidden="1" customWidth="1"/>
    <col min="8962" max="8962" width="8" hidden="1" customWidth="1"/>
    <col min="8963" max="8963" width="5" hidden="1" customWidth="1"/>
    <col min="8964" max="8964" width="6.375" hidden="1" customWidth="1"/>
    <col min="8965" max="8965" width="6.75" hidden="1" customWidth="1"/>
    <col min="8966" max="8966" width="37.625" hidden="1" customWidth="1"/>
    <col min="8967" max="8967" width="99.5" hidden="1" customWidth="1"/>
    <col min="8968" max="8968" width="22.375" hidden="1" customWidth="1"/>
    <col min="8969" max="8969" width="17.125" hidden="1" customWidth="1"/>
    <col min="8970" max="8970" width="2.625" hidden="1" customWidth="1"/>
    <col min="8971" max="8971" width="8.25" hidden="1" customWidth="1"/>
    <col min="8972" max="8972" width="0" hidden="1" customWidth="1"/>
    <col min="9217" max="9217" width="4.5" hidden="1" customWidth="1"/>
    <col min="9218" max="9218" width="8" hidden="1" customWidth="1"/>
    <col min="9219" max="9219" width="5" hidden="1" customWidth="1"/>
    <col min="9220" max="9220" width="6.375" hidden="1" customWidth="1"/>
    <col min="9221" max="9221" width="6.75" hidden="1" customWidth="1"/>
    <col min="9222" max="9222" width="37.625" hidden="1" customWidth="1"/>
    <col min="9223" max="9223" width="99.5" hidden="1" customWidth="1"/>
    <col min="9224" max="9224" width="22.375" hidden="1" customWidth="1"/>
    <col min="9225" max="9225" width="17.125" hidden="1" customWidth="1"/>
    <col min="9226" max="9226" width="2.625" hidden="1" customWidth="1"/>
    <col min="9227" max="9227" width="8.25" hidden="1" customWidth="1"/>
    <col min="9228" max="9228" width="0" hidden="1" customWidth="1"/>
    <col min="9473" max="9473" width="4.5" hidden="1" customWidth="1"/>
    <col min="9474" max="9474" width="8" hidden="1" customWidth="1"/>
    <col min="9475" max="9475" width="5" hidden="1" customWidth="1"/>
    <col min="9476" max="9476" width="6.375" hidden="1" customWidth="1"/>
    <col min="9477" max="9477" width="6.75" hidden="1" customWidth="1"/>
    <col min="9478" max="9478" width="37.625" hidden="1" customWidth="1"/>
    <col min="9479" max="9479" width="99.5" hidden="1" customWidth="1"/>
    <col min="9480" max="9480" width="22.375" hidden="1" customWidth="1"/>
    <col min="9481" max="9481" width="17.125" hidden="1" customWidth="1"/>
    <col min="9482" max="9482" width="2.625" hidden="1" customWidth="1"/>
    <col min="9483" max="9483" width="8.25" hidden="1" customWidth="1"/>
    <col min="9484" max="9484" width="0" hidden="1" customWidth="1"/>
    <col min="9729" max="9729" width="4.5" hidden="1" customWidth="1"/>
    <col min="9730" max="9730" width="8" hidden="1" customWidth="1"/>
    <col min="9731" max="9731" width="5" hidden="1" customWidth="1"/>
    <col min="9732" max="9732" width="6.375" hidden="1" customWidth="1"/>
    <col min="9733" max="9733" width="6.75" hidden="1" customWidth="1"/>
    <col min="9734" max="9734" width="37.625" hidden="1" customWidth="1"/>
    <col min="9735" max="9735" width="99.5" hidden="1" customWidth="1"/>
    <col min="9736" max="9736" width="22.375" hidden="1" customWidth="1"/>
    <col min="9737" max="9737" width="17.125" hidden="1" customWidth="1"/>
    <col min="9738" max="9738" width="2.625" hidden="1" customWidth="1"/>
    <col min="9739" max="9739" width="8.25" hidden="1" customWidth="1"/>
    <col min="9740" max="9740" width="0" hidden="1" customWidth="1"/>
    <col min="9985" max="9985" width="4.5" hidden="1" customWidth="1"/>
    <col min="9986" max="9986" width="8" hidden="1" customWidth="1"/>
    <col min="9987" max="9987" width="5" hidden="1" customWidth="1"/>
    <col min="9988" max="9988" width="6.375" hidden="1" customWidth="1"/>
    <col min="9989" max="9989" width="6.75" hidden="1" customWidth="1"/>
    <col min="9990" max="9990" width="37.625" hidden="1" customWidth="1"/>
    <col min="9991" max="9991" width="99.5" hidden="1" customWidth="1"/>
    <col min="9992" max="9992" width="22.375" hidden="1" customWidth="1"/>
    <col min="9993" max="9993" width="17.125" hidden="1" customWidth="1"/>
    <col min="9994" max="9994" width="2.625" hidden="1" customWidth="1"/>
    <col min="9995" max="9995" width="8.25" hidden="1" customWidth="1"/>
    <col min="9996" max="9996" width="0" hidden="1" customWidth="1"/>
    <col min="10241" max="10241" width="4.5" hidden="1" customWidth="1"/>
    <col min="10242" max="10242" width="8" hidden="1" customWidth="1"/>
    <col min="10243" max="10243" width="5" hidden="1" customWidth="1"/>
    <col min="10244" max="10244" width="6.375" hidden="1" customWidth="1"/>
    <col min="10245" max="10245" width="6.75" hidden="1" customWidth="1"/>
    <col min="10246" max="10246" width="37.625" hidden="1" customWidth="1"/>
    <col min="10247" max="10247" width="99.5" hidden="1" customWidth="1"/>
    <col min="10248" max="10248" width="22.375" hidden="1" customWidth="1"/>
    <col min="10249" max="10249" width="17.125" hidden="1" customWidth="1"/>
    <col min="10250" max="10250" width="2.625" hidden="1" customWidth="1"/>
    <col min="10251" max="10251" width="8.25" hidden="1" customWidth="1"/>
    <col min="10252" max="10252" width="0" hidden="1" customWidth="1"/>
    <col min="10497" max="10497" width="4.5" hidden="1" customWidth="1"/>
    <col min="10498" max="10498" width="8" hidden="1" customWidth="1"/>
    <col min="10499" max="10499" width="5" hidden="1" customWidth="1"/>
    <col min="10500" max="10500" width="6.375" hidden="1" customWidth="1"/>
    <col min="10501" max="10501" width="6.75" hidden="1" customWidth="1"/>
    <col min="10502" max="10502" width="37.625" hidden="1" customWidth="1"/>
    <col min="10503" max="10503" width="99.5" hidden="1" customWidth="1"/>
    <col min="10504" max="10504" width="22.375" hidden="1" customWidth="1"/>
    <col min="10505" max="10505" width="17.125" hidden="1" customWidth="1"/>
    <col min="10506" max="10506" width="2.625" hidden="1" customWidth="1"/>
    <col min="10507" max="10507" width="8.25" hidden="1" customWidth="1"/>
    <col min="10508" max="10508" width="0" hidden="1" customWidth="1"/>
    <col min="10753" max="10753" width="4.5" hidden="1" customWidth="1"/>
    <col min="10754" max="10754" width="8" hidden="1" customWidth="1"/>
    <col min="10755" max="10755" width="5" hidden="1" customWidth="1"/>
    <col min="10756" max="10756" width="6.375" hidden="1" customWidth="1"/>
    <col min="10757" max="10757" width="6.75" hidden="1" customWidth="1"/>
    <col min="10758" max="10758" width="37.625" hidden="1" customWidth="1"/>
    <col min="10759" max="10759" width="99.5" hidden="1" customWidth="1"/>
    <col min="10760" max="10760" width="22.375" hidden="1" customWidth="1"/>
    <col min="10761" max="10761" width="17.125" hidden="1" customWidth="1"/>
    <col min="10762" max="10762" width="2.625" hidden="1" customWidth="1"/>
    <col min="10763" max="10763" width="8.25" hidden="1" customWidth="1"/>
    <col min="10764" max="10764" width="0" hidden="1" customWidth="1"/>
    <col min="11009" max="11009" width="4.5" hidden="1" customWidth="1"/>
    <col min="11010" max="11010" width="8" hidden="1" customWidth="1"/>
    <col min="11011" max="11011" width="5" hidden="1" customWidth="1"/>
    <col min="11012" max="11012" width="6.375" hidden="1" customWidth="1"/>
    <col min="11013" max="11013" width="6.75" hidden="1" customWidth="1"/>
    <col min="11014" max="11014" width="37.625" hidden="1" customWidth="1"/>
    <col min="11015" max="11015" width="99.5" hidden="1" customWidth="1"/>
    <col min="11016" max="11016" width="22.375" hidden="1" customWidth="1"/>
    <col min="11017" max="11017" width="17.125" hidden="1" customWidth="1"/>
    <col min="11018" max="11018" width="2.625" hidden="1" customWidth="1"/>
    <col min="11019" max="11019" width="8.25" hidden="1" customWidth="1"/>
    <col min="11020" max="11020" width="0" hidden="1" customWidth="1"/>
    <col min="11265" max="11265" width="4.5" hidden="1" customWidth="1"/>
    <col min="11266" max="11266" width="8" hidden="1" customWidth="1"/>
    <col min="11267" max="11267" width="5" hidden="1" customWidth="1"/>
    <col min="11268" max="11268" width="6.375" hidden="1" customWidth="1"/>
    <col min="11269" max="11269" width="6.75" hidden="1" customWidth="1"/>
    <col min="11270" max="11270" width="37.625" hidden="1" customWidth="1"/>
    <col min="11271" max="11271" width="99.5" hidden="1" customWidth="1"/>
    <col min="11272" max="11272" width="22.375" hidden="1" customWidth="1"/>
    <col min="11273" max="11273" width="17.125" hidden="1" customWidth="1"/>
    <col min="11274" max="11274" width="2.625" hidden="1" customWidth="1"/>
    <col min="11275" max="11275" width="8.25" hidden="1" customWidth="1"/>
    <col min="11276" max="11276" width="0" hidden="1" customWidth="1"/>
    <col min="11521" max="11521" width="4.5" hidden="1" customWidth="1"/>
    <col min="11522" max="11522" width="8" hidden="1" customWidth="1"/>
    <col min="11523" max="11523" width="5" hidden="1" customWidth="1"/>
    <col min="11524" max="11524" width="6.375" hidden="1" customWidth="1"/>
    <col min="11525" max="11525" width="6.75" hidden="1" customWidth="1"/>
    <col min="11526" max="11526" width="37.625" hidden="1" customWidth="1"/>
    <col min="11527" max="11527" width="99.5" hidden="1" customWidth="1"/>
    <col min="11528" max="11528" width="22.375" hidden="1" customWidth="1"/>
    <col min="11529" max="11529" width="17.125" hidden="1" customWidth="1"/>
    <col min="11530" max="11530" width="2.625" hidden="1" customWidth="1"/>
    <col min="11531" max="11531" width="8.25" hidden="1" customWidth="1"/>
    <col min="11532" max="11532" width="0" hidden="1" customWidth="1"/>
    <col min="11777" max="11777" width="4.5" hidden="1" customWidth="1"/>
    <col min="11778" max="11778" width="8" hidden="1" customWidth="1"/>
    <col min="11779" max="11779" width="5" hidden="1" customWidth="1"/>
    <col min="11780" max="11780" width="6.375" hidden="1" customWidth="1"/>
    <col min="11781" max="11781" width="6.75" hidden="1" customWidth="1"/>
    <col min="11782" max="11782" width="37.625" hidden="1" customWidth="1"/>
    <col min="11783" max="11783" width="99.5" hidden="1" customWidth="1"/>
    <col min="11784" max="11784" width="22.375" hidden="1" customWidth="1"/>
    <col min="11785" max="11785" width="17.125" hidden="1" customWidth="1"/>
    <col min="11786" max="11786" width="2.625" hidden="1" customWidth="1"/>
    <col min="11787" max="11787" width="8.25" hidden="1" customWidth="1"/>
    <col min="11788" max="11788" width="0" hidden="1" customWidth="1"/>
    <col min="12033" max="12033" width="4.5" hidden="1" customWidth="1"/>
    <col min="12034" max="12034" width="8" hidden="1" customWidth="1"/>
    <col min="12035" max="12035" width="5" hidden="1" customWidth="1"/>
    <col min="12036" max="12036" width="6.375" hidden="1" customWidth="1"/>
    <col min="12037" max="12037" width="6.75" hidden="1" customWidth="1"/>
    <col min="12038" max="12038" width="37.625" hidden="1" customWidth="1"/>
    <col min="12039" max="12039" width="99.5" hidden="1" customWidth="1"/>
    <col min="12040" max="12040" width="22.375" hidden="1" customWidth="1"/>
    <col min="12041" max="12041" width="17.125" hidden="1" customWidth="1"/>
    <col min="12042" max="12042" width="2.625" hidden="1" customWidth="1"/>
    <col min="12043" max="12043" width="8.25" hidden="1" customWidth="1"/>
    <col min="12044" max="12044" width="0" hidden="1" customWidth="1"/>
    <col min="12289" max="12289" width="4.5" hidden="1" customWidth="1"/>
    <col min="12290" max="12290" width="8" hidden="1" customWidth="1"/>
    <col min="12291" max="12291" width="5" hidden="1" customWidth="1"/>
    <col min="12292" max="12292" width="6.375" hidden="1" customWidth="1"/>
    <col min="12293" max="12293" width="6.75" hidden="1" customWidth="1"/>
    <col min="12294" max="12294" width="37.625" hidden="1" customWidth="1"/>
    <col min="12295" max="12295" width="99.5" hidden="1" customWidth="1"/>
    <col min="12296" max="12296" width="22.375" hidden="1" customWidth="1"/>
    <col min="12297" max="12297" width="17.125" hidden="1" customWidth="1"/>
    <col min="12298" max="12298" width="2.625" hidden="1" customWidth="1"/>
    <col min="12299" max="12299" width="8.25" hidden="1" customWidth="1"/>
    <col min="12300" max="12300" width="0" hidden="1" customWidth="1"/>
    <col min="12545" max="12545" width="4.5" hidden="1" customWidth="1"/>
    <col min="12546" max="12546" width="8" hidden="1" customWidth="1"/>
    <col min="12547" max="12547" width="5" hidden="1" customWidth="1"/>
    <col min="12548" max="12548" width="6.375" hidden="1" customWidth="1"/>
    <col min="12549" max="12549" width="6.75" hidden="1" customWidth="1"/>
    <col min="12550" max="12550" width="37.625" hidden="1" customWidth="1"/>
    <col min="12551" max="12551" width="99.5" hidden="1" customWidth="1"/>
    <col min="12552" max="12552" width="22.375" hidden="1" customWidth="1"/>
    <col min="12553" max="12553" width="17.125" hidden="1" customWidth="1"/>
    <col min="12554" max="12554" width="2.625" hidden="1" customWidth="1"/>
    <col min="12555" max="12555" width="8.25" hidden="1" customWidth="1"/>
    <col min="12556" max="12556" width="0" hidden="1" customWidth="1"/>
    <col min="12801" max="12801" width="4.5" hidden="1" customWidth="1"/>
    <col min="12802" max="12802" width="8" hidden="1" customWidth="1"/>
    <col min="12803" max="12803" width="5" hidden="1" customWidth="1"/>
    <col min="12804" max="12804" width="6.375" hidden="1" customWidth="1"/>
    <col min="12805" max="12805" width="6.75" hidden="1" customWidth="1"/>
    <col min="12806" max="12806" width="37.625" hidden="1" customWidth="1"/>
    <col min="12807" max="12807" width="99.5" hidden="1" customWidth="1"/>
    <col min="12808" max="12808" width="22.375" hidden="1" customWidth="1"/>
    <col min="12809" max="12809" width="17.125" hidden="1" customWidth="1"/>
    <col min="12810" max="12810" width="2.625" hidden="1" customWidth="1"/>
    <col min="12811" max="12811" width="8.25" hidden="1" customWidth="1"/>
    <col min="12812" max="12812" width="0" hidden="1" customWidth="1"/>
    <col min="13057" max="13057" width="4.5" hidden="1" customWidth="1"/>
    <col min="13058" max="13058" width="8" hidden="1" customWidth="1"/>
    <col min="13059" max="13059" width="5" hidden="1" customWidth="1"/>
    <col min="13060" max="13060" width="6.375" hidden="1" customWidth="1"/>
    <col min="13061" max="13061" width="6.75" hidden="1" customWidth="1"/>
    <col min="13062" max="13062" width="37.625" hidden="1" customWidth="1"/>
    <col min="13063" max="13063" width="99.5" hidden="1" customWidth="1"/>
    <col min="13064" max="13064" width="22.375" hidden="1" customWidth="1"/>
    <col min="13065" max="13065" width="17.125" hidden="1" customWidth="1"/>
    <col min="13066" max="13066" width="2.625" hidden="1" customWidth="1"/>
    <col min="13067" max="13067" width="8.25" hidden="1" customWidth="1"/>
    <col min="13068" max="13068" width="0" hidden="1" customWidth="1"/>
    <col min="13313" max="13313" width="4.5" hidden="1" customWidth="1"/>
    <col min="13314" max="13314" width="8" hidden="1" customWidth="1"/>
    <col min="13315" max="13315" width="5" hidden="1" customWidth="1"/>
    <col min="13316" max="13316" width="6.375" hidden="1" customWidth="1"/>
    <col min="13317" max="13317" width="6.75" hidden="1" customWidth="1"/>
    <col min="13318" max="13318" width="37.625" hidden="1" customWidth="1"/>
    <col min="13319" max="13319" width="99.5" hidden="1" customWidth="1"/>
    <col min="13320" max="13320" width="22.375" hidden="1" customWidth="1"/>
    <col min="13321" max="13321" width="17.125" hidden="1" customWidth="1"/>
    <col min="13322" max="13322" width="2.625" hidden="1" customWidth="1"/>
    <col min="13323" max="13323" width="8.25" hidden="1" customWidth="1"/>
    <col min="13324" max="13324" width="0" hidden="1" customWidth="1"/>
    <col min="13569" max="13569" width="4.5" hidden="1" customWidth="1"/>
    <col min="13570" max="13570" width="8" hidden="1" customWidth="1"/>
    <col min="13571" max="13571" width="5" hidden="1" customWidth="1"/>
    <col min="13572" max="13572" width="6.375" hidden="1" customWidth="1"/>
    <col min="13573" max="13573" width="6.75" hidden="1" customWidth="1"/>
    <col min="13574" max="13574" width="37.625" hidden="1" customWidth="1"/>
    <col min="13575" max="13575" width="99.5" hidden="1" customWidth="1"/>
    <col min="13576" max="13576" width="22.375" hidden="1" customWidth="1"/>
    <col min="13577" max="13577" width="17.125" hidden="1" customWidth="1"/>
    <col min="13578" max="13578" width="2.625" hidden="1" customWidth="1"/>
    <col min="13579" max="13579" width="8.25" hidden="1" customWidth="1"/>
    <col min="13580" max="13580" width="0" hidden="1" customWidth="1"/>
    <col min="13825" max="13825" width="4.5" hidden="1" customWidth="1"/>
    <col min="13826" max="13826" width="8" hidden="1" customWidth="1"/>
    <col min="13827" max="13827" width="5" hidden="1" customWidth="1"/>
    <col min="13828" max="13828" width="6.375" hidden="1" customWidth="1"/>
    <col min="13829" max="13829" width="6.75" hidden="1" customWidth="1"/>
    <col min="13830" max="13830" width="37.625" hidden="1" customWidth="1"/>
    <col min="13831" max="13831" width="99.5" hidden="1" customWidth="1"/>
    <col min="13832" max="13832" width="22.375" hidden="1" customWidth="1"/>
    <col min="13833" max="13833" width="17.125" hidden="1" customWidth="1"/>
    <col min="13834" max="13834" width="2.625" hidden="1" customWidth="1"/>
    <col min="13835" max="13835" width="8.25" hidden="1" customWidth="1"/>
    <col min="13836" max="13836" width="0" hidden="1" customWidth="1"/>
    <col min="14081" max="14081" width="4.5" hidden="1" customWidth="1"/>
    <col min="14082" max="14082" width="8" hidden="1" customWidth="1"/>
    <col min="14083" max="14083" width="5" hidden="1" customWidth="1"/>
    <col min="14084" max="14084" width="6.375" hidden="1" customWidth="1"/>
    <col min="14085" max="14085" width="6.75" hidden="1" customWidth="1"/>
    <col min="14086" max="14086" width="37.625" hidden="1" customWidth="1"/>
    <col min="14087" max="14087" width="99.5" hidden="1" customWidth="1"/>
    <col min="14088" max="14088" width="22.375" hidden="1" customWidth="1"/>
    <col min="14089" max="14089" width="17.125" hidden="1" customWidth="1"/>
    <col min="14090" max="14090" width="2.625" hidden="1" customWidth="1"/>
    <col min="14091" max="14091" width="8.25" hidden="1" customWidth="1"/>
    <col min="14092" max="14092" width="0" hidden="1" customWidth="1"/>
    <col min="14337" max="14337" width="4.5" hidden="1" customWidth="1"/>
    <col min="14338" max="14338" width="8" hidden="1" customWidth="1"/>
    <col min="14339" max="14339" width="5" hidden="1" customWidth="1"/>
    <col min="14340" max="14340" width="6.375" hidden="1" customWidth="1"/>
    <col min="14341" max="14341" width="6.75" hidden="1" customWidth="1"/>
    <col min="14342" max="14342" width="37.625" hidden="1" customWidth="1"/>
    <col min="14343" max="14343" width="99.5" hidden="1" customWidth="1"/>
    <col min="14344" max="14344" width="22.375" hidden="1" customWidth="1"/>
    <col min="14345" max="14345" width="17.125" hidden="1" customWidth="1"/>
    <col min="14346" max="14346" width="2.625" hidden="1" customWidth="1"/>
    <col min="14347" max="14347" width="8.25" hidden="1" customWidth="1"/>
    <col min="14348" max="14348" width="0" hidden="1" customWidth="1"/>
    <col min="14593" max="14593" width="4.5" hidden="1" customWidth="1"/>
    <col min="14594" max="14594" width="8" hidden="1" customWidth="1"/>
    <col min="14595" max="14595" width="5" hidden="1" customWidth="1"/>
    <col min="14596" max="14596" width="6.375" hidden="1" customWidth="1"/>
    <col min="14597" max="14597" width="6.75" hidden="1" customWidth="1"/>
    <col min="14598" max="14598" width="37.625" hidden="1" customWidth="1"/>
    <col min="14599" max="14599" width="99.5" hidden="1" customWidth="1"/>
    <col min="14600" max="14600" width="22.375" hidden="1" customWidth="1"/>
    <col min="14601" max="14601" width="17.125" hidden="1" customWidth="1"/>
    <col min="14602" max="14602" width="2.625" hidden="1" customWidth="1"/>
    <col min="14603" max="14603" width="8.25" hidden="1" customWidth="1"/>
    <col min="14604" max="14604" width="0" hidden="1" customWidth="1"/>
    <col min="14849" max="14849" width="4.5" hidden="1" customWidth="1"/>
    <col min="14850" max="14850" width="8" hidden="1" customWidth="1"/>
    <col min="14851" max="14851" width="5" hidden="1" customWidth="1"/>
    <col min="14852" max="14852" width="6.375" hidden="1" customWidth="1"/>
    <col min="14853" max="14853" width="6.75" hidden="1" customWidth="1"/>
    <col min="14854" max="14854" width="37.625" hidden="1" customWidth="1"/>
    <col min="14855" max="14855" width="99.5" hidden="1" customWidth="1"/>
    <col min="14856" max="14856" width="22.375" hidden="1" customWidth="1"/>
    <col min="14857" max="14857" width="17.125" hidden="1" customWidth="1"/>
    <col min="14858" max="14858" width="2.625" hidden="1" customWidth="1"/>
    <col min="14859" max="14859" width="8.25" hidden="1" customWidth="1"/>
    <col min="14860" max="14860" width="0" hidden="1" customWidth="1"/>
    <col min="15105" max="15105" width="4.5" hidden="1" customWidth="1"/>
    <col min="15106" max="15106" width="8" hidden="1" customWidth="1"/>
    <col min="15107" max="15107" width="5" hidden="1" customWidth="1"/>
    <col min="15108" max="15108" width="6.375" hidden="1" customWidth="1"/>
    <col min="15109" max="15109" width="6.75" hidden="1" customWidth="1"/>
    <col min="15110" max="15110" width="37.625" hidden="1" customWidth="1"/>
    <col min="15111" max="15111" width="99.5" hidden="1" customWidth="1"/>
    <col min="15112" max="15112" width="22.375" hidden="1" customWidth="1"/>
    <col min="15113" max="15113" width="17.125" hidden="1" customWidth="1"/>
    <col min="15114" max="15114" width="2.625" hidden="1" customWidth="1"/>
    <col min="15115" max="15115" width="8.25" hidden="1" customWidth="1"/>
    <col min="15116" max="15116" width="0" hidden="1" customWidth="1"/>
    <col min="15361" max="15361" width="4.5" hidden="1" customWidth="1"/>
    <col min="15362" max="15362" width="8" hidden="1" customWidth="1"/>
    <col min="15363" max="15363" width="5" hidden="1" customWidth="1"/>
    <col min="15364" max="15364" width="6.375" hidden="1" customWidth="1"/>
    <col min="15365" max="15365" width="6.75" hidden="1" customWidth="1"/>
    <col min="15366" max="15366" width="37.625" hidden="1" customWidth="1"/>
    <col min="15367" max="15367" width="99.5" hidden="1" customWidth="1"/>
    <col min="15368" max="15368" width="22.375" hidden="1" customWidth="1"/>
    <col min="15369" max="15369" width="17.125" hidden="1" customWidth="1"/>
    <col min="15370" max="15370" width="2.625" hidden="1" customWidth="1"/>
    <col min="15371" max="15371" width="8.25" hidden="1" customWidth="1"/>
    <col min="15372" max="15372" width="0" hidden="1" customWidth="1"/>
    <col min="15617" max="15617" width="4.5" hidden="1" customWidth="1"/>
    <col min="15618" max="15618" width="8" hidden="1" customWidth="1"/>
    <col min="15619" max="15619" width="5" hidden="1" customWidth="1"/>
    <col min="15620" max="15620" width="6.375" hidden="1" customWidth="1"/>
    <col min="15621" max="15621" width="6.75" hidden="1" customWidth="1"/>
    <col min="15622" max="15622" width="37.625" hidden="1" customWidth="1"/>
    <col min="15623" max="15623" width="99.5" hidden="1" customWidth="1"/>
    <col min="15624" max="15624" width="22.375" hidden="1" customWidth="1"/>
    <col min="15625" max="15625" width="17.125" hidden="1" customWidth="1"/>
    <col min="15626" max="15626" width="2.625" hidden="1" customWidth="1"/>
    <col min="15627" max="15627" width="8.25" hidden="1" customWidth="1"/>
    <col min="15628" max="15628" width="0" hidden="1" customWidth="1"/>
    <col min="15873" max="15873" width="4.5" hidden="1" customWidth="1"/>
    <col min="15874" max="15874" width="8" hidden="1" customWidth="1"/>
    <col min="15875" max="15875" width="5" hidden="1" customWidth="1"/>
    <col min="15876" max="15876" width="6.375" hidden="1" customWidth="1"/>
    <col min="15877" max="15877" width="6.75" hidden="1" customWidth="1"/>
    <col min="15878" max="15878" width="37.625" hidden="1" customWidth="1"/>
    <col min="15879" max="15879" width="99.5" hidden="1" customWidth="1"/>
    <col min="15880" max="15880" width="22.375" hidden="1" customWidth="1"/>
    <col min="15881" max="15881" width="17.125" hidden="1" customWidth="1"/>
    <col min="15882" max="15882" width="2.625" hidden="1" customWidth="1"/>
    <col min="15883" max="15883" width="8.25" hidden="1" customWidth="1"/>
    <col min="15884" max="15884" width="0" hidden="1" customWidth="1"/>
    <col min="16129" max="16129" width="4.5" hidden="1" customWidth="1"/>
    <col min="16130" max="16130" width="8" hidden="1" customWidth="1"/>
    <col min="16131" max="16131" width="5" hidden="1" customWidth="1"/>
    <col min="16132" max="16132" width="6.375" hidden="1" customWidth="1"/>
    <col min="16133" max="16133" width="6.75" hidden="1" customWidth="1"/>
    <col min="16134" max="16134" width="37.625" hidden="1" customWidth="1"/>
    <col min="16135" max="16135" width="99.5" hidden="1" customWidth="1"/>
    <col min="16136" max="16136" width="22.375" hidden="1" customWidth="1"/>
    <col min="16137" max="16137" width="17.125" hidden="1" customWidth="1"/>
    <col min="16138" max="16138" width="2.625" hidden="1" customWidth="1"/>
    <col min="16139" max="16139" width="8.25" hidden="1" customWidth="1"/>
    <col min="16140" max="16140" width="0" hidden="1" customWidth="1"/>
  </cols>
  <sheetData>
    <row r="1" spans="1:11" ht="14.25" thickBot="1">
      <c r="A1" s="44"/>
      <c r="B1" s="44"/>
      <c r="C1" s="44"/>
      <c r="D1" s="44"/>
      <c r="E1" s="44"/>
      <c r="F1" s="44"/>
      <c r="G1" s="44"/>
      <c r="H1" s="44"/>
      <c r="I1" s="44"/>
      <c r="J1" s="44"/>
      <c r="K1" s="44"/>
    </row>
    <row r="2" spans="1:11" ht="26.25" customHeight="1">
      <c r="A2" s="44"/>
      <c r="B2" s="2801" t="str">
        <f>メイン!C5</f>
        <v>CASBEE-川崎2025(v.1.1)</v>
      </c>
      <c r="C2" s="2802"/>
      <c r="D2" s="2803"/>
      <c r="E2" s="2804"/>
      <c r="F2" s="2805"/>
      <c r="G2" s="44"/>
      <c r="H2" s="44"/>
      <c r="I2" s="44"/>
      <c r="J2" s="44"/>
      <c r="K2" s="44"/>
    </row>
    <row r="3" spans="1:11" ht="36" customHeight="1" thickBot="1">
      <c r="A3" s="44"/>
      <c r="B3" s="2806" t="str">
        <f>メイン!$C$11</f>
        <v>○○ビル</v>
      </c>
      <c r="C3" s="2807"/>
      <c r="D3" s="2808"/>
      <c r="E3" s="2809"/>
      <c r="F3" s="2810"/>
      <c r="G3" s="44"/>
      <c r="H3" s="3245" t="str">
        <f>IF([2]結果!O7="","",[2]結果!O7)</f>
        <v/>
      </c>
      <c r="I3" s="3245"/>
      <c r="J3" s="44"/>
      <c r="K3" s="44"/>
    </row>
    <row r="4" spans="1:11" ht="14.25" thickBot="1">
      <c r="A4" s="44"/>
      <c r="B4" s="44"/>
      <c r="C4" s="44"/>
      <c r="D4" s="44"/>
      <c r="E4" s="44"/>
      <c r="F4" s="44"/>
      <c r="G4" s="44"/>
      <c r="H4" s="44"/>
      <c r="I4" s="44"/>
      <c r="J4" s="44"/>
      <c r="K4" s="44"/>
    </row>
    <row r="5" spans="1:11" s="44" customFormat="1" ht="40.5" customHeight="1" thickTop="1">
      <c r="B5" s="2811" t="s">
        <v>4116</v>
      </c>
      <c r="C5" s="2812"/>
      <c r="D5" s="2812"/>
      <c r="E5" s="2812"/>
      <c r="F5" s="2812"/>
      <c r="G5" s="2812"/>
      <c r="H5" s="3246" t="s">
        <v>4117</v>
      </c>
      <c r="I5" s="3248" t="s">
        <v>4118</v>
      </c>
      <c r="K5" s="3250" t="s">
        <v>1852</v>
      </c>
    </row>
    <row r="6" spans="1:11" s="44" customFormat="1" ht="39.75" customHeight="1" thickBot="1">
      <c r="B6" s="2813" t="s">
        <v>4119</v>
      </c>
      <c r="C6" s="2814"/>
      <c r="D6" s="2814"/>
      <c r="E6" s="2814"/>
      <c r="F6" s="2815"/>
      <c r="G6" s="2816" t="s">
        <v>4120</v>
      </c>
      <c r="H6" s="3247"/>
      <c r="I6" s="3249"/>
      <c r="K6" s="3251"/>
    </row>
    <row r="7" spans="1:11" ht="33" customHeight="1">
      <c r="A7" s="44"/>
      <c r="B7" s="2817" t="s">
        <v>4121</v>
      </c>
      <c r="C7" s="2818"/>
      <c r="D7" s="2818"/>
      <c r="E7" s="2819"/>
      <c r="F7" s="2820"/>
      <c r="G7" s="2820"/>
      <c r="H7" s="2821" t="s">
        <v>4122</v>
      </c>
      <c r="I7" s="2822">
        <f>AVERAGE(I8:I15)</f>
        <v>2.4</v>
      </c>
      <c r="J7" s="44"/>
      <c r="K7" s="44"/>
    </row>
    <row r="8" spans="1:11" ht="22.5" customHeight="1">
      <c r="A8" s="44"/>
      <c r="B8" s="2823" t="s">
        <v>4123</v>
      </c>
      <c r="C8" s="2824" t="s">
        <v>4124</v>
      </c>
      <c r="D8" s="2825"/>
      <c r="E8" s="2826"/>
      <c r="F8" s="2825"/>
      <c r="G8" s="2827"/>
      <c r="H8" s="3252" t="str">
        <f>FIXED((スコア!Q113*スコア!R113+スコア!Q116*スコア!R116+スコア!Q119*スコア!R119*スコア!R117),1)&amp;"/"&amp;FIXED((5*スコア!R113+5*スコア!R116+5*スコア!R119*スコア!R117),1)</f>
        <v>1.6/4.3</v>
      </c>
      <c r="I8" s="3255">
        <f>ROUND((スコア!Q113*スコア!R113+スコア!Q116*スコア!R116+スコア!Q119*スコア!R119*スコア!R117)/(5*スコア!R113+5*スコア!R116+5*スコア!R119*スコア!R117)*5,1)</f>
        <v>1.8</v>
      </c>
      <c r="J8" s="44"/>
      <c r="K8" s="2828"/>
    </row>
    <row r="9" spans="1:11" ht="22.5" customHeight="1">
      <c r="A9" s="44"/>
      <c r="B9" s="2829"/>
      <c r="C9" s="2830">
        <v>1</v>
      </c>
      <c r="D9" s="2830"/>
      <c r="E9" s="2831"/>
      <c r="F9" s="2831" t="s">
        <v>4125</v>
      </c>
      <c r="G9" s="2827"/>
      <c r="H9" s="3253"/>
      <c r="I9" s="3256"/>
      <c r="J9" s="44"/>
      <c r="K9" s="44"/>
    </row>
    <row r="10" spans="1:11" ht="22.5" customHeight="1">
      <c r="A10" s="44"/>
      <c r="B10" s="2829"/>
      <c r="C10" s="2830">
        <v>2</v>
      </c>
      <c r="D10" s="2830"/>
      <c r="E10" s="2831"/>
      <c r="F10" s="2831" t="s">
        <v>4126</v>
      </c>
      <c r="G10" s="2827"/>
      <c r="H10" s="3253"/>
      <c r="I10" s="3256"/>
      <c r="J10" s="44"/>
      <c r="K10" s="44"/>
    </row>
    <row r="11" spans="1:11" ht="22.5" customHeight="1">
      <c r="A11" s="44"/>
      <c r="B11" s="2829"/>
      <c r="C11" s="2830">
        <v>3</v>
      </c>
      <c r="D11" s="2830">
        <v>3.2</v>
      </c>
      <c r="E11" s="2831"/>
      <c r="F11" s="2831" t="s">
        <v>4127</v>
      </c>
      <c r="G11" s="2827"/>
      <c r="H11" s="3253"/>
      <c r="I11" s="3256"/>
      <c r="J11" s="44"/>
      <c r="K11" s="44"/>
    </row>
    <row r="12" spans="1:11" ht="22.5" customHeight="1">
      <c r="A12" s="44"/>
      <c r="B12" s="2832"/>
      <c r="C12" s="2833"/>
      <c r="D12" s="2833"/>
      <c r="E12" s="2834"/>
      <c r="F12" s="2834"/>
      <c r="G12" s="2835"/>
      <c r="H12" s="3254"/>
      <c r="I12" s="3257"/>
      <c r="J12" s="44"/>
      <c r="K12" s="44"/>
    </row>
    <row r="13" spans="1:11" ht="22.5" customHeight="1">
      <c r="A13" s="44"/>
      <c r="B13" s="2829" t="s">
        <v>4128</v>
      </c>
      <c r="C13" s="2836" t="s">
        <v>4129</v>
      </c>
      <c r="D13" s="2837"/>
      <c r="E13" s="2838"/>
      <c r="F13" s="2839"/>
      <c r="G13" s="2827"/>
      <c r="H13" s="3252" t="str">
        <f>FIXED((スコア!Q176*スコア!R176*スコア!R174),1)&amp;"/"&amp;FIXED((5*スコア!R176*スコア!R174),1)</f>
        <v>0.5/0.8</v>
      </c>
      <c r="I13" s="3255">
        <f>ROUND((スコア!Q176*スコア!R176*スコア!R174)/(5*スコア!R176*スコア!R174)*5,1)</f>
        <v>3</v>
      </c>
      <c r="J13" s="44"/>
      <c r="K13" s="2828"/>
    </row>
    <row r="14" spans="1:11" ht="22.5" customHeight="1">
      <c r="A14" s="44"/>
      <c r="B14" s="2829"/>
      <c r="C14" s="2830">
        <v>2</v>
      </c>
      <c r="D14" s="2830">
        <v>2.2000000000000002</v>
      </c>
      <c r="E14" s="2831"/>
      <c r="F14" s="2831" t="s">
        <v>4130</v>
      </c>
      <c r="G14" s="2827"/>
      <c r="H14" s="3258"/>
      <c r="I14" s="3259"/>
      <c r="J14" s="44"/>
      <c r="K14" s="44"/>
    </row>
    <row r="15" spans="1:11" ht="22.5" customHeight="1" thickBot="1">
      <c r="A15" s="44"/>
      <c r="B15" s="2829"/>
      <c r="C15" s="2830"/>
      <c r="D15" s="2830"/>
      <c r="E15" s="2831"/>
      <c r="F15" s="2831"/>
      <c r="G15" s="2827"/>
      <c r="H15" s="3258"/>
      <c r="I15" s="3259"/>
      <c r="J15" s="44"/>
      <c r="K15" s="44"/>
    </row>
    <row r="16" spans="1:11" ht="33" customHeight="1">
      <c r="A16" s="44"/>
      <c r="B16" s="2840" t="s">
        <v>4131</v>
      </c>
      <c r="C16" s="2841"/>
      <c r="D16" s="2841"/>
      <c r="E16" s="2842"/>
      <c r="F16" s="2843"/>
      <c r="G16" s="2843"/>
      <c r="H16" s="2844" t="s">
        <v>4132</v>
      </c>
      <c r="I16" s="2845">
        <f>AVERAGE(I17:I35)</f>
        <v>2.6</v>
      </c>
      <c r="J16" s="44"/>
      <c r="K16" s="44"/>
    </row>
    <row r="17" spans="1:11" ht="22.5" customHeight="1">
      <c r="A17" s="44"/>
      <c r="B17" s="2829" t="s">
        <v>4133</v>
      </c>
      <c r="C17" s="2846" t="s">
        <v>4134</v>
      </c>
      <c r="D17" s="2825"/>
      <c r="E17" s="2826"/>
      <c r="F17" s="2847"/>
      <c r="G17" s="2827"/>
      <c r="H17" s="3253" t="str">
        <f>FIXED((スコア!Q24*スコア!R24*スコア!R21*スコア!R20+スコア!Q39*スコア!R39*スコア!R36*スコア!R35+スコア!Q42*スコア!R42*スコア!R40*スコア!R35)*スコア!AF6+(スコア!S24*スコア!T24*スコア!T21*スコア!T20+スコア!S39*スコア!T39*スコア!T36*スコア!T35+スコア!S42*スコア!T42*スコア!T40*スコア!T35)*スコア!AH6,1)&amp;"/"&amp;FIXED((5*スコア!R24*スコア!R21*スコア!R20+5*スコア!R39*スコア!R36*スコア!R35+5*スコア!R42*スコア!R40*スコア!R35)*スコア!AF6+(5*スコア!T24*スコア!T21*スコア!T20+5*スコア!T39*スコア!T36*スコア!T35+5*スコア!T42*スコア!T40*スコア!T35)*スコア!AH6,1)</f>
        <v>3.3/5.4</v>
      </c>
      <c r="I17" s="3256">
        <f>IF(H17="0.0/0.0","-",ROUND(((スコア!Q24*スコア!R24*スコア!R21*スコア!R20+スコア!Q39*スコア!R39*スコア!R36*スコア!R35+スコア!Q42*スコア!R42*スコア!R40*スコア!R35)*スコア!AF6+(スコア!S24*スコア!T24*スコア!T21*スコア!T20+スコア!S39*スコア!T39*スコア!T36*スコア!T35+スコア!S42*スコア!T42*スコア!T40*スコア!T35)*スコア!AH6)/((5*スコア!R24*スコア!R21*スコア!R20+5*スコア!R39*スコア!R36*スコア!R35+5*スコア!R42*スコア!R40*スコア!R35)*スコア!AF6+(5*スコア!T24*スコア!T21*スコア!T20+5*スコア!T39*スコア!T36*スコア!T35+5*スコア!T42*スコア!T40*スコア!T35)*スコア!AH6)*5,1))</f>
        <v>3</v>
      </c>
      <c r="J17" s="44"/>
      <c r="K17" s="2828"/>
    </row>
    <row r="18" spans="1:11" ht="22.5" customHeight="1">
      <c r="A18" s="44"/>
      <c r="B18" s="2848"/>
      <c r="C18" s="2830">
        <v>2</v>
      </c>
      <c r="D18" s="2830">
        <v>2.1</v>
      </c>
      <c r="E18" s="2831" t="s">
        <v>2272</v>
      </c>
      <c r="F18" s="2831" t="s">
        <v>4135</v>
      </c>
      <c r="G18" s="2827"/>
      <c r="H18" s="3253"/>
      <c r="I18" s="3256"/>
      <c r="J18" s="44"/>
      <c r="K18" s="44"/>
    </row>
    <row r="19" spans="1:11" ht="22.5" customHeight="1">
      <c r="A19" s="44"/>
      <c r="B19" s="2848"/>
      <c r="C19" s="2830">
        <v>3</v>
      </c>
      <c r="D19" s="2830">
        <v>3.1</v>
      </c>
      <c r="E19" s="2831" t="s">
        <v>930</v>
      </c>
      <c r="F19" s="2831" t="s">
        <v>4136</v>
      </c>
      <c r="G19" s="2827"/>
      <c r="H19" s="3253"/>
      <c r="I19" s="3256"/>
      <c r="J19" s="44"/>
      <c r="K19" s="44"/>
    </row>
    <row r="20" spans="1:11" ht="22.5" customHeight="1">
      <c r="A20" s="44"/>
      <c r="B20" s="2848"/>
      <c r="C20" s="2830"/>
      <c r="D20" s="2830">
        <v>3.2</v>
      </c>
      <c r="E20" s="2831" t="s">
        <v>931</v>
      </c>
      <c r="F20" s="2831" t="s">
        <v>4137</v>
      </c>
      <c r="G20" s="2835"/>
      <c r="H20" s="3254"/>
      <c r="I20" s="3257"/>
      <c r="J20" s="44"/>
      <c r="K20" s="44"/>
    </row>
    <row r="21" spans="1:11" ht="22.5" customHeight="1">
      <c r="A21" s="44"/>
      <c r="B21" s="2823" t="s">
        <v>4123</v>
      </c>
      <c r="C21" s="2846" t="s">
        <v>4138</v>
      </c>
      <c r="D21" s="2825"/>
      <c r="E21" s="2826"/>
      <c r="F21" s="2847"/>
      <c r="G21" s="2827"/>
      <c r="H21" s="3252" t="str">
        <f>FIXED((スコア!Q113*スコア!R113+スコア!Q119*スコア!R119*スコア!R117),1)&amp;"/"&amp;FIXED((5*スコア!R113+5*スコア!R119*スコア!R117),1)</f>
        <v>0.8/2.3</v>
      </c>
      <c r="I21" s="3255">
        <f>ROUND((スコア!Q113*スコア!R113+スコア!Q119*スコア!R119*スコア!R117)/(5*スコア!R113+5*スコア!R119*スコア!R117)*5,1)</f>
        <v>1.7</v>
      </c>
      <c r="J21" s="44"/>
      <c r="K21" s="2828"/>
    </row>
    <row r="22" spans="1:11" ht="22.5" customHeight="1">
      <c r="A22" s="44"/>
      <c r="B22" s="2829"/>
      <c r="C22" s="2830">
        <v>1</v>
      </c>
      <c r="D22" s="2830"/>
      <c r="E22" s="2831"/>
      <c r="F22" s="2849" t="s">
        <v>4125</v>
      </c>
      <c r="G22" s="2827"/>
      <c r="H22" s="3258"/>
      <c r="I22" s="3259"/>
      <c r="J22" s="44"/>
      <c r="K22" s="44"/>
    </row>
    <row r="23" spans="1:11" ht="22.5" customHeight="1">
      <c r="A23" s="44"/>
      <c r="B23" s="2829"/>
      <c r="C23" s="2830">
        <v>3</v>
      </c>
      <c r="D23" s="2830">
        <v>3.2</v>
      </c>
      <c r="E23" s="2831"/>
      <c r="F23" s="2849" t="s">
        <v>4127</v>
      </c>
      <c r="G23" s="2835"/>
      <c r="H23" s="3258"/>
      <c r="I23" s="3259"/>
      <c r="J23" s="44"/>
      <c r="K23" s="44"/>
    </row>
    <row r="24" spans="1:11" ht="22.5" customHeight="1">
      <c r="A24" s="44"/>
      <c r="B24" s="2823" t="s">
        <v>4139</v>
      </c>
      <c r="C24" s="2850" t="s">
        <v>4140</v>
      </c>
      <c r="D24" s="2851"/>
      <c r="E24" s="2851"/>
      <c r="F24" s="2852"/>
      <c r="G24" s="2827"/>
      <c r="H24" s="3252" t="str">
        <f>FIXED((スコア!Q123*スコア!R123+スコア!Q124*スコア!R124+スコア!Q129*スコア!R129+スコア!Q138*スコア!R138),1)&amp;"/"&amp;FIXED((5*スコア!R123+5*スコア!R124+5*スコア!R129+5*スコア!R138),1)</f>
        <v>2.2/5.0</v>
      </c>
      <c r="I24" s="3255">
        <f>IF(H24="0.0/0.0","-",ROUND((スコア!Q123*スコア!R123+スコア!Q124*スコア!R124+スコア!Q129*スコア!R129+スコア!Q138*スコア!R138)/(5*スコア!R123+5*スコア!R124+5*スコア!R129+5*スコア!R138)*5,1))</f>
        <v>2.2000000000000002</v>
      </c>
      <c r="J24" s="44"/>
      <c r="K24" s="2828"/>
    </row>
    <row r="25" spans="1:11" ht="22.5" customHeight="1">
      <c r="A25" s="44"/>
      <c r="B25" s="2829"/>
      <c r="C25" s="2830">
        <v>1</v>
      </c>
      <c r="D25" s="2830"/>
      <c r="E25" s="2831"/>
      <c r="F25" s="2831" t="s">
        <v>4141</v>
      </c>
      <c r="G25" s="2827"/>
      <c r="H25" s="3253"/>
      <c r="I25" s="3256"/>
      <c r="J25" s="44"/>
      <c r="K25" s="44"/>
    </row>
    <row r="26" spans="1:11" ht="22.5" customHeight="1">
      <c r="A26" s="44"/>
      <c r="B26" s="2829"/>
      <c r="C26" s="2830">
        <v>2</v>
      </c>
      <c r="D26" s="2830"/>
      <c r="E26" s="2831"/>
      <c r="F26" s="2831" t="s">
        <v>4142</v>
      </c>
      <c r="G26" s="2827"/>
      <c r="H26" s="3258"/>
      <c r="I26" s="3259"/>
      <c r="J26" s="44"/>
      <c r="K26" s="44"/>
    </row>
    <row r="27" spans="1:11" ht="22.5" customHeight="1">
      <c r="A27" s="44"/>
      <c r="B27" s="2829"/>
      <c r="C27" s="2830">
        <v>3</v>
      </c>
      <c r="D27" s="2830"/>
      <c r="E27" s="2831"/>
      <c r="F27" s="2831" t="s">
        <v>4143</v>
      </c>
      <c r="G27" s="2827"/>
      <c r="H27" s="3258"/>
      <c r="I27" s="3259"/>
      <c r="J27" s="44"/>
      <c r="K27" s="44"/>
    </row>
    <row r="28" spans="1:11" ht="22.5" customHeight="1">
      <c r="A28" s="44"/>
      <c r="B28" s="2829"/>
      <c r="C28" s="2830">
        <v>4</v>
      </c>
      <c r="D28" s="2830"/>
      <c r="E28" s="2831"/>
      <c r="F28" s="2831" t="s">
        <v>4144</v>
      </c>
      <c r="G28" s="2835"/>
      <c r="H28" s="3258"/>
      <c r="I28" s="3259"/>
      <c r="J28" s="44"/>
      <c r="K28" s="44"/>
    </row>
    <row r="29" spans="1:11" ht="22.5" customHeight="1">
      <c r="A29" s="44"/>
      <c r="B29" s="2823" t="s">
        <v>4145</v>
      </c>
      <c r="C29" s="2850" t="s">
        <v>4146</v>
      </c>
      <c r="D29" s="2851"/>
      <c r="E29" s="2851"/>
      <c r="F29" s="2852"/>
      <c r="G29" s="2827"/>
      <c r="H29" s="3252" t="str">
        <f>FIXED((スコア!Q146*スコア!R146+スコア!Q151*スコア!R151+スコア!Q168*スコア!R168*スコア!R166),1)&amp;"/"&amp;FIXED((5*スコア!R146+5*スコア!R151+5*スコア!R168*スコア!R166),1)</f>
        <v>2.9/4.7</v>
      </c>
      <c r="I29" s="3255">
        <f>ROUND((スコア!Q146*スコア!R146+スコア!Q151*スコア!R151+スコア!Q168*スコア!R168*スコア!R166)/(5*スコア!R146+5*スコア!R151+5*スコア!R168*スコア!R166)*5,1)</f>
        <v>3.1</v>
      </c>
      <c r="J29" s="44"/>
      <c r="K29" s="2828"/>
    </row>
    <row r="30" spans="1:11" ht="22.5" customHeight="1">
      <c r="A30" s="44"/>
      <c r="B30" s="2829"/>
      <c r="C30" s="2830">
        <v>1</v>
      </c>
      <c r="D30" s="2830"/>
      <c r="E30" s="2831"/>
      <c r="F30" s="2849" t="s">
        <v>4147</v>
      </c>
      <c r="G30" s="2827"/>
      <c r="H30" s="3253"/>
      <c r="I30" s="3256"/>
      <c r="J30" s="44"/>
      <c r="K30" s="44"/>
    </row>
    <row r="31" spans="1:11" ht="22.5" customHeight="1">
      <c r="A31" s="44"/>
      <c r="B31" s="2829"/>
      <c r="C31" s="2830">
        <v>2</v>
      </c>
      <c r="D31" s="2830"/>
      <c r="E31" s="2831"/>
      <c r="F31" s="2849" t="s">
        <v>4148</v>
      </c>
      <c r="G31" s="2827"/>
      <c r="H31" s="3253"/>
      <c r="I31" s="3256"/>
      <c r="J31" s="44"/>
      <c r="K31" s="44"/>
    </row>
    <row r="32" spans="1:11" ht="22.5" customHeight="1">
      <c r="A32" s="44"/>
      <c r="B32" s="2832"/>
      <c r="C32" s="2833">
        <v>3</v>
      </c>
      <c r="D32" s="2833">
        <v>3.2</v>
      </c>
      <c r="E32" s="2834"/>
      <c r="F32" s="2853" t="s">
        <v>4149</v>
      </c>
      <c r="G32" s="2835"/>
      <c r="H32" s="3253"/>
      <c r="I32" s="3256"/>
      <c r="J32" s="44"/>
      <c r="K32" s="44"/>
    </row>
    <row r="33" spans="1:11" ht="22.5" customHeight="1">
      <c r="A33" s="44"/>
      <c r="B33" s="2823" t="s">
        <v>4128</v>
      </c>
      <c r="C33" s="2850" t="s">
        <v>4129</v>
      </c>
      <c r="D33" s="2854"/>
      <c r="E33" s="2851"/>
      <c r="F33" s="2852"/>
      <c r="G33" s="2827"/>
      <c r="H33" s="3252" t="str">
        <f>H13</f>
        <v>0.5/0.8</v>
      </c>
      <c r="I33" s="3255">
        <f>I13</f>
        <v>3</v>
      </c>
      <c r="J33" s="44"/>
      <c r="K33" s="2828"/>
    </row>
    <row r="34" spans="1:11" ht="22.5" customHeight="1">
      <c r="A34" s="44"/>
      <c r="B34" s="2829"/>
      <c r="C34" s="2830">
        <v>2</v>
      </c>
      <c r="D34" s="2830">
        <v>2.2000000000000002</v>
      </c>
      <c r="E34" s="2831"/>
      <c r="F34" s="2831" t="s">
        <v>4130</v>
      </c>
      <c r="G34" s="2827"/>
      <c r="H34" s="3258"/>
      <c r="I34" s="3256"/>
      <c r="J34" s="44"/>
      <c r="K34" s="44"/>
    </row>
    <row r="35" spans="1:11" ht="22.5" customHeight="1" thickBot="1">
      <c r="A35" s="44"/>
      <c r="B35" s="2829"/>
      <c r="C35" s="2830"/>
      <c r="D35" s="2830"/>
      <c r="E35" s="2831"/>
      <c r="F35" s="2831"/>
      <c r="G35" s="2827"/>
      <c r="H35" s="3260"/>
      <c r="I35" s="3261"/>
      <c r="J35" s="44"/>
      <c r="K35" s="44"/>
    </row>
    <row r="36" spans="1:11" ht="33" customHeight="1">
      <c r="A36" s="44"/>
      <c r="B36" s="2855" t="s">
        <v>4150</v>
      </c>
      <c r="C36" s="2856"/>
      <c r="D36" s="2856"/>
      <c r="E36" s="2857"/>
      <c r="F36" s="2858"/>
      <c r="G36" s="2859"/>
      <c r="H36" s="2860" t="s">
        <v>4151</v>
      </c>
      <c r="I36" s="2861">
        <f>AVERAGE(I37:I46)</f>
        <v>3.05</v>
      </c>
      <c r="J36" s="44"/>
      <c r="K36" s="44"/>
    </row>
    <row r="37" spans="1:11" ht="22.5" customHeight="1">
      <c r="A37" s="44"/>
      <c r="B37" s="2823" t="s">
        <v>4152</v>
      </c>
      <c r="C37" s="2862" t="s">
        <v>4153</v>
      </c>
      <c r="D37" s="2851"/>
      <c r="E37" s="2851"/>
      <c r="F37" s="2852"/>
      <c r="G37" s="2827"/>
      <c r="H37" s="3252" t="str">
        <f>FIXED((スコア!Q82*スコア!R82*スコア!R78),1)&amp;"/"&amp;FIXED((5*スコア!R82*スコア!R78),1)</f>
        <v>0.3/0.5</v>
      </c>
      <c r="I37" s="3255">
        <f>ROUND((スコア!Q82*スコア!R82*スコア!R78)/(5*スコア!R82*スコア!R78)*5,1)</f>
        <v>3</v>
      </c>
      <c r="J37" s="44"/>
      <c r="K37" s="2828"/>
    </row>
    <row r="38" spans="1:11" ht="22.5" customHeight="1">
      <c r="A38" s="44"/>
      <c r="B38" s="2829"/>
      <c r="C38" s="2830">
        <v>2</v>
      </c>
      <c r="D38" s="2830">
        <v>2.2000000000000002</v>
      </c>
      <c r="E38" s="2831"/>
      <c r="F38" s="2863" t="s">
        <v>4154</v>
      </c>
      <c r="G38" s="2827"/>
      <c r="H38" s="3253"/>
      <c r="I38" s="3256"/>
      <c r="J38" s="44"/>
      <c r="K38" s="44"/>
    </row>
    <row r="39" spans="1:11" ht="22.5" customHeight="1">
      <c r="A39" s="44"/>
      <c r="B39" s="2829"/>
      <c r="C39" s="2830"/>
      <c r="D39" s="2830"/>
      <c r="E39" s="2831"/>
      <c r="F39" s="2863"/>
      <c r="G39" s="2835"/>
      <c r="H39" s="3253"/>
      <c r="I39" s="3256"/>
      <c r="J39" s="44"/>
      <c r="K39" s="44"/>
    </row>
    <row r="40" spans="1:11" ht="22.5" customHeight="1">
      <c r="A40" s="44"/>
      <c r="B40" s="2823" t="s">
        <v>4155</v>
      </c>
      <c r="C40" s="2862" t="s">
        <v>4146</v>
      </c>
      <c r="D40" s="2851"/>
      <c r="E40" s="2851"/>
      <c r="F40" s="2852"/>
      <c r="G40" s="2827"/>
      <c r="H40" s="3252" t="str">
        <f>FIXED((スコア!Q146*スコア!R146+スコア!Q151*スコア!R151),1)&amp;"/"&amp;FIXED((5*スコア!R146+5*スコア!R151),1)</f>
        <v>2.5/4.0</v>
      </c>
      <c r="I40" s="3255">
        <f>ROUND((スコア!Q146*スコア!R146+スコア!Q151*スコア!R151)/(5*スコア!R146+5*スコア!R151)*5,1)</f>
        <v>3.1</v>
      </c>
      <c r="J40" s="44"/>
      <c r="K40" s="2828"/>
    </row>
    <row r="41" spans="1:11" ht="22.5" customHeight="1">
      <c r="A41" s="44"/>
      <c r="B41" s="2848"/>
      <c r="C41" s="2830">
        <v>1</v>
      </c>
      <c r="D41" s="2830"/>
      <c r="E41" s="2831"/>
      <c r="F41" s="2849" t="s">
        <v>4147</v>
      </c>
      <c r="G41" s="2827"/>
      <c r="H41" s="3253"/>
      <c r="I41" s="3256"/>
      <c r="J41" s="44"/>
      <c r="K41" s="44"/>
    </row>
    <row r="42" spans="1:11" ht="22.5" customHeight="1">
      <c r="A42" s="44"/>
      <c r="B42" s="2829"/>
      <c r="C42" s="2830">
        <v>2</v>
      </c>
      <c r="D42" s="2830"/>
      <c r="E42" s="2831"/>
      <c r="F42" s="2849" t="s">
        <v>4148</v>
      </c>
      <c r="G42" s="2827"/>
      <c r="H42" s="3253"/>
      <c r="I42" s="3256"/>
      <c r="J42" s="44"/>
      <c r="K42" s="44"/>
    </row>
    <row r="43" spans="1:11" ht="22.5" customHeight="1">
      <c r="A43" s="44"/>
      <c r="B43" s="2832"/>
      <c r="C43" s="2833"/>
      <c r="D43" s="2833"/>
      <c r="E43" s="2834"/>
      <c r="F43" s="2853"/>
      <c r="G43" s="2835"/>
      <c r="H43" s="3254"/>
      <c r="I43" s="3257"/>
      <c r="J43" s="44"/>
      <c r="K43" s="44"/>
    </row>
    <row r="44" spans="1:11" ht="22.5" customHeight="1">
      <c r="A44" s="44"/>
      <c r="B44" s="2829" t="s">
        <v>4128</v>
      </c>
      <c r="C44" s="2862" t="s">
        <v>4129</v>
      </c>
      <c r="D44" s="2854"/>
      <c r="E44" s="2851"/>
      <c r="F44" s="2852"/>
      <c r="G44" s="2827"/>
      <c r="H44" s="3262" t="str">
        <f>FIXED((スコア!Q177*スコア!R177*スコア!R174),1)&amp;"/"&amp;FIXED((4.5*スコア!R177*スコア!R174),1)</f>
        <v>0.3/0.4</v>
      </c>
      <c r="I44" s="3255" t="str">
        <f>FIXED((スコア!Q177*スコア!R177*スコア!R174)/(4.5*スコア!R177*スコア!R174)*5,1)</f>
        <v>3.3</v>
      </c>
      <c r="J44" s="44"/>
      <c r="K44" s="2864"/>
    </row>
    <row r="45" spans="1:11" ht="22.5" customHeight="1">
      <c r="A45" s="44"/>
      <c r="B45" s="2829"/>
      <c r="C45" s="2830">
        <v>2</v>
      </c>
      <c r="D45" s="2830">
        <v>2.2999999999999998</v>
      </c>
      <c r="E45" s="2831"/>
      <c r="F45" s="2831" t="s">
        <v>4156</v>
      </c>
      <c r="G45" s="2827"/>
      <c r="H45" s="3263"/>
      <c r="I45" s="3256"/>
      <c r="J45" s="44"/>
      <c r="K45" s="2865"/>
    </row>
    <row r="46" spans="1:11" ht="22.5" customHeight="1" thickBot="1">
      <c r="A46" s="44"/>
      <c r="B46" s="2829"/>
      <c r="C46" s="2830"/>
      <c r="D46" s="2830"/>
      <c r="E46" s="2831"/>
      <c r="F46" s="2831"/>
      <c r="G46" s="2827"/>
      <c r="H46" s="3258"/>
      <c r="I46" s="3259"/>
      <c r="J46" s="44"/>
      <c r="K46" s="44"/>
    </row>
    <row r="47" spans="1:11" ht="33" customHeight="1">
      <c r="A47" s="44"/>
      <c r="B47" s="2866" t="s">
        <v>4157</v>
      </c>
      <c r="C47" s="2867"/>
      <c r="D47" s="2867"/>
      <c r="E47" s="2868"/>
      <c r="F47" s="2867"/>
      <c r="G47" s="2869"/>
      <c r="H47" s="2870" t="s">
        <v>4158</v>
      </c>
      <c r="I47" s="2871">
        <f>AVERAGE(I48:I59)</f>
        <v>2.3000000000000003</v>
      </c>
      <c r="J47" s="44"/>
      <c r="K47" s="44"/>
    </row>
    <row r="48" spans="1:11" ht="22.5" customHeight="1">
      <c r="A48" s="44"/>
      <c r="B48" s="2829" t="s">
        <v>4123</v>
      </c>
      <c r="C48" s="2872" t="s">
        <v>4138</v>
      </c>
      <c r="D48" s="2851"/>
      <c r="E48" s="2851"/>
      <c r="F48" s="2852"/>
      <c r="G48" s="2827"/>
      <c r="H48" s="3253" t="str">
        <f>H21</f>
        <v>0.8/2.3</v>
      </c>
      <c r="I48" s="3256">
        <f>I21</f>
        <v>1.7</v>
      </c>
      <c r="J48" s="44"/>
      <c r="K48" s="2828"/>
    </row>
    <row r="49" spans="1:11" ht="22.5" customHeight="1">
      <c r="A49" s="44"/>
      <c r="B49" s="2829"/>
      <c r="C49" s="2830">
        <v>1</v>
      </c>
      <c r="D49" s="2830"/>
      <c r="E49" s="2831"/>
      <c r="F49" s="2831" t="s">
        <v>4125</v>
      </c>
      <c r="G49" s="2827"/>
      <c r="H49" s="3258"/>
      <c r="I49" s="3259"/>
      <c r="J49" s="44"/>
      <c r="K49" s="44"/>
    </row>
    <row r="50" spans="1:11" ht="22.5" customHeight="1">
      <c r="A50" s="44"/>
      <c r="B50" s="2829"/>
      <c r="C50" s="2830">
        <v>3</v>
      </c>
      <c r="D50" s="2830">
        <v>3.2</v>
      </c>
      <c r="E50" s="2831"/>
      <c r="F50" s="2831" t="s">
        <v>4127</v>
      </c>
      <c r="G50" s="2827"/>
      <c r="H50" s="3258"/>
      <c r="I50" s="3259"/>
      <c r="J50" s="44"/>
      <c r="K50" s="44"/>
    </row>
    <row r="51" spans="1:11" ht="22.5" customHeight="1">
      <c r="A51" s="44"/>
      <c r="B51" s="2829"/>
      <c r="C51" s="2830"/>
      <c r="D51" s="2830"/>
      <c r="E51" s="2831"/>
      <c r="F51" s="2831"/>
      <c r="G51" s="2835"/>
      <c r="H51" s="3264"/>
      <c r="I51" s="3265"/>
      <c r="J51" s="44"/>
      <c r="K51" s="44"/>
    </row>
    <row r="52" spans="1:11" ht="22.5" customHeight="1">
      <c r="A52" s="44"/>
      <c r="B52" s="2823" t="s">
        <v>4139</v>
      </c>
      <c r="C52" s="2872" t="s">
        <v>4140</v>
      </c>
      <c r="D52" s="2851"/>
      <c r="E52" s="2851"/>
      <c r="F52" s="2852"/>
      <c r="G52" s="2827"/>
      <c r="H52" s="3252" t="str">
        <f>H24</f>
        <v>2.2/5.0</v>
      </c>
      <c r="I52" s="3255">
        <f>I24</f>
        <v>2.2000000000000002</v>
      </c>
      <c r="J52" s="44"/>
      <c r="K52" s="2828"/>
    </row>
    <row r="53" spans="1:11" ht="22.5" customHeight="1">
      <c r="A53" s="44"/>
      <c r="B53" s="2829"/>
      <c r="C53" s="2830">
        <v>1</v>
      </c>
      <c r="D53" s="2830"/>
      <c r="E53" s="2831"/>
      <c r="F53" s="2831" t="s">
        <v>4141</v>
      </c>
      <c r="G53" s="2827"/>
      <c r="H53" s="3253"/>
      <c r="I53" s="3256"/>
      <c r="J53" s="44"/>
      <c r="K53" s="44"/>
    </row>
    <row r="54" spans="1:11" ht="22.5" customHeight="1">
      <c r="A54" s="44"/>
      <c r="B54" s="2829"/>
      <c r="C54" s="2830">
        <v>2</v>
      </c>
      <c r="D54" s="2830"/>
      <c r="E54" s="2831"/>
      <c r="F54" s="2831" t="s">
        <v>4142</v>
      </c>
      <c r="G54" s="2827"/>
      <c r="H54" s="3253"/>
      <c r="I54" s="3256"/>
      <c r="J54" s="44"/>
      <c r="K54" s="44"/>
    </row>
    <row r="55" spans="1:11" ht="22.5" customHeight="1">
      <c r="A55" s="44"/>
      <c r="B55" s="2829"/>
      <c r="C55" s="2830">
        <v>3</v>
      </c>
      <c r="D55" s="2830"/>
      <c r="E55" s="2831"/>
      <c r="F55" s="2831" t="s">
        <v>4143</v>
      </c>
      <c r="G55" s="2827"/>
      <c r="H55" s="3253"/>
      <c r="I55" s="3256"/>
      <c r="J55" s="44"/>
      <c r="K55" s="44"/>
    </row>
    <row r="56" spans="1:11" ht="22.5" customHeight="1">
      <c r="A56" s="44"/>
      <c r="B56" s="2829"/>
      <c r="C56" s="2830">
        <v>4</v>
      </c>
      <c r="D56" s="2830"/>
      <c r="E56" s="2831"/>
      <c r="F56" s="2831" t="s">
        <v>4144</v>
      </c>
      <c r="G56" s="2835"/>
      <c r="H56" s="3254"/>
      <c r="I56" s="3257"/>
      <c r="J56" s="44"/>
      <c r="K56" s="44"/>
    </row>
    <row r="57" spans="1:11" ht="22.5" customHeight="1">
      <c r="A57" s="44"/>
      <c r="B57" s="2823" t="s">
        <v>4128</v>
      </c>
      <c r="C57" s="2872" t="s">
        <v>4129</v>
      </c>
      <c r="D57" s="2837"/>
      <c r="E57" s="2851"/>
      <c r="F57" s="2851"/>
      <c r="G57" s="2827"/>
      <c r="H57" s="3252" t="str">
        <f>H13</f>
        <v>0.5/0.8</v>
      </c>
      <c r="I57" s="3255">
        <f>I13</f>
        <v>3</v>
      </c>
      <c r="J57" s="44"/>
      <c r="K57" s="2828"/>
    </row>
    <row r="58" spans="1:11" ht="22.5" customHeight="1">
      <c r="A58" s="44"/>
      <c r="B58" s="2829"/>
      <c r="C58" s="2830">
        <v>2</v>
      </c>
      <c r="D58" s="2830">
        <v>2.2000000000000002</v>
      </c>
      <c r="E58" s="2831"/>
      <c r="F58" s="2831" t="s">
        <v>4130</v>
      </c>
      <c r="G58" s="2827"/>
      <c r="H58" s="3253"/>
      <c r="I58" s="3256"/>
      <c r="J58" s="44"/>
      <c r="K58" s="44"/>
    </row>
    <row r="59" spans="1:11" ht="22.5" customHeight="1" thickBot="1">
      <c r="A59" s="44"/>
      <c r="B59" s="2873"/>
      <c r="C59" s="2874"/>
      <c r="D59" s="2874"/>
      <c r="E59" s="2875"/>
      <c r="F59" s="2875"/>
      <c r="G59" s="2876"/>
      <c r="H59" s="3266"/>
      <c r="I59" s="3267"/>
      <c r="J59" s="44"/>
      <c r="K59" s="44"/>
    </row>
    <row r="60" spans="1:11" ht="18.75">
      <c r="A60" s="44"/>
      <c r="B60" s="2877" t="s">
        <v>4159</v>
      </c>
      <c r="C60" s="2839"/>
      <c r="D60" s="2839"/>
      <c r="E60" s="2838"/>
      <c r="F60" s="2839"/>
      <c r="G60" s="2878"/>
      <c r="H60" s="2878"/>
      <c r="I60" s="2878"/>
      <c r="J60" s="44"/>
      <c r="K60" s="44"/>
    </row>
    <row r="61" spans="1:11" ht="30.75">
      <c r="A61" s="44"/>
      <c r="B61" s="2879"/>
      <c r="C61" s="2839"/>
      <c r="D61" s="2839"/>
      <c r="E61" s="2838"/>
      <c r="F61" s="2839"/>
      <c r="G61" s="2878"/>
      <c r="H61" s="2880" t="s">
        <v>4160</v>
      </c>
      <c r="I61" s="2881">
        <f>AVERAGE(I8:I15,I17:I35,I37:I46,I48:I59)</f>
        <v>2.5666666666666664</v>
      </c>
      <c r="J61" s="44"/>
      <c r="K61" s="44"/>
    </row>
    <row r="62" spans="1:11" ht="19.5" thickBot="1">
      <c r="A62" s="44"/>
      <c r="B62" s="2838"/>
      <c r="C62" s="2839"/>
      <c r="D62" s="2839"/>
      <c r="E62" s="2838"/>
      <c r="F62" s="2839"/>
      <c r="G62" s="2878"/>
      <c r="H62" s="2878"/>
      <c r="I62" s="2878"/>
      <c r="J62" s="44"/>
      <c r="K62" s="44"/>
    </row>
    <row r="63" spans="1:11" ht="42" customHeight="1" thickBot="1">
      <c r="A63" s="44"/>
      <c r="B63" s="2882" t="s">
        <v>4161</v>
      </c>
      <c r="C63" s="2883"/>
      <c r="D63" s="2883"/>
      <c r="E63" s="2883"/>
      <c r="F63" s="2883"/>
      <c r="G63" s="2884"/>
      <c r="H63" s="3246" t="s">
        <v>4162</v>
      </c>
      <c r="I63" s="3248" t="s">
        <v>4163</v>
      </c>
      <c r="J63" s="44"/>
      <c r="K63" s="44"/>
    </row>
    <row r="64" spans="1:11" ht="47.25" customHeight="1" thickBot="1">
      <c r="A64" s="44"/>
      <c r="B64" s="2813" t="s">
        <v>4164</v>
      </c>
      <c r="C64" s="2885"/>
      <c r="D64" s="2885"/>
      <c r="E64" s="2885"/>
      <c r="F64" s="2886"/>
      <c r="G64" s="2816" t="s">
        <v>4165</v>
      </c>
      <c r="H64" s="3247"/>
      <c r="I64" s="3249"/>
      <c r="J64" s="44"/>
      <c r="K64" s="44"/>
    </row>
    <row r="65" spans="1:11" ht="32.25" customHeight="1">
      <c r="A65" s="44"/>
      <c r="B65" s="2887" t="s">
        <v>4166</v>
      </c>
      <c r="C65" s="2888"/>
      <c r="D65" s="2888"/>
      <c r="E65" s="2889"/>
      <c r="F65" s="2888"/>
      <c r="G65" s="2890"/>
      <c r="H65" s="2890"/>
      <c r="I65" s="2891"/>
      <c r="J65" s="44"/>
      <c r="K65" s="44"/>
    </row>
    <row r="66" spans="1:11" ht="22.5" customHeight="1">
      <c r="A66" s="44"/>
      <c r="B66" s="2892" t="s">
        <v>4152</v>
      </c>
      <c r="C66" s="2893" t="s">
        <v>4153</v>
      </c>
      <c r="D66" s="44"/>
      <c r="E66" s="44"/>
      <c r="F66" s="44"/>
      <c r="G66" s="2827"/>
      <c r="H66" s="3268" t="str">
        <f>FIXED((スコア!Q83*スコア!R83*スコア!R82*スコア!R78),1)&amp;"/"&amp;FIXED((5*スコア!R83*スコア!R82*スコア!R78),1)</f>
        <v>0.1/0.1</v>
      </c>
      <c r="I66" s="3255">
        <f>ROUND((スコア!Q83*スコア!R83*スコア!R82*スコア!R78)/(5*スコア!R83*スコア!R82*スコア!R78)*5,1)</f>
        <v>3</v>
      </c>
      <c r="J66" s="44"/>
      <c r="K66" s="2828"/>
    </row>
    <row r="67" spans="1:11" ht="22.5" customHeight="1">
      <c r="A67" s="44"/>
      <c r="B67" s="2892"/>
      <c r="C67" s="2839">
        <v>2</v>
      </c>
      <c r="D67" s="2839">
        <v>2.2000000000000002</v>
      </c>
      <c r="E67" s="2838" t="s">
        <v>2274</v>
      </c>
      <c r="F67" s="2894" t="s">
        <v>4167</v>
      </c>
      <c r="G67" s="2827"/>
      <c r="H67" s="3273"/>
      <c r="I67" s="3256"/>
      <c r="J67" s="44"/>
      <c r="K67" s="44"/>
    </row>
    <row r="68" spans="1:11" ht="22.5" customHeight="1" thickBot="1">
      <c r="A68" s="44"/>
      <c r="B68" s="2892"/>
      <c r="C68" s="2839"/>
      <c r="D68" s="2839"/>
      <c r="E68" s="2838"/>
      <c r="F68" s="2878"/>
      <c r="G68" s="2827"/>
      <c r="H68" s="3269"/>
      <c r="I68" s="3274"/>
      <c r="J68" s="44"/>
      <c r="K68" s="44"/>
    </row>
    <row r="69" spans="1:11" ht="32.25" customHeight="1">
      <c r="A69" s="44"/>
      <c r="B69" s="2895" t="s">
        <v>4168</v>
      </c>
      <c r="C69" s="2896"/>
      <c r="D69" s="2896"/>
      <c r="E69" s="2897"/>
      <c r="F69" s="2896"/>
      <c r="G69" s="2898"/>
      <c r="H69" s="2898"/>
      <c r="I69" s="2899"/>
      <c r="J69" s="44"/>
      <c r="K69" s="44"/>
    </row>
    <row r="70" spans="1:11" ht="22.5" customHeight="1">
      <c r="A70" s="44"/>
      <c r="B70" s="2892" t="s">
        <v>4155</v>
      </c>
      <c r="C70" s="2900" t="s">
        <v>4146</v>
      </c>
      <c r="D70" s="2839"/>
      <c r="E70" s="2838"/>
      <c r="F70" s="2878"/>
      <c r="G70" s="2827"/>
      <c r="H70" s="3275" t="str">
        <f>FIXED((スコア!Q153*スコア!R153*スコア!R151+スコア!Q154*スコア!R154*スコア!R151),1)&amp;"/"&amp;FIXED((5*スコア!R153*スコア!R151+5*スコア!R154*スコア!R151),1)</f>
        <v>0.7/1.2</v>
      </c>
      <c r="I70" s="3255">
        <f>ROUND((スコア!Q153*スコア!R153*スコア!R151+スコア!Q154*スコア!R154*スコア!R151)/(5*スコア!R153*スコア!R151+5*スコア!R154*スコア!R151)*5,1)</f>
        <v>3</v>
      </c>
      <c r="J70" s="44"/>
      <c r="K70" s="2828"/>
    </row>
    <row r="71" spans="1:11" ht="22.5" customHeight="1">
      <c r="A71" s="44"/>
      <c r="B71" s="2892"/>
      <c r="C71" s="2839">
        <v>2</v>
      </c>
      <c r="D71" s="2839">
        <v>2.2000000000000002</v>
      </c>
      <c r="E71" s="2838"/>
      <c r="F71" s="2878" t="s">
        <v>4169</v>
      </c>
      <c r="G71" s="2827"/>
      <c r="H71" s="3276"/>
      <c r="I71" s="3274"/>
      <c r="J71" s="44"/>
      <c r="K71" s="44"/>
    </row>
    <row r="72" spans="1:11" ht="22.5" customHeight="1" thickBot="1">
      <c r="A72" s="44"/>
      <c r="B72" s="2892"/>
      <c r="C72" s="2839"/>
      <c r="D72" s="2839">
        <v>2.2999999999999998</v>
      </c>
      <c r="E72" s="2838"/>
      <c r="F72" s="2901" t="s">
        <v>4170</v>
      </c>
      <c r="G72" s="2827"/>
      <c r="H72" s="3276"/>
      <c r="I72" s="3274"/>
      <c r="J72" s="44"/>
      <c r="K72" s="44"/>
    </row>
    <row r="73" spans="1:11" ht="34.5" customHeight="1">
      <c r="A73" s="44"/>
      <c r="B73" s="2902" t="s">
        <v>4171</v>
      </c>
      <c r="C73" s="2903"/>
      <c r="D73" s="2903"/>
      <c r="E73" s="2904"/>
      <c r="F73" s="2903"/>
      <c r="G73" s="2905"/>
      <c r="H73" s="2905"/>
      <c r="I73" s="2906"/>
      <c r="J73" s="44"/>
      <c r="K73" s="44"/>
    </row>
    <row r="74" spans="1:11" ht="22.5" customHeight="1">
      <c r="A74" s="44"/>
      <c r="B74" s="2892" t="s">
        <v>4139</v>
      </c>
      <c r="C74" s="2907" t="s">
        <v>4172</v>
      </c>
      <c r="D74" s="2839"/>
      <c r="E74" s="2838"/>
      <c r="F74" s="2878"/>
      <c r="G74" s="2827"/>
      <c r="H74" s="3268" t="str">
        <f>H24</f>
        <v>2.2/5.0</v>
      </c>
      <c r="I74" s="3271">
        <f>I24</f>
        <v>2.2000000000000002</v>
      </c>
      <c r="J74" s="44"/>
      <c r="K74" s="2828"/>
    </row>
    <row r="75" spans="1:11" ht="22.5" customHeight="1">
      <c r="A75" s="44"/>
      <c r="B75" s="2892"/>
      <c r="C75" s="2839">
        <v>1</v>
      </c>
      <c r="D75" s="2839"/>
      <c r="E75" s="2838"/>
      <c r="F75" s="2878" t="s">
        <v>4141</v>
      </c>
      <c r="G75" s="2827"/>
      <c r="H75" s="3269"/>
      <c r="I75" s="3256"/>
      <c r="J75" s="44"/>
      <c r="K75" s="44"/>
    </row>
    <row r="76" spans="1:11" ht="22.5" customHeight="1">
      <c r="A76" s="44"/>
      <c r="B76" s="2892"/>
      <c r="C76" s="2839">
        <v>2</v>
      </c>
      <c r="D76" s="2839"/>
      <c r="E76" s="2838"/>
      <c r="F76" s="2894" t="s">
        <v>4142</v>
      </c>
      <c r="G76" s="2827"/>
      <c r="H76" s="3269"/>
      <c r="I76" s="3256"/>
      <c r="J76" s="44"/>
      <c r="K76" s="44"/>
    </row>
    <row r="77" spans="1:11" ht="22.5" customHeight="1">
      <c r="A77" s="44"/>
      <c r="B77" s="2892"/>
      <c r="C77" s="2839">
        <v>3</v>
      </c>
      <c r="D77" s="2839"/>
      <c r="E77" s="2838"/>
      <c r="F77" s="2894" t="s">
        <v>4143</v>
      </c>
      <c r="G77" s="2827"/>
      <c r="H77" s="3269"/>
      <c r="I77" s="3256"/>
      <c r="J77" s="44"/>
      <c r="K77" s="44"/>
    </row>
    <row r="78" spans="1:11" ht="22.5" customHeight="1" thickBot="1">
      <c r="A78" s="44"/>
      <c r="B78" s="2873"/>
      <c r="C78" s="2874">
        <v>4</v>
      </c>
      <c r="D78" s="2874"/>
      <c r="E78" s="2875"/>
      <c r="F78" s="2908" t="s">
        <v>4144</v>
      </c>
      <c r="G78" s="2876"/>
      <c r="H78" s="3270"/>
      <c r="I78" s="3272"/>
      <c r="J78" s="44"/>
      <c r="K78" s="44"/>
    </row>
    <row r="79" spans="1:11" ht="15">
      <c r="A79" s="44"/>
      <c r="B79" s="2909" t="s">
        <v>4173</v>
      </c>
      <c r="C79" s="44"/>
      <c r="D79" s="44"/>
      <c r="E79" s="44"/>
      <c r="F79" s="44"/>
      <c r="G79" s="44"/>
      <c r="H79" s="44"/>
      <c r="I79" s="44"/>
      <c r="J79" s="44"/>
      <c r="K79" s="44"/>
    </row>
    <row r="80" spans="1:11">
      <c r="A80" s="44"/>
      <c r="B80" s="44"/>
      <c r="C80" s="44"/>
      <c r="D80" s="44"/>
      <c r="E80" s="44"/>
      <c r="F80" s="44"/>
      <c r="G80" s="44"/>
      <c r="H80" s="44"/>
      <c r="I80" s="44"/>
      <c r="J80" s="44"/>
      <c r="K80" s="44"/>
    </row>
  </sheetData>
  <sheetProtection password="C784" sheet="1" objects="1" scenarios="1"/>
  <mergeCells count="38">
    <mergeCell ref="H74:H78"/>
    <mergeCell ref="I74:I78"/>
    <mergeCell ref="H63:H64"/>
    <mergeCell ref="I63:I64"/>
    <mergeCell ref="H66:H68"/>
    <mergeCell ref="I66:I68"/>
    <mergeCell ref="H70:H72"/>
    <mergeCell ref="I70:I72"/>
    <mergeCell ref="H48:H51"/>
    <mergeCell ref="I48:I51"/>
    <mergeCell ref="H52:H56"/>
    <mergeCell ref="I52:I56"/>
    <mergeCell ref="H57:H59"/>
    <mergeCell ref="I57:I59"/>
    <mergeCell ref="H37:H39"/>
    <mergeCell ref="I37:I39"/>
    <mergeCell ref="H40:H43"/>
    <mergeCell ref="I40:I43"/>
    <mergeCell ref="H44:H46"/>
    <mergeCell ref="I44:I46"/>
    <mergeCell ref="H24:H28"/>
    <mergeCell ref="I24:I28"/>
    <mergeCell ref="H29:H32"/>
    <mergeCell ref="I29:I32"/>
    <mergeCell ref="H33:H35"/>
    <mergeCell ref="I33:I35"/>
    <mergeCell ref="H13:H15"/>
    <mergeCell ref="I13:I15"/>
    <mergeCell ref="H17:H20"/>
    <mergeCell ref="I17:I20"/>
    <mergeCell ref="H21:H23"/>
    <mergeCell ref="I21:I23"/>
    <mergeCell ref="H3:I3"/>
    <mergeCell ref="H5:H6"/>
    <mergeCell ref="I5:I6"/>
    <mergeCell ref="K5:K6"/>
    <mergeCell ref="H8:H12"/>
    <mergeCell ref="I8:I12"/>
  </mergeCells>
  <phoneticPr fontId="27"/>
  <printOptions horizontalCentered="1"/>
  <pageMargins left="0.59055118110236227" right="0.59055118110236227" top="0.78740157480314965" bottom="0.59055118110236227" header="0.51181102362204722" footer="0.51181102362204722"/>
  <pageSetup paperSize="9" scale="42" orientation="portrait" verticalDpi="300" r:id="rId1"/>
  <headerFooter alignWithMargins="0">
    <oddHeader>&amp;L&amp;F&amp;R&amp;A</oddHeader>
    <oddFooter>&amp;C&amp;P/&amp;N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autoPageBreaks="0" fitToPage="1"/>
  </sheetPr>
  <dimension ref="A1:AK576"/>
  <sheetViews>
    <sheetView showGridLines="0" topLeftCell="G151" zoomScaleNormal="100" workbookViewId="0">
      <selection activeCell="M171" sqref="M171:P171"/>
    </sheetView>
  </sheetViews>
  <sheetFormatPr defaultColWidth="0" defaultRowHeight="14.25" zeroHeight="1"/>
  <cols>
    <col min="1" max="1" width="0.875" customWidth="1"/>
    <col min="2" max="2" width="4" style="2263" customWidth="1"/>
    <col min="3" max="3" width="5.125" customWidth="1"/>
    <col min="4" max="4" width="5.375" customWidth="1"/>
    <col min="5" max="8" width="7.375" customWidth="1"/>
    <col min="9" max="12" width="4.25" customWidth="1"/>
    <col min="13" max="15" width="5.625" customWidth="1"/>
    <col min="16" max="16" width="16.25" customWidth="1"/>
    <col min="17" max="21" width="7.25" customWidth="1"/>
    <col min="22" max="22" width="15.5" hidden="1" customWidth="1"/>
    <col min="23" max="24" width="6.625" style="1672" hidden="1" customWidth="1"/>
    <col min="25" max="32" width="6.625" hidden="1" customWidth="1"/>
    <col min="33" max="33" width="6.25" hidden="1" customWidth="1"/>
    <col min="34" max="34" width="12.375" hidden="1" customWidth="1"/>
    <col min="35" max="36" width="5.25" hidden="1" customWidth="1"/>
    <col min="37" max="37" width="14" customWidth="1"/>
    <col min="38" max="16384" width="9" hidden="1"/>
  </cols>
  <sheetData>
    <row r="1" spans="1:37" ht="6" customHeight="1" thickBot="1"/>
    <row r="2" spans="1:37" ht="17.25">
      <c r="B2" s="2743" t="str">
        <f>メイン!C6</f>
        <v>CASBEE-川崎2025年版</v>
      </c>
      <c r="C2" s="441"/>
      <c r="D2" s="442"/>
      <c r="E2" s="1897"/>
      <c r="F2" s="1897"/>
      <c r="G2" s="1897"/>
      <c r="H2" s="443"/>
      <c r="I2" s="1896"/>
      <c r="J2" s="1896"/>
      <c r="K2" s="1896"/>
      <c r="L2" s="1896"/>
      <c r="M2" s="1896"/>
      <c r="P2" s="500" t="s">
        <v>1774</v>
      </c>
      <c r="Q2" s="500"/>
      <c r="R2" s="2744" t="str">
        <f>メイン!C6</f>
        <v>CASBEE-川崎2025年版</v>
      </c>
      <c r="T2" s="1387"/>
      <c r="U2" s="1387"/>
      <c r="V2" s="2281"/>
      <c r="W2" s="1673"/>
      <c r="X2" s="1673"/>
    </row>
    <row r="3" spans="1:37" ht="14.25" customHeight="1" thickBot="1">
      <c r="B3" s="3293" t="str">
        <f>メイン!$C$11</f>
        <v>○○ビル</v>
      </c>
      <c r="C3" s="3294"/>
      <c r="D3" s="3294"/>
      <c r="E3" s="3294"/>
      <c r="F3" s="3294"/>
      <c r="G3" s="3294"/>
      <c r="H3" s="3295"/>
      <c r="I3" s="1896"/>
      <c r="P3" s="500" t="s">
        <v>2139</v>
      </c>
      <c r="R3" s="2282" t="str">
        <f>メイン!C5</f>
        <v>CASBEE-川崎2025(v.1.1)</v>
      </c>
      <c r="T3" s="2283"/>
      <c r="U3" s="2283"/>
      <c r="V3" s="2284"/>
      <c r="W3" s="1659"/>
      <c r="X3" s="1659"/>
      <c r="Z3" s="1">
        <f>メイン!I3</f>
        <v>2</v>
      </c>
      <c r="AA3" s="1" t="str">
        <f>メイン!J3</f>
        <v>NC</v>
      </c>
    </row>
    <row r="4" spans="1:37" ht="3.75" customHeight="1" thickBot="1">
      <c r="B4" s="2285"/>
      <c r="C4" s="1895"/>
      <c r="D4" s="1894"/>
      <c r="E4" s="44"/>
      <c r="F4" s="44"/>
      <c r="G4" s="44"/>
      <c r="H4" s="44"/>
      <c r="I4" s="44"/>
      <c r="J4" s="44"/>
      <c r="K4" s="44"/>
      <c r="L4" s="44"/>
      <c r="M4" s="44"/>
      <c r="N4" s="44"/>
      <c r="O4" s="44"/>
      <c r="P4" s="2286"/>
      <c r="Q4" s="2286"/>
      <c r="R4" s="44"/>
      <c r="S4" s="44"/>
      <c r="T4" s="44"/>
      <c r="U4" s="1433"/>
      <c r="V4" s="2284"/>
      <c r="W4" s="1659"/>
      <c r="X4" s="1659"/>
    </row>
    <row r="5" spans="1:37" ht="17.25" customHeight="1" thickBot="1">
      <c r="B5" s="1893" t="s">
        <v>2140</v>
      </c>
      <c r="C5" s="1892"/>
      <c r="D5" s="1891"/>
      <c r="E5" s="3296" t="str">
        <f>IF(メイン!E39=0,"",メイン!E39)</f>
        <v>実施設計段階</v>
      </c>
      <c r="F5" s="3296"/>
      <c r="G5" s="3296"/>
      <c r="H5" s="3297"/>
      <c r="I5" s="2287"/>
      <c r="J5" s="2288"/>
      <c r="K5" s="2288"/>
      <c r="L5" s="2288"/>
      <c r="M5" s="2288"/>
      <c r="N5" s="2288"/>
      <c r="O5" s="2288"/>
      <c r="P5" s="2288"/>
      <c r="Q5" s="2288"/>
      <c r="R5" s="2288"/>
      <c r="S5" s="2288"/>
      <c r="T5" s="2288"/>
      <c r="U5" s="2289"/>
      <c r="V5" s="2284"/>
      <c r="W5" s="3286" t="s">
        <v>2776</v>
      </c>
      <c r="X5" s="3287"/>
      <c r="Z5" s="406"/>
      <c r="AA5" s="405"/>
      <c r="AB5" s="406"/>
      <c r="AC5" s="405"/>
      <c r="AD5" s="405"/>
      <c r="AE5" s="405"/>
      <c r="AF5" s="407" t="s">
        <v>2141</v>
      </c>
      <c r="AG5" s="182"/>
      <c r="AH5" s="407" t="s">
        <v>2142</v>
      </c>
    </row>
    <row r="6" spans="1:37" ht="12.75" customHeight="1">
      <c r="B6" s="2290"/>
      <c r="C6" s="2291"/>
      <c r="D6" s="2292"/>
      <c r="E6" s="2293"/>
      <c r="F6" s="2293"/>
      <c r="G6" s="2293"/>
      <c r="H6" s="2294"/>
      <c r="I6" s="3290" t="s">
        <v>4174</v>
      </c>
      <c r="J6" s="3291"/>
      <c r="K6" s="3291"/>
      <c r="L6" s="3292"/>
      <c r="M6" s="2295"/>
      <c r="N6" s="2295"/>
      <c r="O6" s="2295"/>
      <c r="P6" s="2295"/>
      <c r="Q6" s="2296"/>
      <c r="R6" s="2297"/>
      <c r="S6" s="2296"/>
      <c r="T6" s="2298"/>
      <c r="U6" s="2299"/>
      <c r="V6" s="2284"/>
      <c r="W6" s="3288"/>
      <c r="X6" s="3289"/>
      <c r="Z6" s="409" t="s">
        <v>2143</v>
      </c>
      <c r="AA6" s="410"/>
      <c r="AB6" s="411" t="s">
        <v>2144</v>
      </c>
      <c r="AC6" s="410"/>
      <c r="AD6" s="410"/>
      <c r="AE6" s="405"/>
      <c r="AF6" s="412">
        <f>重み!D7</f>
        <v>0.46666666666666667</v>
      </c>
      <c r="AG6" s="182"/>
      <c r="AH6" s="412">
        <f>重み!E7</f>
        <v>0.53333333333333333</v>
      </c>
    </row>
    <row r="7" spans="1:37" ht="23.25" customHeight="1" thickBot="1">
      <c r="B7" s="2300" t="s">
        <v>1571</v>
      </c>
      <c r="C7" s="1890"/>
      <c r="D7" s="1889"/>
      <c r="E7" s="1888"/>
      <c r="F7" s="1888"/>
      <c r="G7" s="1888"/>
      <c r="H7" s="2301"/>
      <c r="I7" s="2922" t="s">
        <v>4175</v>
      </c>
      <c r="J7" s="2923" t="s">
        <v>4176</v>
      </c>
      <c r="K7" s="2924" t="s">
        <v>4177</v>
      </c>
      <c r="L7" s="2925" t="s">
        <v>4178</v>
      </c>
      <c r="M7" s="2302" t="s">
        <v>1572</v>
      </c>
      <c r="N7" s="2303"/>
      <c r="O7" s="2303"/>
      <c r="P7" s="2304"/>
      <c r="Q7" s="2305" t="s">
        <v>1765</v>
      </c>
      <c r="R7" s="2306" t="s">
        <v>1766</v>
      </c>
      <c r="S7" s="2307" t="s">
        <v>1765</v>
      </c>
      <c r="T7" s="2308" t="s">
        <v>1766</v>
      </c>
      <c r="U7" s="2309" t="s">
        <v>1573</v>
      </c>
      <c r="V7" s="2284"/>
      <c r="W7" s="1660" t="s">
        <v>2777</v>
      </c>
      <c r="X7" s="1660" t="s">
        <v>2778</v>
      </c>
      <c r="Z7" s="413" t="s">
        <v>2438</v>
      </c>
      <c r="AA7" s="414" t="s">
        <v>1766</v>
      </c>
      <c r="AB7" s="413" t="s">
        <v>2438</v>
      </c>
      <c r="AC7" s="414" t="s">
        <v>1766</v>
      </c>
      <c r="AD7" s="415" t="s">
        <v>1767</v>
      </c>
      <c r="AE7" s="405"/>
      <c r="AF7" s="412" t="s">
        <v>1574</v>
      </c>
      <c r="AG7" s="182"/>
      <c r="AH7" s="412" t="s">
        <v>1574</v>
      </c>
    </row>
    <row r="8" spans="1:37" ht="14.25" customHeight="1" thickBot="1">
      <c r="B8" s="2310" t="s">
        <v>1575</v>
      </c>
      <c r="C8" s="1887"/>
      <c r="D8" s="1886"/>
      <c r="E8" s="1885"/>
      <c r="F8" s="1885"/>
      <c r="G8" s="1885"/>
      <c r="H8" s="2311"/>
      <c r="I8" s="2926"/>
      <c r="J8" s="2927"/>
      <c r="K8" s="2927"/>
      <c r="L8" s="2928"/>
      <c r="M8" s="2312"/>
      <c r="N8" s="2312"/>
      <c r="O8" s="2312"/>
      <c r="P8" s="2313"/>
      <c r="Q8" s="2314"/>
      <c r="R8" s="2315"/>
      <c r="S8" s="2316"/>
      <c r="T8" s="2317"/>
      <c r="U8" s="2318">
        <f>ROUNDDOWN(AD8,1)</f>
        <v>2.5</v>
      </c>
      <c r="V8" s="2284"/>
      <c r="W8" s="1659"/>
      <c r="X8" s="1659"/>
      <c r="Z8" s="416"/>
      <c r="AA8" s="417"/>
      <c r="AB8" s="416"/>
      <c r="AC8" s="417"/>
      <c r="AD8" s="1680">
        <f>AA9*AD9+AA62*AD62+AA112*AD112</f>
        <v>2.5862000000000003</v>
      </c>
      <c r="AE8" s="405"/>
      <c r="AF8" s="412">
        <f>重み!M8</f>
        <v>0</v>
      </c>
      <c r="AG8" s="182"/>
      <c r="AH8" s="412">
        <f>重み!N8</f>
        <v>0</v>
      </c>
    </row>
    <row r="9" spans="1:37" ht="14.25" customHeight="1" thickBot="1">
      <c r="B9" s="2319" t="s">
        <v>1576</v>
      </c>
      <c r="C9" s="1845" t="s">
        <v>1768</v>
      </c>
      <c r="D9" s="1845"/>
      <c r="E9" s="1845"/>
      <c r="F9" s="1845"/>
      <c r="G9" s="1845"/>
      <c r="H9" s="2320"/>
      <c r="I9" s="2929"/>
      <c r="J9" s="2930"/>
      <c r="K9" s="2930"/>
      <c r="L9" s="2931"/>
      <c r="M9" s="2322"/>
      <c r="N9" s="2322"/>
      <c r="O9" s="2322"/>
      <c r="P9" s="2323"/>
      <c r="Q9" s="2324"/>
      <c r="R9" s="2325">
        <f t="shared" ref="R9:R44" si="0">AA9</f>
        <v>0.4</v>
      </c>
      <c r="S9" s="2326"/>
      <c r="T9" s="2325">
        <f>AC9</f>
        <v>0</v>
      </c>
      <c r="U9" s="2327">
        <f>ROUNDDOWN(AD9,1)</f>
        <v>2.9</v>
      </c>
      <c r="V9" s="2284"/>
      <c r="W9" s="1659"/>
      <c r="X9" s="1659"/>
      <c r="Z9" s="416"/>
      <c r="AA9" s="418">
        <f>重み!D9</f>
        <v>0.4</v>
      </c>
      <c r="AB9" s="416"/>
      <c r="AC9" s="418"/>
      <c r="AD9" s="1680">
        <f>AD10*AA10+AD20*AA20+AD35*AA35+AD48*AA48</f>
        <v>2.96</v>
      </c>
      <c r="AE9" s="405"/>
      <c r="AF9" s="419">
        <f>重み!M9</f>
        <v>0.4</v>
      </c>
      <c r="AG9" s="182"/>
      <c r="AH9" s="412">
        <f>重み!N9</f>
        <v>0</v>
      </c>
      <c r="AI9" s="412" t="s">
        <v>2897</v>
      </c>
      <c r="AJ9" s="412" t="s">
        <v>2899</v>
      </c>
      <c r="AK9" s="182"/>
    </row>
    <row r="10" spans="1:37" ht="14.25" customHeight="1" thickBot="1">
      <c r="B10" s="2328">
        <v>1</v>
      </c>
      <c r="C10" s="1870" t="s">
        <v>1769</v>
      </c>
      <c r="D10" s="1811"/>
      <c r="E10" s="1884"/>
      <c r="F10" s="1884"/>
      <c r="G10" s="1884"/>
      <c r="H10" s="2329"/>
      <c r="I10" s="2932"/>
      <c r="J10" s="2933"/>
      <c r="K10" s="2933"/>
      <c r="L10" s="2934"/>
      <c r="M10" s="2331"/>
      <c r="N10" s="2331"/>
      <c r="O10" s="2331"/>
      <c r="P10" s="2332"/>
      <c r="Q10" s="2333">
        <f>ROUNDDOWN(Z10,1)</f>
        <v>3</v>
      </c>
      <c r="R10" s="2334">
        <f>AA10</f>
        <v>0.15</v>
      </c>
      <c r="S10" s="2333">
        <f>ROUNDDOWN(AB10,1)</f>
        <v>3</v>
      </c>
      <c r="T10" s="2335">
        <f t="shared" ref="T10:T44" si="1">AC10</f>
        <v>1</v>
      </c>
      <c r="U10" s="2336">
        <f>ROUNDDOWN(AD10,1)</f>
        <v>3</v>
      </c>
      <c r="V10" s="2284"/>
      <c r="W10" s="1661"/>
      <c r="X10" s="1661"/>
      <c r="Z10" s="1655">
        <f>Z11*AA11+Z14*AA14+Z19*AA19</f>
        <v>3</v>
      </c>
      <c r="AA10" s="1501">
        <f>重み!D10</f>
        <v>0.15</v>
      </c>
      <c r="AB10" s="1655">
        <f>AB11*AC11+AB14*AC14+AB19*AC19</f>
        <v>3</v>
      </c>
      <c r="AC10" s="421">
        <f>SUM(AC11,AC14,AC19)</f>
        <v>1</v>
      </c>
      <c r="AD10" s="417">
        <f>IF(AB10=0,Z10,IF(Z10=0,AB10,Z10*AF$6+AB10*AH$6))</f>
        <v>3</v>
      </c>
      <c r="AE10" s="405"/>
      <c r="AF10" s="412">
        <f>重み!M10</f>
        <v>0.15</v>
      </c>
      <c r="AG10" s="182"/>
      <c r="AH10" s="421">
        <f>SUM(AH11,AH14,AH19)</f>
        <v>0.66666666666666663</v>
      </c>
      <c r="AI10" s="2080"/>
      <c r="AJ10" s="2080"/>
      <c r="AK10" s="2081"/>
    </row>
    <row r="11" spans="1:37" thickBot="1">
      <c r="B11" s="2337"/>
      <c r="C11" s="1808">
        <v>1.1000000000000001</v>
      </c>
      <c r="D11" s="1826" t="s">
        <v>2752</v>
      </c>
      <c r="E11" s="1499"/>
      <c r="F11" s="1499"/>
      <c r="G11" s="1499"/>
      <c r="H11" s="2338"/>
      <c r="I11" s="2935"/>
      <c r="J11" s="2936"/>
      <c r="K11" s="2936"/>
      <c r="L11" s="2937"/>
      <c r="M11" s="3298">
        <f>採点Q1!G20</f>
        <v>0</v>
      </c>
      <c r="N11" s="3299"/>
      <c r="O11" s="3299"/>
      <c r="P11" s="3300"/>
      <c r="Q11" s="1844">
        <f t="shared" ref="Q11:Q74" si="2">ROUNDDOWN(Z11,1)</f>
        <v>3</v>
      </c>
      <c r="R11" s="2339">
        <f t="shared" si="0"/>
        <v>0.5</v>
      </c>
      <c r="S11" s="1844">
        <f t="shared" ref="S11:S74" si="3">ROUNDDOWN(AB11,1)</f>
        <v>3</v>
      </c>
      <c r="T11" s="2339">
        <f t="shared" si="1"/>
        <v>0.5</v>
      </c>
      <c r="U11" s="2340"/>
      <c r="V11" s="2284"/>
      <c r="W11" s="1502">
        <f>IF(採点Q1!F14="対象外",0,採点Q1!F14)</f>
        <v>3</v>
      </c>
      <c r="X11" s="1503">
        <f>IF(採点Q1!L14="対象外",0,採点Q1!L14)</f>
        <v>3</v>
      </c>
      <c r="Z11" s="1654">
        <f>IF($Z$3=4,#REF!,W11)</f>
        <v>3</v>
      </c>
      <c r="AA11" s="1501">
        <f>重み!D11</f>
        <v>0.5</v>
      </c>
      <c r="AB11" s="1654">
        <f>IF($Z$3=4,#REF!,X11)</f>
        <v>3</v>
      </c>
      <c r="AC11" s="1501">
        <f>重み!E11</f>
        <v>0.5</v>
      </c>
      <c r="AD11" s="417"/>
      <c r="AE11" s="405"/>
      <c r="AF11" s="412">
        <f>重み!M11</f>
        <v>0.46666666666666667</v>
      </c>
      <c r="AG11" s="182"/>
      <c r="AH11" s="412">
        <f>重み!N11</f>
        <v>0.33333333333333331</v>
      </c>
      <c r="AI11" s="2080"/>
      <c r="AJ11" s="2080"/>
      <c r="AK11" s="2081"/>
    </row>
    <row r="12" spans="1:37" ht="15" hidden="1" customHeight="1" thickBot="1">
      <c r="A12" t="s">
        <v>3128</v>
      </c>
      <c r="B12" s="2341"/>
      <c r="C12" s="1883"/>
      <c r="D12" s="1882">
        <v>1</v>
      </c>
      <c r="E12" s="1881" t="s">
        <v>1770</v>
      </c>
      <c r="F12" s="1881"/>
      <c r="G12" s="1881"/>
      <c r="H12" s="2342"/>
      <c r="I12" s="2935"/>
      <c r="J12" s="2936"/>
      <c r="K12" s="2936"/>
      <c r="L12" s="2937"/>
      <c r="M12" s="2913"/>
      <c r="N12" s="2914"/>
      <c r="O12" s="2914"/>
      <c r="P12" s="2915"/>
      <c r="Q12" s="1814">
        <f t="shared" si="2"/>
        <v>0</v>
      </c>
      <c r="R12" s="2343">
        <f t="shared" si="0"/>
        <v>0</v>
      </c>
      <c r="S12" s="1814">
        <f t="shared" si="3"/>
        <v>0</v>
      </c>
      <c r="T12" s="2343">
        <f t="shared" si="1"/>
        <v>0</v>
      </c>
      <c r="U12" s="2336"/>
      <c r="V12" s="2284"/>
      <c r="Z12" s="1510"/>
      <c r="AA12" s="1501">
        <f>重み!D12</f>
        <v>0</v>
      </c>
      <c r="AB12" s="1510"/>
      <c r="AC12" s="1501">
        <f>重み!E12</f>
        <v>0</v>
      </c>
      <c r="AD12" s="417"/>
      <c r="AE12" s="405"/>
      <c r="AF12" s="412">
        <f>重み!M12</f>
        <v>0</v>
      </c>
      <c r="AG12" s="182"/>
      <c r="AH12" s="412">
        <f>重み!N12</f>
        <v>0</v>
      </c>
      <c r="AI12" s="2080"/>
      <c r="AJ12" s="2080"/>
      <c r="AK12" s="2081"/>
    </row>
    <row r="13" spans="1:37" ht="14.25" hidden="1" customHeight="1" thickBot="1">
      <c r="B13" s="2344"/>
      <c r="C13" s="1874"/>
      <c r="D13" s="1873">
        <v>2</v>
      </c>
      <c r="E13" s="1872" t="s">
        <v>1771</v>
      </c>
      <c r="F13" s="1872"/>
      <c r="G13" s="1872"/>
      <c r="H13" s="2345"/>
      <c r="I13" s="2935"/>
      <c r="J13" s="2936"/>
      <c r="K13" s="2936"/>
      <c r="L13" s="2937"/>
      <c r="M13" s="2913"/>
      <c r="N13" s="2914"/>
      <c r="O13" s="2914"/>
      <c r="P13" s="2915"/>
      <c r="Q13" s="1838">
        <f t="shared" si="2"/>
        <v>0</v>
      </c>
      <c r="R13" s="2343">
        <f t="shared" si="0"/>
        <v>0</v>
      </c>
      <c r="S13" s="1838">
        <f t="shared" si="3"/>
        <v>0</v>
      </c>
      <c r="T13" s="2343">
        <f>AC13</f>
        <v>0</v>
      </c>
      <c r="U13" s="2336"/>
      <c r="V13" s="2284"/>
      <c r="W13" s="1504">
        <f>IF(採点Q1!F40="対象外",0,採点Q1!F40)</f>
        <v>0</v>
      </c>
      <c r="X13" s="1505">
        <f>採点Q1!K40</f>
        <v>0</v>
      </c>
      <c r="Z13" s="1510"/>
      <c r="AA13" s="1501">
        <f>重み!D13</f>
        <v>0</v>
      </c>
      <c r="AB13" s="1510"/>
      <c r="AC13" s="1501">
        <f>重み!E13</f>
        <v>0</v>
      </c>
      <c r="AD13" s="417"/>
      <c r="AE13" s="405"/>
      <c r="AF13" s="412">
        <f>重み!M13</f>
        <v>0</v>
      </c>
      <c r="AG13" s="182"/>
      <c r="AH13" s="412">
        <f>重み!N13</f>
        <v>0</v>
      </c>
      <c r="AI13" s="2080"/>
      <c r="AJ13" s="2080"/>
      <c r="AK13" s="2081"/>
    </row>
    <row r="14" spans="1:37" thickBot="1">
      <c r="B14" s="2337"/>
      <c r="C14" s="1808">
        <v>1.2</v>
      </c>
      <c r="D14" s="1499" t="s">
        <v>1772</v>
      </c>
      <c r="E14" s="7"/>
      <c r="F14" s="7"/>
      <c r="G14" s="7"/>
      <c r="H14" s="1337"/>
      <c r="I14" s="2935"/>
      <c r="J14" s="2936"/>
      <c r="K14" s="2936"/>
      <c r="L14" s="2937"/>
      <c r="M14" s="2330"/>
      <c r="N14" s="2331"/>
      <c r="O14" s="2331"/>
      <c r="P14" s="2332"/>
      <c r="Q14" s="2346">
        <f t="shared" si="2"/>
        <v>3</v>
      </c>
      <c r="R14" s="2343">
        <f t="shared" si="0"/>
        <v>0.5</v>
      </c>
      <c r="S14" s="2346">
        <f t="shared" si="3"/>
        <v>3</v>
      </c>
      <c r="T14" s="2343">
        <f t="shared" si="1"/>
        <v>0.5</v>
      </c>
      <c r="U14" s="2336"/>
      <c r="V14" s="2284"/>
      <c r="W14" s="1662"/>
      <c r="X14" s="1662"/>
      <c r="Z14" s="420">
        <f>SUMPRODUCT(Z15:Z18,AA15:AA18)</f>
        <v>3</v>
      </c>
      <c r="AA14" s="1501">
        <f>重み!D14</f>
        <v>0.5</v>
      </c>
      <c r="AB14" s="420">
        <f>SUMPRODUCT(AB15:AB18,AC15:AC18)</f>
        <v>3</v>
      </c>
      <c r="AC14" s="1501">
        <f>重み!E14</f>
        <v>0.5</v>
      </c>
      <c r="AD14" s="417"/>
      <c r="AE14" s="405"/>
      <c r="AF14" s="412">
        <f>重み!M14</f>
        <v>0.46666666666666667</v>
      </c>
      <c r="AG14" s="182"/>
      <c r="AH14" s="412">
        <f>重み!N14</f>
        <v>0.33333333333333331</v>
      </c>
      <c r="AI14" s="1"/>
      <c r="AJ14" s="1"/>
    </row>
    <row r="15" spans="1:37" ht="14.25" customHeight="1">
      <c r="B15" s="2337"/>
      <c r="C15" s="1818"/>
      <c r="D15" s="945">
        <v>1</v>
      </c>
      <c r="E15" s="477" t="s">
        <v>599</v>
      </c>
      <c r="F15" s="1499"/>
      <c r="G15" s="1499"/>
      <c r="H15" s="2338"/>
      <c r="I15" s="2935"/>
      <c r="J15" s="2936"/>
      <c r="K15" s="2936"/>
      <c r="L15" s="2937"/>
      <c r="M15" s="3301">
        <f>採点Q1!G88</f>
        <v>0</v>
      </c>
      <c r="N15" s="3302"/>
      <c r="O15" s="3302"/>
      <c r="P15" s="3303"/>
      <c r="Q15" s="1841">
        <f t="shared" si="2"/>
        <v>3</v>
      </c>
      <c r="R15" s="2343">
        <f t="shared" si="0"/>
        <v>1</v>
      </c>
      <c r="S15" s="1841">
        <f t="shared" si="3"/>
        <v>3</v>
      </c>
      <c r="T15" s="2343">
        <f t="shared" si="1"/>
        <v>0.3</v>
      </c>
      <c r="U15" s="2336"/>
      <c r="V15" s="2284"/>
      <c r="W15" s="1502">
        <f>IF(採点Q1!F75="対象外",0,採点Q1!F75)</f>
        <v>3</v>
      </c>
      <c r="X15" s="1503">
        <f>採点Q1!K75</f>
        <v>3</v>
      </c>
      <c r="Z15" s="423">
        <f>IF($Z$3=4,#REF!,W15)</f>
        <v>3</v>
      </c>
      <c r="AA15" s="1501">
        <f>重み!D15</f>
        <v>1</v>
      </c>
      <c r="AB15" s="423">
        <f>IF($Z$3=4,#REF!,X15)</f>
        <v>3</v>
      </c>
      <c r="AC15" s="1501">
        <f>重み!E15</f>
        <v>0.3</v>
      </c>
      <c r="AD15" s="417"/>
      <c r="AE15" s="405"/>
      <c r="AF15" s="412">
        <f>重み!M15</f>
        <v>0.86666666666666659</v>
      </c>
      <c r="AG15" s="182"/>
      <c r="AH15" s="412">
        <f>重み!N15</f>
        <v>0.19999999999999998</v>
      </c>
      <c r="AI15" s="2080"/>
      <c r="AJ15" s="2080"/>
      <c r="AK15" s="2081"/>
    </row>
    <row r="16" spans="1:37" ht="14.25" customHeight="1">
      <c r="B16" s="2337"/>
      <c r="C16" s="1824"/>
      <c r="D16" s="945">
        <v>2</v>
      </c>
      <c r="E16" s="477" t="s">
        <v>600</v>
      </c>
      <c r="F16" s="1499"/>
      <c r="G16" s="1499"/>
      <c r="H16" s="2338"/>
      <c r="I16" s="2935"/>
      <c r="J16" s="2936"/>
      <c r="K16" s="2936"/>
      <c r="L16" s="2937"/>
      <c r="M16" s="3301">
        <f>採点Q1!G105</f>
        <v>0</v>
      </c>
      <c r="N16" s="3302"/>
      <c r="O16" s="3302"/>
      <c r="P16" s="3303"/>
      <c r="Q16" s="1814">
        <f t="shared" si="2"/>
        <v>0</v>
      </c>
      <c r="R16" s="2343">
        <f t="shared" si="0"/>
        <v>0</v>
      </c>
      <c r="S16" s="1814">
        <f t="shared" si="3"/>
        <v>3</v>
      </c>
      <c r="T16" s="2343">
        <f t="shared" si="1"/>
        <v>0.3</v>
      </c>
      <c r="U16" s="2336"/>
      <c r="V16" s="2284"/>
      <c r="W16" s="1506">
        <f>IF(採点Q1!F92="対象外",0,採点Q1!F92)</f>
        <v>0</v>
      </c>
      <c r="X16" s="1507">
        <f>採点Q1!K92</f>
        <v>3</v>
      </c>
      <c r="Z16" s="423">
        <f>IF($Z$3=4,#REF!,W16)</f>
        <v>0</v>
      </c>
      <c r="AA16" s="1501">
        <f>重み!D16</f>
        <v>0</v>
      </c>
      <c r="AB16" s="423">
        <f>IF($Z$3=4,#REF!,X16)</f>
        <v>3</v>
      </c>
      <c r="AC16" s="1501">
        <f>重み!E16</f>
        <v>0.3</v>
      </c>
      <c r="AD16" s="417"/>
      <c r="AE16" s="405"/>
      <c r="AF16" s="412">
        <f>重み!M16</f>
        <v>0.13333333333333333</v>
      </c>
      <c r="AG16" s="182"/>
      <c r="AH16" s="412">
        <f>重み!N16</f>
        <v>0.19999999999999998</v>
      </c>
      <c r="AI16" s="2080"/>
      <c r="AJ16" s="2080"/>
      <c r="AK16" s="2081"/>
    </row>
    <row r="17" spans="2:37" ht="14.25" customHeight="1">
      <c r="B17" s="2337"/>
      <c r="C17" s="1824"/>
      <c r="D17" s="945">
        <v>3</v>
      </c>
      <c r="E17" s="477" t="s">
        <v>601</v>
      </c>
      <c r="F17" s="1499"/>
      <c r="G17" s="1499"/>
      <c r="H17" s="2338"/>
      <c r="I17" s="2935"/>
      <c r="J17" s="2936"/>
      <c r="K17" s="2936"/>
      <c r="L17" s="2937"/>
      <c r="M17" s="3301">
        <f>採点Q1!G122</f>
        <v>0</v>
      </c>
      <c r="N17" s="3302"/>
      <c r="O17" s="3302"/>
      <c r="P17" s="3303"/>
      <c r="Q17" s="1814">
        <f t="shared" si="2"/>
        <v>0</v>
      </c>
      <c r="R17" s="2343">
        <f t="shared" si="0"/>
        <v>0</v>
      </c>
      <c r="S17" s="1814">
        <f t="shared" si="3"/>
        <v>3</v>
      </c>
      <c r="T17" s="2343">
        <f t="shared" si="1"/>
        <v>0.2</v>
      </c>
      <c r="U17" s="2336"/>
      <c r="V17" s="2284"/>
      <c r="W17" s="1506">
        <f>IF(採点Q1!F109="対象外",0,採点Q1!F109)</f>
        <v>0</v>
      </c>
      <c r="X17" s="1507">
        <f>採点Q1!K109</f>
        <v>3</v>
      </c>
      <c r="Z17" s="423">
        <f>IF($Z$3=4,#REF!,W17)</f>
        <v>0</v>
      </c>
      <c r="AA17" s="1501">
        <f>重み!D17</f>
        <v>0</v>
      </c>
      <c r="AB17" s="423">
        <f>IF($Z$3=4,#REF!,X17)</f>
        <v>3</v>
      </c>
      <c r="AC17" s="1501">
        <f>重み!E17</f>
        <v>0.2</v>
      </c>
      <c r="AD17" s="417"/>
      <c r="AE17" s="405"/>
      <c r="AF17" s="412">
        <f>重み!M17</f>
        <v>0</v>
      </c>
      <c r="AG17" s="182"/>
      <c r="AH17" s="412">
        <f>重み!N17</f>
        <v>0.13333333333333333</v>
      </c>
      <c r="AI17" s="2080"/>
      <c r="AJ17" s="2080"/>
      <c r="AK17" s="2081"/>
    </row>
    <row r="18" spans="2:37" ht="14.25" customHeight="1">
      <c r="B18" s="2337"/>
      <c r="C18" s="1868"/>
      <c r="D18" s="945">
        <v>4</v>
      </c>
      <c r="E18" s="477" t="s">
        <v>602</v>
      </c>
      <c r="F18" s="1499"/>
      <c r="G18" s="1499"/>
      <c r="H18" s="2338"/>
      <c r="I18" s="2935"/>
      <c r="J18" s="2936"/>
      <c r="K18" s="2936"/>
      <c r="L18" s="2937"/>
      <c r="M18" s="3301">
        <f>採点Q1!G139</f>
        <v>0</v>
      </c>
      <c r="N18" s="3302"/>
      <c r="O18" s="3302"/>
      <c r="P18" s="3303"/>
      <c r="Q18" s="1814">
        <f t="shared" si="2"/>
        <v>0</v>
      </c>
      <c r="R18" s="2343">
        <f t="shared" si="0"/>
        <v>0</v>
      </c>
      <c r="S18" s="1814">
        <f t="shared" si="3"/>
        <v>3</v>
      </c>
      <c r="T18" s="2343">
        <f t="shared" si="1"/>
        <v>0.2</v>
      </c>
      <c r="U18" s="2336"/>
      <c r="V18" s="2284"/>
      <c r="W18" s="1506">
        <f>IF(採点Q1!F126="対象外",0,採点Q1!F126)</f>
        <v>0</v>
      </c>
      <c r="X18" s="1507">
        <f>採点Q1!K126</f>
        <v>3</v>
      </c>
      <c r="Z18" s="423">
        <f>IF($Z$3=4,#REF!,W18)</f>
        <v>0</v>
      </c>
      <c r="AA18" s="1501">
        <f>重み!D18</f>
        <v>0</v>
      </c>
      <c r="AB18" s="423">
        <f>IF($Z$3=4,#REF!,X18)</f>
        <v>3</v>
      </c>
      <c r="AC18" s="1501">
        <f>重み!E18</f>
        <v>0.2</v>
      </c>
      <c r="AD18" s="417"/>
      <c r="AE18" s="405"/>
      <c r="AF18" s="412">
        <f>重み!M18</f>
        <v>0</v>
      </c>
      <c r="AG18" s="182"/>
      <c r="AH18" s="412">
        <f>重み!N18</f>
        <v>0.13333333333333333</v>
      </c>
      <c r="AI18" s="2080"/>
      <c r="AJ18" s="2080"/>
      <c r="AK18" s="2081"/>
    </row>
    <row r="19" spans="2:37" ht="14.25" customHeight="1" thickBot="1">
      <c r="B19" s="2347"/>
      <c r="C19" s="1819">
        <v>1.3</v>
      </c>
      <c r="D19" s="1499" t="s">
        <v>603</v>
      </c>
      <c r="E19" s="1499"/>
      <c r="F19" s="1499"/>
      <c r="G19" s="1499"/>
      <c r="H19" s="2338"/>
      <c r="I19" s="2935"/>
      <c r="J19" s="2936"/>
      <c r="K19" s="2936"/>
      <c r="L19" s="2937"/>
      <c r="M19" s="3304">
        <f>採点Q1!G149</f>
        <v>0</v>
      </c>
      <c r="N19" s="3305"/>
      <c r="O19" s="3305"/>
      <c r="P19" s="3306"/>
      <c r="Q19" s="1842">
        <f t="shared" si="2"/>
        <v>0</v>
      </c>
      <c r="R19" s="2343">
        <f t="shared" si="0"/>
        <v>0</v>
      </c>
      <c r="S19" s="1842">
        <f t="shared" si="3"/>
        <v>0</v>
      </c>
      <c r="T19" s="2343">
        <f t="shared" si="1"/>
        <v>0</v>
      </c>
      <c r="U19" s="2336"/>
      <c r="V19" s="2284"/>
      <c r="W19" s="1504">
        <f>IF(採点Q1!F143="対象外",0,採点Q1!F143)</f>
        <v>0</v>
      </c>
      <c r="X19" s="1505">
        <f>採点Q1!K143</f>
        <v>0</v>
      </c>
      <c r="Z19" s="1654">
        <f>IF($Z$3=4,#REF!,W19)</f>
        <v>0</v>
      </c>
      <c r="AA19" s="1501">
        <f>重み!D19</f>
        <v>0</v>
      </c>
      <c r="AB19" s="1654">
        <f>IF($Z$3=4,#REF!,X19)</f>
        <v>0</v>
      </c>
      <c r="AC19" s="1501">
        <f>重み!E19</f>
        <v>0</v>
      </c>
      <c r="AD19" s="417"/>
      <c r="AE19" s="405"/>
      <c r="AF19" s="412">
        <f>重み!M19</f>
        <v>6.6666666666666666E-2</v>
      </c>
      <c r="AG19" s="182"/>
      <c r="AH19" s="412">
        <f>重み!N19</f>
        <v>0</v>
      </c>
      <c r="AI19" s="1"/>
      <c r="AJ19" s="1"/>
    </row>
    <row r="20" spans="2:37" ht="14.25" customHeight="1">
      <c r="B20" s="2348">
        <v>2</v>
      </c>
      <c r="C20" s="1813" t="s">
        <v>604</v>
      </c>
      <c r="D20" s="1827"/>
      <c r="E20" s="1825"/>
      <c r="F20" s="1825"/>
      <c r="G20" s="1825"/>
      <c r="H20" s="2349"/>
      <c r="I20" s="2938"/>
      <c r="J20" s="2939"/>
      <c r="K20" s="2939"/>
      <c r="L20" s="2940"/>
      <c r="M20" s="2350"/>
      <c r="N20" s="2351"/>
      <c r="O20" s="2351"/>
      <c r="P20" s="2352"/>
      <c r="Q20" s="2353">
        <f t="shared" si="2"/>
        <v>3</v>
      </c>
      <c r="R20" s="2354">
        <f t="shared" si="0"/>
        <v>0.35</v>
      </c>
      <c r="S20" s="2355">
        <f t="shared" si="3"/>
        <v>3</v>
      </c>
      <c r="T20" s="2356">
        <f>AC20</f>
        <v>1</v>
      </c>
      <c r="U20" s="2357">
        <f>ROUNDDOWN(AD20,1)</f>
        <v>3</v>
      </c>
      <c r="V20" s="2284"/>
      <c r="W20" s="1663"/>
      <c r="X20" s="1663"/>
      <c r="Z20" s="1655">
        <f>Z21*AA21+Z30*AA30+Z31*AA31+Z32*AA32</f>
        <v>3</v>
      </c>
      <c r="AA20" s="1501">
        <f>重み!D20</f>
        <v>0.35</v>
      </c>
      <c r="AB20" s="1655">
        <f>AB21*AC21+AB30*AC30+AB31*AC31+AB32*AC32</f>
        <v>3</v>
      </c>
      <c r="AC20" s="421">
        <f>SUM(AC21,AC30,AC31,AC32)</f>
        <v>1</v>
      </c>
      <c r="AD20" s="417">
        <f>IF(AB20=0,Z20,IF(Z20=0,AB20,Z20*AF$6+AB20*AH$6))</f>
        <v>3</v>
      </c>
      <c r="AE20" s="405"/>
      <c r="AF20" s="412">
        <f>重み!M20</f>
        <v>0.35</v>
      </c>
      <c r="AG20" s="182"/>
      <c r="AH20" s="421">
        <f>SUM(AH21,AH30,AH31,AH32)</f>
        <v>0.66666666666666663</v>
      </c>
      <c r="AI20" s="2080"/>
      <c r="AJ20" s="2080"/>
      <c r="AK20" s="2081"/>
    </row>
    <row r="21" spans="2:37" ht="14.25" customHeight="1" thickBot="1">
      <c r="B21" s="2337"/>
      <c r="C21" s="1808">
        <v>2.1</v>
      </c>
      <c r="D21" s="1836" t="s">
        <v>605</v>
      </c>
      <c r="E21" s="1825"/>
      <c r="F21" s="1825"/>
      <c r="G21" s="1825"/>
      <c r="H21" s="2349"/>
      <c r="I21" s="2935"/>
      <c r="J21" s="2936"/>
      <c r="K21" s="2936"/>
      <c r="L21" s="2937"/>
      <c r="M21" s="2330"/>
      <c r="N21" s="2331"/>
      <c r="O21" s="2331"/>
      <c r="P21" s="2332"/>
      <c r="Q21" s="2358">
        <f t="shared" si="2"/>
        <v>3</v>
      </c>
      <c r="R21" s="2359">
        <f t="shared" si="0"/>
        <v>1</v>
      </c>
      <c r="S21" s="2360">
        <f t="shared" si="3"/>
        <v>3</v>
      </c>
      <c r="T21" s="2361">
        <f>AC21</f>
        <v>1</v>
      </c>
      <c r="U21" s="2340"/>
      <c r="V21" s="2284"/>
      <c r="W21" s="1664"/>
      <c r="X21" s="1664"/>
      <c r="Z21" s="420">
        <f>SUMPRODUCT(Z22:Z29,AA22:AA29)</f>
        <v>3</v>
      </c>
      <c r="AA21" s="1501">
        <f>重み!D21</f>
        <v>1</v>
      </c>
      <c r="AB21" s="420">
        <f>SUMPRODUCT(AB22:AB29,AC22:AC29)</f>
        <v>3</v>
      </c>
      <c r="AC21" s="1501">
        <f>重み!E21</f>
        <v>1</v>
      </c>
      <c r="AD21" s="417"/>
      <c r="AE21" s="405"/>
      <c r="AF21" s="412">
        <f>重み!M21</f>
        <v>0.5</v>
      </c>
      <c r="AG21" s="182"/>
      <c r="AH21" s="412">
        <f>重み!N21</f>
        <v>0.33333333333333331</v>
      </c>
      <c r="AI21" s="2080"/>
      <c r="AJ21" s="2080"/>
      <c r="AK21" s="2081"/>
    </row>
    <row r="22" spans="2:37" ht="14.25" customHeight="1">
      <c r="B22" s="2337"/>
      <c r="C22" s="1805"/>
      <c r="D22" s="945">
        <v>1</v>
      </c>
      <c r="E22" s="1499" t="s">
        <v>748</v>
      </c>
      <c r="F22" s="1499"/>
      <c r="G22" s="1499"/>
      <c r="H22" s="2362"/>
      <c r="I22" s="2935"/>
      <c r="J22" s="2936"/>
      <c r="K22" s="2936"/>
      <c r="L22" s="2937"/>
      <c r="M22" s="3301">
        <f>採点Q1!G177</f>
        <v>0</v>
      </c>
      <c r="N22" s="3302"/>
      <c r="O22" s="3302"/>
      <c r="P22" s="3303"/>
      <c r="Q22" s="1841">
        <f t="shared" si="2"/>
        <v>0</v>
      </c>
      <c r="R22" s="2343">
        <f t="shared" si="0"/>
        <v>0</v>
      </c>
      <c r="S22" s="1841">
        <f t="shared" si="3"/>
        <v>0</v>
      </c>
      <c r="T22" s="2343">
        <f t="shared" si="1"/>
        <v>0</v>
      </c>
      <c r="U22" s="2336"/>
      <c r="V22" s="2284"/>
      <c r="W22" s="1502">
        <f>IF(採点Q1!F155="対象外",0,採点Q1!F155)</f>
        <v>0</v>
      </c>
      <c r="X22" s="1503">
        <f>採点Q1!M155</f>
        <v>0</v>
      </c>
      <c r="Z22" s="423">
        <f>IF($Z$3=4,#REF!,W22)</f>
        <v>0</v>
      </c>
      <c r="AA22" s="1501">
        <f>重み!D22</f>
        <v>0</v>
      </c>
      <c r="AB22" s="423">
        <f>IF($Z$3=4,#REF!,X22)</f>
        <v>0</v>
      </c>
      <c r="AC22" s="1501">
        <f>重み!E22</f>
        <v>0</v>
      </c>
      <c r="AD22" s="417"/>
      <c r="AE22" s="405"/>
      <c r="AF22" s="412">
        <f>重み!M22</f>
        <v>0.54166666666666663</v>
      </c>
      <c r="AG22" s="182"/>
      <c r="AH22" s="412">
        <f>重み!N22</f>
        <v>0.41666666666666663</v>
      </c>
      <c r="AI22" s="2080"/>
      <c r="AJ22" s="2080"/>
      <c r="AK22" s="2081"/>
    </row>
    <row r="23" spans="2:37" ht="12.95" hidden="1" customHeight="1">
      <c r="B23" s="2344"/>
      <c r="C23" s="1876"/>
      <c r="D23" s="1873">
        <v>2</v>
      </c>
      <c r="E23" s="1872" t="s">
        <v>2429</v>
      </c>
      <c r="F23" s="1872"/>
      <c r="G23" s="1872"/>
      <c r="H23" s="2345"/>
      <c r="I23" s="2935"/>
      <c r="J23" s="2936"/>
      <c r="K23" s="2936"/>
      <c r="L23" s="2937"/>
      <c r="M23" s="2913"/>
      <c r="N23" s="2914"/>
      <c r="O23" s="2914"/>
      <c r="P23" s="2915"/>
      <c r="Q23" s="1814">
        <f t="shared" si="2"/>
        <v>0</v>
      </c>
      <c r="R23" s="2363">
        <f t="shared" si="0"/>
        <v>0</v>
      </c>
      <c r="S23" s="1814">
        <f t="shared" si="3"/>
        <v>0</v>
      </c>
      <c r="T23" s="2363">
        <f t="shared" si="1"/>
        <v>0</v>
      </c>
      <c r="U23" s="2364"/>
      <c r="V23" s="2284"/>
      <c r="W23" s="1506">
        <f>IF(採点Q1!F171="対象外",0,採点Q1!F171)</f>
        <v>0</v>
      </c>
      <c r="X23" s="1507"/>
      <c r="Z23" s="1"/>
      <c r="AA23" s="1501">
        <f>重み!D23</f>
        <v>0</v>
      </c>
      <c r="AB23" s="1"/>
      <c r="AC23" s="1501">
        <f>重み!E23</f>
        <v>0</v>
      </c>
      <c r="AD23" s="417"/>
      <c r="AE23" s="405"/>
      <c r="AF23" s="412">
        <f>重み!M23</f>
        <v>0</v>
      </c>
      <c r="AG23" s="182"/>
      <c r="AH23" s="412">
        <f>重み!N23</f>
        <v>0</v>
      </c>
      <c r="AI23" s="2080"/>
      <c r="AJ23" s="2080"/>
      <c r="AK23" s="2081"/>
    </row>
    <row r="24" spans="2:37" ht="14.25" customHeight="1">
      <c r="B24" s="2337"/>
      <c r="C24" s="1805"/>
      <c r="D24" s="945">
        <v>2</v>
      </c>
      <c r="E24" s="1499" t="s">
        <v>606</v>
      </c>
      <c r="F24" s="1499"/>
      <c r="G24" s="1499"/>
      <c r="H24" s="2362"/>
      <c r="I24" s="2935"/>
      <c r="J24" s="2941" t="s">
        <v>4176</v>
      </c>
      <c r="K24" s="2936"/>
      <c r="L24" s="2937"/>
      <c r="M24" s="3301" t="str">
        <f>採点Q1!G194</f>
        <v>記入例；エアフロ―ウインドウの採用</v>
      </c>
      <c r="N24" s="3302"/>
      <c r="O24" s="3302"/>
      <c r="P24" s="3303"/>
      <c r="Q24" s="1814">
        <f t="shared" si="2"/>
        <v>3</v>
      </c>
      <c r="R24" s="2343">
        <f t="shared" si="0"/>
        <v>1</v>
      </c>
      <c r="S24" s="1814">
        <f t="shared" si="3"/>
        <v>3</v>
      </c>
      <c r="T24" s="2343">
        <f t="shared" si="1"/>
        <v>1</v>
      </c>
      <c r="U24" s="2336"/>
      <c r="V24" s="2284"/>
      <c r="W24" s="1506">
        <f>IF(採点Q1!F181="対象外",0,採点Q1!F181)</f>
        <v>3</v>
      </c>
      <c r="X24" s="1507">
        <f>採点Q1!K181</f>
        <v>3</v>
      </c>
      <c r="Z24" s="423">
        <f>IF($Z$3=4,#REF!,W24)</f>
        <v>3</v>
      </c>
      <c r="AA24" s="1501">
        <f>重み!D24</f>
        <v>1</v>
      </c>
      <c r="AB24" s="423">
        <f>IF($Z$3=4,#REF!,X24)</f>
        <v>3</v>
      </c>
      <c r="AC24" s="1501">
        <f>重み!E24</f>
        <v>1</v>
      </c>
      <c r="AD24" s="417"/>
      <c r="AE24" s="405"/>
      <c r="AF24" s="412">
        <f>重み!M24</f>
        <v>0.33333333333333326</v>
      </c>
      <c r="AG24" s="182"/>
      <c r="AH24" s="412">
        <f>重み!N24</f>
        <v>0.24999999999999994</v>
      </c>
      <c r="AI24" s="2080"/>
      <c r="AJ24" s="2080"/>
      <c r="AK24" s="2081"/>
    </row>
    <row r="25" spans="2:37" ht="14.25" customHeight="1">
      <c r="B25" s="2337"/>
      <c r="C25" s="1805"/>
      <c r="D25" s="945">
        <v>3</v>
      </c>
      <c r="E25" s="1499" t="s">
        <v>607</v>
      </c>
      <c r="F25" s="1499"/>
      <c r="G25" s="1499"/>
      <c r="H25" s="2362"/>
      <c r="I25" s="2935"/>
      <c r="J25" s="2936"/>
      <c r="K25" s="2936"/>
      <c r="L25" s="2937"/>
      <c r="M25" s="3301">
        <f>採点Q1!G236</f>
        <v>0</v>
      </c>
      <c r="N25" s="3302"/>
      <c r="O25" s="3302"/>
      <c r="P25" s="3303"/>
      <c r="Q25" s="1814">
        <f t="shared" si="2"/>
        <v>0</v>
      </c>
      <c r="R25" s="2343">
        <f t="shared" si="0"/>
        <v>0</v>
      </c>
      <c r="S25" s="1814">
        <f t="shared" si="3"/>
        <v>0</v>
      </c>
      <c r="T25" s="2343">
        <f t="shared" si="1"/>
        <v>0</v>
      </c>
      <c r="U25" s="2336"/>
      <c r="V25" s="2284"/>
      <c r="W25" s="1506">
        <f>IF(採点Q1!F203="対象外",0,採点Q1!F203)</f>
        <v>0</v>
      </c>
      <c r="X25" s="1507"/>
      <c r="Z25" s="423">
        <f>IF($Z$3=4,#REF!,W25)</f>
        <v>0</v>
      </c>
      <c r="AA25" s="1501">
        <f>重み!D25</f>
        <v>0</v>
      </c>
      <c r="AB25" s="423">
        <f>IF($Z$3=4,#REF!,X25)</f>
        <v>0</v>
      </c>
      <c r="AC25" s="1501">
        <f>重み!E25</f>
        <v>0</v>
      </c>
      <c r="AD25" s="417"/>
      <c r="AE25" s="405"/>
      <c r="AF25" s="412">
        <f>重み!M25</f>
        <v>0.12499999999999997</v>
      </c>
      <c r="AG25" s="182"/>
      <c r="AH25" s="412">
        <f>重み!N25</f>
        <v>0</v>
      </c>
      <c r="AI25" s="2080"/>
      <c r="AJ25" s="2080"/>
      <c r="AK25" s="2081"/>
    </row>
    <row r="26" spans="2:37" ht="12.95" hidden="1" customHeight="1">
      <c r="B26" s="2344"/>
      <c r="C26" s="1876"/>
      <c r="D26" s="1873">
        <v>5</v>
      </c>
      <c r="E26" s="1872" t="s">
        <v>1577</v>
      </c>
      <c r="F26" s="1872"/>
      <c r="G26" s="1872"/>
      <c r="H26" s="2345"/>
      <c r="I26" s="2935"/>
      <c r="J26" s="2936"/>
      <c r="K26" s="2936"/>
      <c r="L26" s="2937"/>
      <c r="M26" s="2913"/>
      <c r="N26" s="2914"/>
      <c r="O26" s="2914"/>
      <c r="P26" s="2915"/>
      <c r="Q26" s="1814">
        <f t="shared" si="2"/>
        <v>0</v>
      </c>
      <c r="R26" s="2363">
        <f t="shared" si="0"/>
        <v>0</v>
      </c>
      <c r="S26" s="1814">
        <f t="shared" si="3"/>
        <v>0</v>
      </c>
      <c r="T26" s="2363">
        <f t="shared" si="1"/>
        <v>0</v>
      </c>
      <c r="U26" s="2364"/>
      <c r="V26" s="2284"/>
      <c r="W26" s="1506">
        <f>IF(採点Q1!F212="対象外",0,採点Q1!F212)</f>
        <v>0</v>
      </c>
      <c r="X26" s="1507">
        <f>採点Q1!K212</f>
        <v>0</v>
      </c>
      <c r="Z26" s="1"/>
      <c r="AA26" s="1501">
        <f>重み!D26</f>
        <v>0</v>
      </c>
      <c r="AB26" s="1"/>
      <c r="AC26" s="1501">
        <f>重み!E26</f>
        <v>0</v>
      </c>
      <c r="AD26" s="417"/>
      <c r="AE26" s="405"/>
      <c r="AF26" s="412">
        <f>重み!M26</f>
        <v>0</v>
      </c>
      <c r="AG26" s="182"/>
      <c r="AH26" s="412">
        <f>重み!N26</f>
        <v>0</v>
      </c>
      <c r="AI26" s="2080"/>
      <c r="AJ26" s="2080"/>
      <c r="AK26" s="2081"/>
    </row>
    <row r="27" spans="2:37" ht="12.95" hidden="1" customHeight="1">
      <c r="B27" s="2344"/>
      <c r="C27" s="1876"/>
      <c r="D27" s="1873">
        <v>6</v>
      </c>
      <c r="E27" s="1872" t="s">
        <v>608</v>
      </c>
      <c r="F27" s="1872"/>
      <c r="G27" s="1872"/>
      <c r="H27" s="2345"/>
      <c r="I27" s="2935"/>
      <c r="J27" s="2936"/>
      <c r="K27" s="2936"/>
      <c r="L27" s="2937"/>
      <c r="M27" s="2913"/>
      <c r="N27" s="2914"/>
      <c r="O27" s="2914"/>
      <c r="P27" s="2915"/>
      <c r="Q27" s="1814">
        <f t="shared" si="2"/>
        <v>0</v>
      </c>
      <c r="R27" s="2363">
        <f t="shared" si="0"/>
        <v>0</v>
      </c>
      <c r="S27" s="1814">
        <f t="shared" si="3"/>
        <v>0</v>
      </c>
      <c r="T27" s="2363">
        <f t="shared" si="1"/>
        <v>0</v>
      </c>
      <c r="U27" s="2364"/>
      <c r="V27" s="2284"/>
      <c r="W27" s="1506"/>
      <c r="X27" s="1507">
        <f>採点Q1!F221</f>
        <v>0</v>
      </c>
      <c r="Z27" s="1"/>
      <c r="AA27" s="1501">
        <f>重み!D27</f>
        <v>0</v>
      </c>
      <c r="AB27" s="1"/>
      <c r="AC27" s="1501">
        <f>重み!E27</f>
        <v>0</v>
      </c>
      <c r="AD27" s="417"/>
      <c r="AE27" s="405"/>
      <c r="AF27" s="412">
        <f>重み!M27</f>
        <v>0</v>
      </c>
      <c r="AG27" s="182"/>
      <c r="AH27" s="412">
        <f>重み!N27</f>
        <v>0</v>
      </c>
      <c r="AI27" s="2080"/>
      <c r="AJ27" s="2080"/>
      <c r="AK27" s="2081"/>
    </row>
    <row r="28" spans="2:37" ht="12.95" hidden="1" customHeight="1">
      <c r="B28" s="2344"/>
      <c r="C28" s="1876"/>
      <c r="D28" s="1873">
        <v>7</v>
      </c>
      <c r="E28" s="1872" t="s">
        <v>217</v>
      </c>
      <c r="F28" s="1872"/>
      <c r="G28" s="1872"/>
      <c r="H28" s="2345"/>
      <c r="I28" s="2935"/>
      <c r="J28" s="2936"/>
      <c r="K28" s="2936"/>
      <c r="L28" s="2937"/>
      <c r="M28" s="2913"/>
      <c r="N28" s="2914"/>
      <c r="O28" s="2914"/>
      <c r="P28" s="2915"/>
      <c r="Q28" s="1814">
        <f t="shared" si="2"/>
        <v>0</v>
      </c>
      <c r="R28" s="2363">
        <f t="shared" si="0"/>
        <v>0</v>
      </c>
      <c r="S28" s="1814">
        <f t="shared" si="3"/>
        <v>0</v>
      </c>
      <c r="T28" s="2363">
        <f t="shared" si="1"/>
        <v>0</v>
      </c>
      <c r="U28" s="2364"/>
      <c r="V28" s="2284"/>
      <c r="W28" s="1506">
        <f>IF(採点Q1!F230="対象外",0,採点Q1!F230)</f>
        <v>0</v>
      </c>
      <c r="X28" s="1507"/>
      <c r="Z28" s="1"/>
      <c r="AA28" s="1501">
        <f>重み!D28</f>
        <v>0</v>
      </c>
      <c r="AB28" s="1"/>
      <c r="AC28" s="1501">
        <f>重み!E28</f>
        <v>0</v>
      </c>
      <c r="AD28" s="417"/>
      <c r="AE28" s="405"/>
      <c r="AF28" s="412">
        <f>重み!M28</f>
        <v>0</v>
      </c>
      <c r="AG28" s="182"/>
      <c r="AH28" s="412">
        <f>重み!N28</f>
        <v>0</v>
      </c>
      <c r="AI28" s="2080"/>
      <c r="AJ28" s="2080"/>
      <c r="AK28" s="2081"/>
    </row>
    <row r="29" spans="2:37" ht="12.95" hidden="1" customHeight="1">
      <c r="B29" s="2344"/>
      <c r="C29" s="1876"/>
      <c r="D29" s="1873">
        <v>8</v>
      </c>
      <c r="E29" s="1872" t="s">
        <v>218</v>
      </c>
      <c r="F29" s="1872"/>
      <c r="G29" s="1872"/>
      <c r="H29" s="2345"/>
      <c r="I29" s="2935"/>
      <c r="J29" s="2936"/>
      <c r="K29" s="2936"/>
      <c r="L29" s="2937"/>
      <c r="M29" s="2913"/>
      <c r="N29" s="2914"/>
      <c r="O29" s="2914"/>
      <c r="P29" s="2915"/>
      <c r="Q29" s="1814">
        <f t="shared" si="2"/>
        <v>0</v>
      </c>
      <c r="R29" s="2363">
        <f t="shared" si="0"/>
        <v>0</v>
      </c>
      <c r="S29" s="1814">
        <f t="shared" si="3"/>
        <v>0</v>
      </c>
      <c r="T29" s="2363">
        <f t="shared" si="1"/>
        <v>0</v>
      </c>
      <c r="U29" s="2364"/>
      <c r="V29" s="2284"/>
      <c r="W29" s="1506">
        <f>IF(採点Q1!K230="対象外",0,採点Q1!K230)</f>
        <v>0</v>
      </c>
      <c r="X29" s="1507"/>
      <c r="Z29" s="1"/>
      <c r="AA29" s="1501">
        <f>重み!D29</f>
        <v>0</v>
      </c>
      <c r="AB29" s="1"/>
      <c r="AC29" s="1501">
        <f>重み!E29</f>
        <v>0</v>
      </c>
      <c r="AD29" s="417"/>
      <c r="AE29" s="405"/>
      <c r="AF29" s="412">
        <f>重み!M29</f>
        <v>0</v>
      </c>
      <c r="AG29" s="182"/>
      <c r="AH29" s="412">
        <f>重み!N29</f>
        <v>0</v>
      </c>
      <c r="AI29" s="2080"/>
      <c r="AJ29" s="2080"/>
      <c r="AK29" s="2081"/>
    </row>
    <row r="30" spans="2:37" ht="14.25" customHeight="1">
      <c r="B30" s="2337"/>
      <c r="C30" s="1819">
        <v>2.2000000000000002</v>
      </c>
      <c r="D30" s="1499" t="s">
        <v>219</v>
      </c>
      <c r="E30" s="1809"/>
      <c r="F30" s="1809"/>
      <c r="G30" s="1809"/>
      <c r="H30" s="2362"/>
      <c r="I30" s="2935"/>
      <c r="J30" s="2936"/>
      <c r="K30" s="2936"/>
      <c r="L30" s="2937"/>
      <c r="M30" s="3301">
        <f>採点Q1!G253</f>
        <v>0</v>
      </c>
      <c r="N30" s="3302"/>
      <c r="O30" s="3302"/>
      <c r="P30" s="3303"/>
      <c r="Q30" s="2365">
        <f t="shared" si="2"/>
        <v>0</v>
      </c>
      <c r="R30" s="2343">
        <f t="shared" si="0"/>
        <v>0</v>
      </c>
      <c r="S30" s="2365">
        <f t="shared" si="3"/>
        <v>0</v>
      </c>
      <c r="T30" s="2343">
        <f t="shared" si="1"/>
        <v>0</v>
      </c>
      <c r="U30" s="2336"/>
      <c r="V30" s="2284"/>
      <c r="W30" s="1506">
        <f>IF(採点Q1!F240="対象外",0,採点Q1!F240)</f>
        <v>0</v>
      </c>
      <c r="X30" s="1507">
        <f>採点Q1!K240</f>
        <v>0</v>
      </c>
      <c r="Z30" s="1654">
        <f>IF($Z$3=4,#REF!,W30)</f>
        <v>0</v>
      </c>
      <c r="AA30" s="1501">
        <f>重み!D30</f>
        <v>0</v>
      </c>
      <c r="AB30" s="1654">
        <f>IF($Z$3=4,#REF!,X30)</f>
        <v>0</v>
      </c>
      <c r="AC30" s="1501">
        <f>重み!E30</f>
        <v>0</v>
      </c>
      <c r="AD30" s="417"/>
      <c r="AE30" s="405"/>
      <c r="AF30" s="412">
        <f>重み!M30</f>
        <v>0.2</v>
      </c>
      <c r="AG30" s="182"/>
      <c r="AH30" s="412">
        <f>重み!N30</f>
        <v>0.13333333333333333</v>
      </c>
      <c r="AI30" s="2080"/>
      <c r="AJ30" s="2080"/>
      <c r="AK30" s="2081"/>
    </row>
    <row r="31" spans="2:37" ht="14.25" customHeight="1" thickBot="1">
      <c r="B31" s="2337"/>
      <c r="C31" s="1818">
        <v>2.2999999999999998</v>
      </c>
      <c r="D31" s="1826" t="s">
        <v>220</v>
      </c>
      <c r="E31" s="1825"/>
      <c r="F31" s="1825"/>
      <c r="G31" s="1825"/>
      <c r="H31" s="2349"/>
      <c r="I31" s="2942"/>
      <c r="J31" s="2943"/>
      <c r="K31" s="2943"/>
      <c r="L31" s="2944"/>
      <c r="M31" s="3301">
        <f>採点Q1!G280</f>
        <v>0</v>
      </c>
      <c r="N31" s="3302"/>
      <c r="O31" s="3302"/>
      <c r="P31" s="3303"/>
      <c r="Q31" s="1814">
        <f t="shared" si="2"/>
        <v>0</v>
      </c>
      <c r="R31" s="2343">
        <f t="shared" si="0"/>
        <v>0</v>
      </c>
      <c r="S31" s="1814">
        <f t="shared" si="3"/>
        <v>0</v>
      </c>
      <c r="T31" s="2343">
        <f t="shared" si="1"/>
        <v>0</v>
      </c>
      <c r="U31" s="2336"/>
      <c r="V31" s="2284"/>
      <c r="W31" s="1504">
        <f>IF(採点Q1!F257="対象外",0,採点Q1!F257)</f>
        <v>0</v>
      </c>
      <c r="X31" s="1505">
        <f>採点Q1!K257</f>
        <v>0</v>
      </c>
      <c r="Z31" s="1654">
        <f>IF($Z$3=4,#REF!,W31)</f>
        <v>0</v>
      </c>
      <c r="AA31" s="1501">
        <f>重み!D31</f>
        <v>0</v>
      </c>
      <c r="AB31" s="1654">
        <f>IF($Z$3=4,#REF!,X31)</f>
        <v>0</v>
      </c>
      <c r="AC31" s="1501">
        <f>重み!E31</f>
        <v>0</v>
      </c>
      <c r="AD31" s="417"/>
      <c r="AE31" s="405"/>
      <c r="AF31" s="412">
        <f>重み!M31</f>
        <v>0.3</v>
      </c>
      <c r="AG31" s="182"/>
      <c r="AH31" s="412">
        <f>重み!N31</f>
        <v>0.19999999999999998</v>
      </c>
      <c r="AI31" s="2080"/>
      <c r="AJ31" s="2080"/>
      <c r="AK31" s="2081"/>
    </row>
    <row r="32" spans="2:37" ht="14.45" hidden="1" customHeight="1" thickBot="1">
      <c r="B32" s="2337"/>
      <c r="C32" s="1880">
        <v>2.2999999999999998</v>
      </c>
      <c r="D32" s="1861" t="s">
        <v>220</v>
      </c>
      <c r="E32" s="1809"/>
      <c r="F32" s="1809"/>
      <c r="G32" s="1809"/>
      <c r="H32" s="2362"/>
      <c r="I32" s="2935"/>
      <c r="J32" s="2936"/>
      <c r="K32" s="2936"/>
      <c r="L32" s="2937"/>
      <c r="M32" s="2330"/>
      <c r="N32" s="2331"/>
      <c r="O32" s="2331"/>
      <c r="P32" s="2332"/>
      <c r="Q32" s="1814">
        <f t="shared" si="2"/>
        <v>0</v>
      </c>
      <c r="R32" s="2343">
        <f>AA32</f>
        <v>0</v>
      </c>
      <c r="S32" s="1814">
        <f t="shared" si="3"/>
        <v>0</v>
      </c>
      <c r="T32" s="2343">
        <f>AC32</f>
        <v>0</v>
      </c>
      <c r="U32" s="2336"/>
      <c r="V32" s="2284"/>
      <c r="Z32" s="420">
        <f>SUMPRODUCT(Z33:Z34,AA33:AA34)</f>
        <v>0</v>
      </c>
      <c r="AA32" s="1501">
        <f>重み!D32</f>
        <v>0</v>
      </c>
      <c r="AB32" s="420">
        <f>SUMPRODUCT(AB33:AB34,AC33:AC34)</f>
        <v>0</v>
      </c>
      <c r="AC32" s="1501">
        <f>重み!E32</f>
        <v>0</v>
      </c>
      <c r="AD32" s="417"/>
      <c r="AE32" s="405"/>
      <c r="AF32" s="412">
        <f>重み!M32</f>
        <v>0</v>
      </c>
      <c r="AG32" s="182"/>
      <c r="AH32" s="412">
        <f>重み!N33</f>
        <v>0</v>
      </c>
      <c r="AI32" s="2080"/>
      <c r="AJ32" s="2080"/>
      <c r="AK32" s="2081"/>
    </row>
    <row r="33" spans="2:37" ht="13.5" hidden="1" customHeight="1" thickBot="1">
      <c r="B33" s="2337"/>
      <c r="C33" s="1879"/>
      <c r="D33" s="1862">
        <v>1</v>
      </c>
      <c r="E33" s="1861" t="s">
        <v>221</v>
      </c>
      <c r="F33" s="1861"/>
      <c r="G33" s="1861"/>
      <c r="H33" s="2366"/>
      <c r="I33" s="2935"/>
      <c r="J33" s="2936"/>
      <c r="K33" s="2936"/>
      <c r="L33" s="2937"/>
      <c r="M33" s="2913"/>
      <c r="N33" s="2914"/>
      <c r="O33" s="2914"/>
      <c r="P33" s="2915"/>
      <c r="Q33" s="1814">
        <f t="shared" si="2"/>
        <v>0</v>
      </c>
      <c r="R33" s="2343">
        <f t="shared" si="0"/>
        <v>0</v>
      </c>
      <c r="S33" s="1814">
        <f t="shared" si="3"/>
        <v>0</v>
      </c>
      <c r="T33" s="2343">
        <f t="shared" si="1"/>
        <v>0</v>
      </c>
      <c r="U33" s="2336"/>
      <c r="V33" s="2367"/>
      <c r="W33" s="1502">
        <f>採点Q1!F274</f>
        <v>0</v>
      </c>
      <c r="X33" s="1503"/>
      <c r="Z33" s="423">
        <f>IF($Z$3=4,#REF!,W33)</f>
        <v>0</v>
      </c>
      <c r="AA33" s="1501">
        <f>重み!D33</f>
        <v>0</v>
      </c>
      <c r="AB33" s="423">
        <f>IF($Z$3=4,#REF!,X33)</f>
        <v>0</v>
      </c>
      <c r="AC33" s="1501">
        <f>重み!E33</f>
        <v>0</v>
      </c>
      <c r="AD33" s="417"/>
      <c r="AE33" s="405"/>
      <c r="AF33" s="412">
        <f>重み!M33</f>
        <v>0</v>
      </c>
      <c r="AG33" s="182"/>
      <c r="AH33" s="412">
        <f>重み!N33</f>
        <v>0</v>
      </c>
      <c r="AI33" s="2080"/>
      <c r="AJ33" s="2080"/>
      <c r="AK33" s="2081"/>
    </row>
    <row r="34" spans="2:37" ht="13.5" hidden="1" customHeight="1" thickBot="1">
      <c r="B34" s="2368"/>
      <c r="C34" s="1878"/>
      <c r="D34" s="1862">
        <v>2</v>
      </c>
      <c r="E34" s="1861" t="s">
        <v>1510</v>
      </c>
      <c r="F34" s="1861"/>
      <c r="G34" s="1861"/>
      <c r="H34" s="2366"/>
      <c r="I34" s="2938"/>
      <c r="J34" s="2939"/>
      <c r="K34" s="2939"/>
      <c r="L34" s="2940"/>
      <c r="M34" s="2913"/>
      <c r="N34" s="2914"/>
      <c r="O34" s="2914"/>
      <c r="P34" s="2915"/>
      <c r="Q34" s="1842">
        <f t="shared" si="2"/>
        <v>0</v>
      </c>
      <c r="R34" s="2343">
        <f t="shared" si="0"/>
        <v>0</v>
      </c>
      <c r="S34" s="1842">
        <f t="shared" si="3"/>
        <v>0</v>
      </c>
      <c r="T34" s="2343">
        <f t="shared" si="1"/>
        <v>0</v>
      </c>
      <c r="U34" s="2336"/>
      <c r="V34" s="2367"/>
      <c r="W34" s="1504">
        <f>採点Q1!K274</f>
        <v>0</v>
      </c>
      <c r="X34" s="1505"/>
      <c r="Z34" s="423">
        <f>IF($Z$3=4,#REF!,W34)</f>
        <v>0</v>
      </c>
      <c r="AA34" s="1501">
        <f>重み!D34</f>
        <v>0</v>
      </c>
      <c r="AB34" s="423">
        <f>IF($Z$3=4,#REF!,X34)</f>
        <v>0</v>
      </c>
      <c r="AC34" s="1501">
        <f>重み!E34</f>
        <v>0</v>
      </c>
      <c r="AD34" s="417"/>
      <c r="AE34" s="405"/>
      <c r="AF34" s="412">
        <f>重み!M34</f>
        <v>0</v>
      </c>
      <c r="AG34" s="182"/>
      <c r="AH34" s="412">
        <f>重み!N34</f>
        <v>0</v>
      </c>
      <c r="AI34" s="2080"/>
      <c r="AJ34" s="2080"/>
      <c r="AK34" s="2081"/>
    </row>
    <row r="35" spans="2:37" ht="14.25" customHeight="1">
      <c r="B35" s="2348">
        <v>3</v>
      </c>
      <c r="C35" s="1813" t="s">
        <v>1511</v>
      </c>
      <c r="D35" s="1827"/>
      <c r="E35" s="1825"/>
      <c r="F35" s="1825"/>
      <c r="G35" s="1825"/>
      <c r="H35" s="2349"/>
      <c r="I35" s="2945"/>
      <c r="J35" s="2939"/>
      <c r="K35" s="2939"/>
      <c r="L35" s="2940"/>
      <c r="M35" s="2369"/>
      <c r="N35" s="2370"/>
      <c r="O35" s="2370"/>
      <c r="P35" s="2371"/>
      <c r="Q35" s="2372">
        <f t="shared" si="2"/>
        <v>3</v>
      </c>
      <c r="R35" s="2354">
        <f>AA35</f>
        <v>0.25</v>
      </c>
      <c r="S35" s="2372">
        <f t="shared" si="3"/>
        <v>2.7</v>
      </c>
      <c r="T35" s="2356">
        <f>AC35</f>
        <v>1</v>
      </c>
      <c r="U35" s="2357">
        <f>ROUNDDOWN(AD35,1)</f>
        <v>2.8</v>
      </c>
      <c r="V35" s="2284"/>
      <c r="W35" s="1663"/>
      <c r="X35" s="1663"/>
      <c r="Z35" s="1655">
        <f>Z36*AA36+Z40*AA40+Z44*AA44+Z47*AA47</f>
        <v>3</v>
      </c>
      <c r="AA35" s="1501">
        <f>重み!D35</f>
        <v>0.25</v>
      </c>
      <c r="AB35" s="1655">
        <f>AB36*AC36+AB40*AC40+AB44*AC44+AB47*AC47</f>
        <v>2.7</v>
      </c>
      <c r="AC35" s="421">
        <f>SUM(AC36,AC40,AC44,AC47)</f>
        <v>1</v>
      </c>
      <c r="AD35" s="417">
        <f>IF(AB35=0,Z35,IF(Z35=0,AB35,Z35*AF$6+AB35*AH$6))</f>
        <v>2.84</v>
      </c>
      <c r="AE35" s="405"/>
      <c r="AF35" s="412">
        <f>重み!M35</f>
        <v>0.25</v>
      </c>
      <c r="AG35" s="182"/>
      <c r="AH35" s="421">
        <f>SUM(AH36,AH40,AH44,AH47)</f>
        <v>0.66666666666666663</v>
      </c>
      <c r="AI35" s="2080"/>
      <c r="AJ35" s="2080"/>
      <c r="AK35" s="2081"/>
    </row>
    <row r="36" spans="2:37" ht="14.25" customHeight="1" thickBot="1">
      <c r="B36" s="2337"/>
      <c r="C36" s="1808">
        <v>3.1</v>
      </c>
      <c r="D36" s="1836" t="s">
        <v>1512</v>
      </c>
      <c r="E36" s="1825"/>
      <c r="F36" s="1825"/>
      <c r="G36" s="1825"/>
      <c r="H36" s="2349"/>
      <c r="I36" s="2935"/>
      <c r="J36" s="2936"/>
      <c r="K36" s="2936"/>
      <c r="L36" s="2937"/>
      <c r="M36" s="2369"/>
      <c r="N36" s="2370"/>
      <c r="O36" s="2370"/>
      <c r="P36" s="2371"/>
      <c r="Q36" s="2358">
        <f t="shared" si="2"/>
        <v>3</v>
      </c>
      <c r="R36" s="2359">
        <f>AA36</f>
        <v>0.3</v>
      </c>
      <c r="S36" s="2360">
        <f t="shared" si="3"/>
        <v>2.4</v>
      </c>
      <c r="T36" s="2361">
        <f>AC36</f>
        <v>0.5</v>
      </c>
      <c r="U36" s="2340"/>
      <c r="V36" s="2284"/>
      <c r="W36" s="1664"/>
      <c r="X36" s="1664"/>
      <c r="Z36" s="420">
        <f>SUMPRODUCT(Z37:Z39,AA37:AA39)</f>
        <v>3</v>
      </c>
      <c r="AA36" s="1501">
        <f>重み!D36</f>
        <v>0.3</v>
      </c>
      <c r="AB36" s="420">
        <f>SUMPRODUCT(AB37:AB39,AC37:AC39)</f>
        <v>2.4000000000000004</v>
      </c>
      <c r="AC36" s="1501">
        <f>重み!E36</f>
        <v>0.5</v>
      </c>
      <c r="AD36" s="417"/>
      <c r="AE36" s="405"/>
      <c r="AF36" s="412">
        <f>重み!M36</f>
        <v>0.3</v>
      </c>
      <c r="AG36" s="182"/>
      <c r="AH36" s="412">
        <f>重み!N36</f>
        <v>0.19999999999999998</v>
      </c>
      <c r="AI36" s="2080"/>
      <c r="AJ36" s="2080"/>
      <c r="AK36" s="2081"/>
    </row>
    <row r="37" spans="2:37" ht="14.25" customHeight="1">
      <c r="B37" s="2337"/>
      <c r="C37" s="1805"/>
      <c r="D37" s="945">
        <v>1</v>
      </c>
      <c r="E37" s="1499" t="s">
        <v>1513</v>
      </c>
      <c r="F37" s="1499"/>
      <c r="G37" s="1499"/>
      <c r="H37" s="2362"/>
      <c r="I37" s="2935"/>
      <c r="J37" s="2936"/>
      <c r="K37" s="2936"/>
      <c r="L37" s="2937"/>
      <c r="M37" s="3301">
        <f>採点Q1!G292</f>
        <v>0</v>
      </c>
      <c r="N37" s="3302"/>
      <c r="O37" s="3302"/>
      <c r="P37" s="3303"/>
      <c r="Q37" s="1841">
        <f t="shared" si="2"/>
        <v>0</v>
      </c>
      <c r="R37" s="2343">
        <f t="shared" si="0"/>
        <v>0</v>
      </c>
      <c r="S37" s="1841">
        <f t="shared" si="3"/>
        <v>3</v>
      </c>
      <c r="T37" s="2343">
        <f t="shared" si="1"/>
        <v>0.5</v>
      </c>
      <c r="U37" s="2336"/>
      <c r="V37" s="2284"/>
      <c r="W37" s="1502">
        <f>IF(採点Q1!F286="対象外",0,採点Q1!F286)</f>
        <v>0</v>
      </c>
      <c r="X37" s="1503">
        <f>採点Q1!K286</f>
        <v>3</v>
      </c>
      <c r="Z37" s="423">
        <f>IF($Z$3=4,#REF!,W37)</f>
        <v>0</v>
      </c>
      <c r="AA37" s="1501">
        <f>重み!D37</f>
        <v>0</v>
      </c>
      <c r="AB37" s="423">
        <f>IF($Z$3=4,#REF!,X37)</f>
        <v>3</v>
      </c>
      <c r="AC37" s="1501">
        <f>重み!E37</f>
        <v>0.5</v>
      </c>
      <c r="AD37" s="417"/>
      <c r="AE37" s="405"/>
      <c r="AF37" s="412">
        <f>重み!M37</f>
        <v>0.6</v>
      </c>
      <c r="AG37" s="182"/>
      <c r="AH37" s="412">
        <f>重み!N37</f>
        <v>0.33333333333333331</v>
      </c>
      <c r="AI37" s="2080"/>
      <c r="AJ37" s="2080"/>
      <c r="AK37" s="2081"/>
    </row>
    <row r="38" spans="2:37" ht="14.25" customHeight="1">
      <c r="B38" s="2337"/>
      <c r="C38" s="1805"/>
      <c r="D38" s="945">
        <v>2</v>
      </c>
      <c r="E38" s="1499" t="s">
        <v>1514</v>
      </c>
      <c r="F38" s="1499"/>
      <c r="G38" s="1499"/>
      <c r="H38" s="2362"/>
      <c r="I38" s="2935"/>
      <c r="K38" s="2936"/>
      <c r="L38" s="2937"/>
      <c r="M38" s="3301">
        <f>採点Q1!G303</f>
        <v>0</v>
      </c>
      <c r="N38" s="3302"/>
      <c r="O38" s="3302"/>
      <c r="P38" s="3303"/>
      <c r="Q38" s="1814">
        <f t="shared" si="2"/>
        <v>0</v>
      </c>
      <c r="R38" s="2343">
        <f t="shared" si="0"/>
        <v>0</v>
      </c>
      <c r="S38" s="1814">
        <f t="shared" si="3"/>
        <v>1</v>
      </c>
      <c r="T38" s="2343">
        <f t="shared" si="1"/>
        <v>0.3</v>
      </c>
      <c r="U38" s="2336"/>
      <c r="V38" s="2284"/>
      <c r="W38" s="1506"/>
      <c r="X38" s="1507">
        <f>採点Q1!F297</f>
        <v>1</v>
      </c>
      <c r="Z38" s="423">
        <f>IF($Z$3=4,#REF!,W38)</f>
        <v>0</v>
      </c>
      <c r="AA38" s="1501">
        <f>重み!D38</f>
        <v>0</v>
      </c>
      <c r="AB38" s="423">
        <f>IF($Z$3=4,#REF!,X38)</f>
        <v>1</v>
      </c>
      <c r="AC38" s="1501">
        <f>重み!E38</f>
        <v>0.3</v>
      </c>
      <c r="AD38" s="417"/>
      <c r="AE38" s="405"/>
      <c r="AF38" s="412">
        <f>重み!M38</f>
        <v>0</v>
      </c>
      <c r="AG38" s="182"/>
      <c r="AH38" s="412">
        <f>重み!N38</f>
        <v>0.19999999999999998</v>
      </c>
      <c r="AI38" s="2080"/>
      <c r="AJ38" s="2080"/>
      <c r="AK38" s="2081"/>
    </row>
    <row r="39" spans="2:37" ht="14.25" customHeight="1" thickBot="1">
      <c r="B39" s="2337"/>
      <c r="C39" s="1817"/>
      <c r="D39" s="945">
        <v>3</v>
      </c>
      <c r="E39" s="1499" t="s">
        <v>1515</v>
      </c>
      <c r="F39" s="1499"/>
      <c r="G39" s="1499"/>
      <c r="H39" s="2362"/>
      <c r="I39" s="2935"/>
      <c r="J39" s="2941" t="s">
        <v>4176</v>
      </c>
      <c r="K39" s="2936"/>
      <c r="L39" s="2937"/>
      <c r="M39" s="3301">
        <f>採点Q1!G313</f>
        <v>0</v>
      </c>
      <c r="N39" s="3302"/>
      <c r="O39" s="3302"/>
      <c r="P39" s="3303"/>
      <c r="Q39" s="1838">
        <f t="shared" si="2"/>
        <v>3</v>
      </c>
      <c r="R39" s="2343">
        <f t="shared" si="0"/>
        <v>1</v>
      </c>
      <c r="S39" s="1838">
        <f t="shared" si="3"/>
        <v>3</v>
      </c>
      <c r="T39" s="2343">
        <f t="shared" si="1"/>
        <v>0.2</v>
      </c>
      <c r="U39" s="2336"/>
      <c r="V39" s="2284"/>
      <c r="W39" s="1504">
        <f>IF(採点Q1!F307="対象外",0,採点Q1!F307)</f>
        <v>3</v>
      </c>
      <c r="X39" s="1505">
        <f>採点Q1!K307</f>
        <v>3</v>
      </c>
      <c r="Z39" s="423">
        <f>IF($Z$3=4,#REF!,W39)</f>
        <v>3</v>
      </c>
      <c r="AA39" s="1501">
        <f>重み!D39</f>
        <v>1</v>
      </c>
      <c r="AB39" s="423">
        <f>IF($Z$3=4,#REF!,X39)</f>
        <v>3</v>
      </c>
      <c r="AC39" s="1501">
        <f>重み!E39</f>
        <v>0.2</v>
      </c>
      <c r="AD39" s="417"/>
      <c r="AE39" s="405"/>
      <c r="AF39" s="412">
        <f>重み!M39</f>
        <v>0.4</v>
      </c>
      <c r="AG39" s="182"/>
      <c r="AH39" s="412">
        <f>重み!N39</f>
        <v>0.13333333333333333</v>
      </c>
      <c r="AI39" s="1"/>
      <c r="AJ39" s="1"/>
    </row>
    <row r="40" spans="2:37" ht="14.25" customHeight="1" thickBot="1">
      <c r="B40" s="2373"/>
      <c r="C40" s="1818">
        <v>3.2</v>
      </c>
      <c r="D40" s="1826" t="s">
        <v>1516</v>
      </c>
      <c r="E40" s="1825"/>
      <c r="F40" s="1825"/>
      <c r="G40" s="1825"/>
      <c r="H40" s="2349"/>
      <c r="I40" s="2935"/>
      <c r="J40" s="2936"/>
      <c r="K40" s="2936"/>
      <c r="L40" s="2937"/>
      <c r="M40" s="2330"/>
      <c r="N40" s="2331"/>
      <c r="O40" s="2331"/>
      <c r="P40" s="2332"/>
      <c r="Q40" s="2346">
        <f t="shared" si="2"/>
        <v>3</v>
      </c>
      <c r="R40" s="2334">
        <f>AA40</f>
        <v>0.3</v>
      </c>
      <c r="S40" s="2346">
        <f t="shared" si="3"/>
        <v>3</v>
      </c>
      <c r="T40" s="2335">
        <f>AC40</f>
        <v>0.5</v>
      </c>
      <c r="U40" s="2336"/>
      <c r="V40" s="2284"/>
      <c r="W40" s="1662"/>
      <c r="X40" s="1662"/>
      <c r="Z40" s="420">
        <f>SUMPRODUCT(Z41:Z43,AA41:AA43)</f>
        <v>3</v>
      </c>
      <c r="AA40" s="1501">
        <f>重み!D40</f>
        <v>0.3</v>
      </c>
      <c r="AB40" s="420">
        <f>SUMPRODUCT(AB41:AB43,AC41:AC43)</f>
        <v>3</v>
      </c>
      <c r="AC40" s="1501">
        <f>重み!E40</f>
        <v>0.5</v>
      </c>
      <c r="AD40" s="417"/>
      <c r="AE40" s="405"/>
      <c r="AF40" s="412">
        <f>重み!M40</f>
        <v>0.3</v>
      </c>
      <c r="AG40" s="182"/>
      <c r="AH40" s="412">
        <f>重み!N40</f>
        <v>0.19999999999999998</v>
      </c>
      <c r="AI40" s="2080"/>
      <c r="AJ40" s="2080"/>
      <c r="AK40" s="2081"/>
    </row>
    <row r="41" spans="2:37" ht="14.25" hidden="1" customHeight="1">
      <c r="B41" s="2374"/>
      <c r="C41" s="1876"/>
      <c r="D41" s="1873">
        <v>1</v>
      </c>
      <c r="E41" s="1872" t="s">
        <v>1517</v>
      </c>
      <c r="F41" s="1872"/>
      <c r="G41" s="1872"/>
      <c r="H41" s="2345"/>
      <c r="I41" s="2935"/>
      <c r="J41" s="2941" t="s">
        <v>4176</v>
      </c>
      <c r="K41" s="2936"/>
      <c r="L41" s="2937"/>
      <c r="M41" s="2913"/>
      <c r="N41" s="2914"/>
      <c r="O41" s="2914"/>
      <c r="P41" s="2915"/>
      <c r="Q41" s="1841">
        <f t="shared" si="2"/>
        <v>0</v>
      </c>
      <c r="R41" s="2363">
        <f t="shared" si="0"/>
        <v>0</v>
      </c>
      <c r="S41" s="1841">
        <f t="shared" si="3"/>
        <v>0</v>
      </c>
      <c r="T41" s="2363">
        <f t="shared" si="1"/>
        <v>0</v>
      </c>
      <c r="U41" s="2364"/>
      <c r="V41" s="2284"/>
      <c r="W41" s="1502">
        <f>IF(採点Q1!F318="対象外",0,採点Q1!F318)</f>
        <v>0</v>
      </c>
      <c r="X41" s="1503">
        <f>採点Q1!K318</f>
        <v>0</v>
      </c>
      <c r="Z41" s="1"/>
      <c r="AA41" s="1501">
        <f>重み!D41</f>
        <v>0</v>
      </c>
      <c r="AB41" s="1"/>
      <c r="AC41" s="1501">
        <f>重み!E41</f>
        <v>0</v>
      </c>
      <c r="AD41" s="417"/>
      <c r="AE41" s="405"/>
      <c r="AF41" s="412">
        <f>重み!M41</f>
        <v>0</v>
      </c>
      <c r="AG41" s="182"/>
      <c r="AH41" s="412">
        <f>重み!N41</f>
        <v>0</v>
      </c>
      <c r="AI41" s="2080"/>
      <c r="AJ41" s="2080"/>
      <c r="AK41" s="2081"/>
    </row>
    <row r="42" spans="2:37" ht="14.25" customHeight="1">
      <c r="B42" s="2373"/>
      <c r="C42" s="1805"/>
      <c r="D42" s="945">
        <v>1</v>
      </c>
      <c r="E42" s="1499" t="s">
        <v>1518</v>
      </c>
      <c r="F42" s="1499"/>
      <c r="G42" s="1499"/>
      <c r="H42" s="2362"/>
      <c r="I42" s="2935"/>
      <c r="J42" s="2941" t="s">
        <v>4176</v>
      </c>
      <c r="K42" s="2936"/>
      <c r="L42" s="2937"/>
      <c r="M42" s="3301">
        <f>採点Q1!G333</f>
        <v>0</v>
      </c>
      <c r="N42" s="3302"/>
      <c r="O42" s="3302"/>
      <c r="P42" s="3303"/>
      <c r="Q42" s="1814">
        <f t="shared" si="2"/>
        <v>3</v>
      </c>
      <c r="R42" s="2343">
        <f t="shared" si="0"/>
        <v>1</v>
      </c>
      <c r="S42" s="2365">
        <f t="shared" si="3"/>
        <v>3</v>
      </c>
      <c r="T42" s="2343">
        <f t="shared" si="1"/>
        <v>1</v>
      </c>
      <c r="U42" s="2336"/>
      <c r="V42" s="2284"/>
      <c r="W42" s="1506">
        <f>IF(採点Q1!F327="対象外",0,採点Q1!F327)</f>
        <v>3</v>
      </c>
      <c r="X42" s="1507">
        <f>採点Q1!K327</f>
        <v>3</v>
      </c>
      <c r="Z42" s="423">
        <f>IF($Z$3=4,#REF!,W42)</f>
        <v>3</v>
      </c>
      <c r="AA42" s="1501">
        <f>重み!D42</f>
        <v>1</v>
      </c>
      <c r="AB42" s="423">
        <f>IF($Z$3=4,#REF!,X42)</f>
        <v>3</v>
      </c>
      <c r="AC42" s="1501">
        <f>重み!E42</f>
        <v>1</v>
      </c>
      <c r="AD42" s="417"/>
      <c r="AE42" s="405"/>
      <c r="AF42" s="412">
        <f>重み!M42</f>
        <v>1</v>
      </c>
      <c r="AG42" s="182"/>
      <c r="AH42" s="412">
        <f>重み!N42</f>
        <v>0.66666666666666663</v>
      </c>
      <c r="AI42" s="2080"/>
      <c r="AJ42" s="2080"/>
      <c r="AK42" s="2081"/>
    </row>
    <row r="43" spans="2:37" ht="14.25" hidden="1" customHeight="1">
      <c r="B43" s="2373"/>
      <c r="C43" s="1817"/>
      <c r="D43" s="1862">
        <v>2</v>
      </c>
      <c r="E43" s="1861" t="s">
        <v>814</v>
      </c>
      <c r="F43" s="1499"/>
      <c r="G43" s="1499"/>
      <c r="H43" s="2366"/>
      <c r="I43" s="2935"/>
      <c r="J43" s="2936"/>
      <c r="K43" s="2936"/>
      <c r="L43" s="2937"/>
      <c r="M43" s="2913"/>
      <c r="N43" s="2914"/>
      <c r="O43" s="2914"/>
      <c r="P43" s="2915"/>
      <c r="Q43" s="1814">
        <f t="shared" si="2"/>
        <v>0</v>
      </c>
      <c r="R43" s="2343">
        <f t="shared" si="0"/>
        <v>0</v>
      </c>
      <c r="S43" s="2365">
        <f t="shared" si="3"/>
        <v>0</v>
      </c>
      <c r="T43" s="2343">
        <f t="shared" si="1"/>
        <v>0</v>
      </c>
      <c r="U43" s="2336"/>
      <c r="V43" s="2284"/>
      <c r="W43" s="1506">
        <f>採点Q1!F337</f>
        <v>0</v>
      </c>
      <c r="X43" s="1507"/>
      <c r="Z43" s="423">
        <f>IF($Z$3=4,#REF!,W43)</f>
        <v>0</v>
      </c>
      <c r="AA43" s="1501">
        <f>重み!D43</f>
        <v>0</v>
      </c>
      <c r="AB43" s="423">
        <f>IF($Z$3=4,#REF!,X43)</f>
        <v>0</v>
      </c>
      <c r="AC43" s="1501">
        <f>重み!E43</f>
        <v>0</v>
      </c>
      <c r="AD43" s="417"/>
      <c r="AE43" s="405"/>
      <c r="AF43" s="412">
        <f>重み!M43</f>
        <v>0</v>
      </c>
      <c r="AG43" s="182"/>
      <c r="AH43" s="412">
        <f>重み!N43</f>
        <v>0</v>
      </c>
      <c r="AI43" s="2080"/>
      <c r="AJ43" s="2080"/>
      <c r="AK43" s="2081"/>
    </row>
    <row r="44" spans="2:37" ht="14.25" customHeight="1">
      <c r="B44" s="2375"/>
      <c r="C44" s="1808">
        <v>3.3</v>
      </c>
      <c r="D44" s="1836" t="s">
        <v>815</v>
      </c>
      <c r="E44" s="1836"/>
      <c r="F44" s="1499"/>
      <c r="G44" s="1499"/>
      <c r="H44" s="2376"/>
      <c r="I44" s="2935"/>
      <c r="J44" s="2936"/>
      <c r="K44" s="2936"/>
      <c r="L44" s="2937"/>
      <c r="M44" s="3301">
        <f>採点Q1!G367</f>
        <v>0</v>
      </c>
      <c r="N44" s="3302"/>
      <c r="O44" s="3302"/>
      <c r="P44" s="3303"/>
      <c r="Q44" s="2365">
        <f t="shared" si="2"/>
        <v>3</v>
      </c>
      <c r="R44" s="2343">
        <f t="shared" si="0"/>
        <v>0.15</v>
      </c>
      <c r="S44" s="2365">
        <f t="shared" si="3"/>
        <v>0</v>
      </c>
      <c r="T44" s="2343">
        <f t="shared" si="1"/>
        <v>0</v>
      </c>
      <c r="U44" s="2336"/>
      <c r="V44" s="2284"/>
      <c r="W44" s="1506">
        <f>IF(採点Q1!F352="対象外",0,採点Q1!F352)</f>
        <v>3</v>
      </c>
      <c r="X44" s="1507">
        <f>採点Q1!M352</f>
        <v>0</v>
      </c>
      <c r="Z44" s="1654">
        <f>IF($Z$3=4,#REF!,W44)</f>
        <v>3</v>
      </c>
      <c r="AA44" s="1501">
        <f>重み!D44</f>
        <v>0.15</v>
      </c>
      <c r="AB44" s="1654">
        <f>IF($Z$3=4,#REF!,X44)</f>
        <v>0</v>
      </c>
      <c r="AC44" s="1501">
        <f>重み!E44</f>
        <v>0</v>
      </c>
      <c r="AD44" s="417"/>
      <c r="AE44" s="405"/>
      <c r="AF44" s="412">
        <f>重み!M44</f>
        <v>0.15</v>
      </c>
      <c r="AG44" s="182"/>
      <c r="AH44" s="412">
        <f>重み!N44</f>
        <v>9.9999999999999992E-2</v>
      </c>
      <c r="AI44" s="2080"/>
      <c r="AJ44" s="2080"/>
      <c r="AK44" s="2081"/>
    </row>
    <row r="45" spans="2:37" ht="14.25" hidden="1" customHeight="1">
      <c r="B45" s="2377"/>
      <c r="C45" s="1877"/>
      <c r="D45" s="1873">
        <v>1</v>
      </c>
      <c r="E45" s="1872" t="s">
        <v>816</v>
      </c>
      <c r="F45" s="1499"/>
      <c r="G45" s="1499"/>
      <c r="H45" s="2345"/>
      <c r="I45" s="2935"/>
      <c r="J45" s="2936"/>
      <c r="K45" s="2936"/>
      <c r="L45" s="2937"/>
      <c r="M45" s="2913"/>
      <c r="N45" s="2914"/>
      <c r="O45" s="2914"/>
      <c r="P45" s="2915"/>
      <c r="Q45" s="1814">
        <f t="shared" si="2"/>
        <v>0</v>
      </c>
      <c r="R45" s="2363">
        <f t="shared" ref="R45:R79" si="4">AA45</f>
        <v>0</v>
      </c>
      <c r="S45" s="1814">
        <f t="shared" si="3"/>
        <v>0</v>
      </c>
      <c r="T45" s="2363">
        <f t="shared" ref="T45:T79" si="5">AC45</f>
        <v>0</v>
      </c>
      <c r="U45" s="2364"/>
      <c r="V45" s="2284"/>
      <c r="W45" s="1506"/>
      <c r="X45" s="1507"/>
      <c r="Z45" s="1"/>
      <c r="AA45" s="1501">
        <f>重み!D45</f>
        <v>0</v>
      </c>
      <c r="AB45" s="1"/>
      <c r="AC45" s="1501">
        <f>重み!E45</f>
        <v>0</v>
      </c>
      <c r="AD45" s="417"/>
      <c r="AE45" s="405"/>
      <c r="AF45" s="412">
        <f>重み!M45</f>
        <v>0</v>
      </c>
      <c r="AG45" s="182"/>
      <c r="AH45" s="412">
        <f>重み!N45</f>
        <v>0</v>
      </c>
      <c r="AI45" s="2080"/>
      <c r="AJ45" s="2080"/>
      <c r="AK45" s="2081"/>
    </row>
    <row r="46" spans="2:37" ht="14.25" hidden="1" customHeight="1">
      <c r="B46" s="2377"/>
      <c r="C46" s="1874"/>
      <c r="D46" s="1873">
        <v>2</v>
      </c>
      <c r="E46" s="1872" t="s">
        <v>817</v>
      </c>
      <c r="F46" s="1499"/>
      <c r="G46" s="1499"/>
      <c r="H46" s="2345"/>
      <c r="I46" s="2935"/>
      <c r="J46" s="2936"/>
      <c r="K46" s="2936"/>
      <c r="L46" s="2937"/>
      <c r="M46" s="2913"/>
      <c r="N46" s="2914"/>
      <c r="O46" s="2914"/>
      <c r="P46" s="2915"/>
      <c r="Q46" s="1814">
        <f t="shared" si="2"/>
        <v>0</v>
      </c>
      <c r="R46" s="2363">
        <f t="shared" si="4"/>
        <v>0</v>
      </c>
      <c r="S46" s="1814">
        <f t="shared" si="3"/>
        <v>0</v>
      </c>
      <c r="T46" s="2363">
        <f t="shared" si="5"/>
        <v>0</v>
      </c>
      <c r="U46" s="2364"/>
      <c r="V46" s="2284"/>
      <c r="W46" s="1506"/>
      <c r="X46" s="1507"/>
      <c r="Z46" s="1"/>
      <c r="AA46" s="1501">
        <f>重み!D46</f>
        <v>0</v>
      </c>
      <c r="AB46" s="1"/>
      <c r="AC46" s="1501">
        <f>重み!E46</f>
        <v>0</v>
      </c>
      <c r="AD46" s="417"/>
      <c r="AE46" s="405"/>
      <c r="AF46" s="412">
        <f>重み!M46</f>
        <v>0</v>
      </c>
      <c r="AG46" s="182"/>
      <c r="AH46" s="412">
        <f>重み!N46</f>
        <v>0</v>
      </c>
      <c r="AI46" s="2080"/>
      <c r="AJ46" s="2080"/>
      <c r="AK46" s="2081"/>
    </row>
    <row r="47" spans="2:37" ht="14.25" customHeight="1" thickBot="1">
      <c r="B47" s="2378"/>
      <c r="C47" s="1819">
        <v>3.4</v>
      </c>
      <c r="D47" s="3277" t="s">
        <v>818</v>
      </c>
      <c r="E47" s="3278"/>
      <c r="F47" s="1499"/>
      <c r="G47" s="1499"/>
      <c r="H47" s="2362"/>
      <c r="I47" s="2935"/>
      <c r="J47" s="2936"/>
      <c r="K47" s="2936"/>
      <c r="L47" s="2937"/>
      <c r="M47" s="3304">
        <f>採点Q1!G384</f>
        <v>0</v>
      </c>
      <c r="N47" s="3305"/>
      <c r="O47" s="3305"/>
      <c r="P47" s="3306"/>
      <c r="Q47" s="1842">
        <f t="shared" si="2"/>
        <v>3</v>
      </c>
      <c r="R47" s="2343">
        <f t="shared" si="4"/>
        <v>0.25</v>
      </c>
      <c r="S47" s="1842">
        <f t="shared" si="3"/>
        <v>0</v>
      </c>
      <c r="T47" s="2343">
        <f t="shared" si="5"/>
        <v>0</v>
      </c>
      <c r="U47" s="2336"/>
      <c r="V47" s="2284"/>
      <c r="W47" s="1504">
        <f>IF(採点Q1!F371="対象外",0,採点Q1!F371)</f>
        <v>3</v>
      </c>
      <c r="X47" s="1505">
        <f>採点Q1!K371</f>
        <v>0</v>
      </c>
      <c r="Z47" s="1654">
        <f>IF($Z$3=4,#REF!,W47)</f>
        <v>3</v>
      </c>
      <c r="AA47" s="1501">
        <f>重み!D47</f>
        <v>0.25</v>
      </c>
      <c r="AB47" s="1654">
        <f>IF($Z$3=4,#REF!,X47)</f>
        <v>0</v>
      </c>
      <c r="AC47" s="1501">
        <f>重み!E47</f>
        <v>0</v>
      </c>
      <c r="AD47" s="417"/>
      <c r="AE47" s="405"/>
      <c r="AF47" s="412">
        <f>重み!M47</f>
        <v>0.25</v>
      </c>
      <c r="AG47" s="182"/>
      <c r="AH47" s="412">
        <f>重み!N47</f>
        <v>0.16666666666666666</v>
      </c>
      <c r="AI47" s="2080"/>
      <c r="AJ47" s="2080"/>
      <c r="AK47" s="2081"/>
    </row>
    <row r="48" spans="2:37" ht="14.25" customHeight="1">
      <c r="B48" s="2348">
        <v>4</v>
      </c>
      <c r="C48" s="1813" t="s">
        <v>819</v>
      </c>
      <c r="D48" s="1827"/>
      <c r="E48" s="1825"/>
      <c r="F48" s="1499"/>
      <c r="G48" s="1499"/>
      <c r="H48" s="2349"/>
      <c r="I48" s="2938"/>
      <c r="J48" s="2939"/>
      <c r="K48" s="2939"/>
      <c r="L48" s="2940"/>
      <c r="M48" s="2369"/>
      <c r="N48" s="2370"/>
      <c r="O48" s="2370"/>
      <c r="P48" s="2371"/>
      <c r="Q48" s="2353">
        <f t="shared" si="2"/>
        <v>3</v>
      </c>
      <c r="R48" s="2354">
        <f t="shared" si="4"/>
        <v>0.25</v>
      </c>
      <c r="S48" s="2355">
        <f t="shared" si="3"/>
        <v>3</v>
      </c>
      <c r="T48" s="2356">
        <f t="shared" si="5"/>
        <v>1</v>
      </c>
      <c r="U48" s="2357">
        <f>ROUNDDOWN(AD48,1)</f>
        <v>3</v>
      </c>
      <c r="V48" s="2284"/>
      <c r="W48" s="1663"/>
      <c r="X48" s="1663"/>
      <c r="Z48" s="1655">
        <f>Z49*AA49+Z54*AA54+Z59*AA59</f>
        <v>3</v>
      </c>
      <c r="AA48" s="1501">
        <f>重み!D48</f>
        <v>0.25</v>
      </c>
      <c r="AB48" s="1655">
        <f>AB49*AC49+AB54*AC54+AB59*AC59</f>
        <v>3</v>
      </c>
      <c r="AC48" s="421">
        <f>SUM(AC49,AC54,AC59)</f>
        <v>1</v>
      </c>
      <c r="AD48" s="417">
        <f>IF(AB48=0,Z48,IF(Z48=0,AB48,Z48*AF$6+AB48*AH$6))</f>
        <v>3</v>
      </c>
      <c r="AE48" s="405"/>
      <c r="AF48" s="412">
        <f>重み!M48</f>
        <v>0.25</v>
      </c>
      <c r="AG48" s="182"/>
      <c r="AH48" s="421">
        <f>SUM(AH49,AH54,AH59)</f>
        <v>0.66666666666666663</v>
      </c>
      <c r="AI48" s="2080"/>
      <c r="AJ48" s="2080"/>
      <c r="AK48" s="2081"/>
    </row>
    <row r="49" spans="2:37" ht="14.25" customHeight="1" thickBot="1">
      <c r="B49" s="2337"/>
      <c r="C49" s="1808">
        <v>4.0999999999999996</v>
      </c>
      <c r="D49" s="1836" t="s">
        <v>820</v>
      </c>
      <c r="E49" s="1836"/>
      <c r="F49" s="1499"/>
      <c r="G49" s="1499"/>
      <c r="H49" s="2376"/>
      <c r="I49" s="2935"/>
      <c r="J49" s="2936"/>
      <c r="K49" s="2936"/>
      <c r="L49" s="2937"/>
      <c r="M49" s="2369"/>
      <c r="N49" s="2370"/>
      <c r="O49" s="2370"/>
      <c r="P49" s="2371"/>
      <c r="Q49" s="2379">
        <f t="shared" si="2"/>
        <v>3</v>
      </c>
      <c r="R49" s="2334">
        <f t="shared" si="4"/>
        <v>0.6071428571428571</v>
      </c>
      <c r="S49" s="2360">
        <f t="shared" si="3"/>
        <v>3</v>
      </c>
      <c r="T49" s="2335">
        <f t="shared" si="5"/>
        <v>0.625</v>
      </c>
      <c r="U49" s="2336"/>
      <c r="V49" s="2284"/>
      <c r="W49" s="1664"/>
      <c r="X49" s="1664"/>
      <c r="Z49" s="420">
        <f>SUMPRODUCT(Z50:Z53,AA50:AA53)</f>
        <v>3</v>
      </c>
      <c r="AA49" s="1501">
        <f>重み!D49</f>
        <v>0.6071428571428571</v>
      </c>
      <c r="AB49" s="420">
        <f>SUMPRODUCT(AB50:AB53,AC50:AC53)</f>
        <v>3</v>
      </c>
      <c r="AC49" s="1501">
        <f>重み!E49</f>
        <v>0.625</v>
      </c>
      <c r="AD49" s="417"/>
      <c r="AE49" s="405"/>
      <c r="AF49" s="412">
        <f>重み!M49</f>
        <v>0.56666666666666665</v>
      </c>
      <c r="AG49" s="182"/>
      <c r="AH49" s="412">
        <f>重み!N49</f>
        <v>0.41666666666666663</v>
      </c>
      <c r="AI49" s="2080"/>
      <c r="AJ49" s="2080"/>
      <c r="AK49" s="2081"/>
    </row>
    <row r="50" spans="2:37" ht="14.25" customHeight="1" thickBot="1">
      <c r="B50" s="2337"/>
      <c r="C50" s="1805"/>
      <c r="D50" s="945">
        <v>1</v>
      </c>
      <c r="E50" s="1499" t="s">
        <v>821</v>
      </c>
      <c r="F50" s="1499"/>
      <c r="G50" s="1499"/>
      <c r="H50" s="2362"/>
      <c r="I50" s="2935"/>
      <c r="J50" s="2936"/>
      <c r="K50" s="2936"/>
      <c r="L50" s="2937"/>
      <c r="M50" s="3301">
        <f>採点Q1!G396</f>
        <v>0</v>
      </c>
      <c r="N50" s="3302"/>
      <c r="O50" s="3302"/>
      <c r="P50" s="3303"/>
      <c r="Q50" s="1841">
        <f t="shared" si="2"/>
        <v>3</v>
      </c>
      <c r="R50" s="2343">
        <f t="shared" si="4"/>
        <v>1</v>
      </c>
      <c r="S50" s="1841">
        <f t="shared" si="3"/>
        <v>3</v>
      </c>
      <c r="T50" s="2343">
        <f t="shared" si="5"/>
        <v>1</v>
      </c>
      <c r="U50" s="2336"/>
      <c r="V50" s="2284"/>
      <c r="W50" s="1502">
        <f>IF(採点Q1!F390="対象外",0,採点Q1!F390)</f>
        <v>3</v>
      </c>
      <c r="X50" s="1503">
        <f>採点Q1!K390</f>
        <v>3</v>
      </c>
      <c r="Z50" s="423">
        <f>IF($Z$3=4,#REF!,W50)</f>
        <v>3</v>
      </c>
      <c r="AA50" s="1501">
        <f>重み!D50</f>
        <v>1</v>
      </c>
      <c r="AB50" s="423">
        <f>IF($Z$3=4,#REF!,X50)</f>
        <v>3</v>
      </c>
      <c r="AC50" s="1501">
        <f>重み!E50</f>
        <v>1</v>
      </c>
      <c r="AD50" s="417"/>
      <c r="AE50" s="405"/>
      <c r="AF50" s="412">
        <f>重み!M50</f>
        <v>1</v>
      </c>
      <c r="AG50" s="182"/>
      <c r="AH50" s="412">
        <f>重み!N50</f>
        <v>0.66666666666666663</v>
      </c>
      <c r="AI50" s="2080"/>
      <c r="AJ50" s="2080"/>
      <c r="AK50" s="2081"/>
    </row>
    <row r="51" spans="2:37" ht="14.25" hidden="1" customHeight="1">
      <c r="B51" s="2337"/>
      <c r="C51" s="1805"/>
      <c r="D51" s="1862">
        <v>2</v>
      </c>
      <c r="E51" s="1861" t="s">
        <v>822</v>
      </c>
      <c r="F51" s="1499"/>
      <c r="G51" s="1499"/>
      <c r="H51" s="2366"/>
      <c r="I51" s="2935"/>
      <c r="J51" s="2936"/>
      <c r="K51" s="2936"/>
      <c r="L51" s="2937"/>
      <c r="M51" s="2913"/>
      <c r="N51" s="2914"/>
      <c r="O51" s="2914"/>
      <c r="P51" s="2915"/>
      <c r="Q51" s="1814">
        <f t="shared" si="2"/>
        <v>0</v>
      </c>
      <c r="R51" s="2343">
        <f t="shared" si="4"/>
        <v>0</v>
      </c>
      <c r="S51" s="1814">
        <f t="shared" si="3"/>
        <v>0</v>
      </c>
      <c r="T51" s="2343">
        <f t="shared" si="5"/>
        <v>0</v>
      </c>
      <c r="U51" s="2336"/>
      <c r="V51" s="2284"/>
      <c r="W51" s="1506">
        <f>採点Q1!F400</f>
        <v>0</v>
      </c>
      <c r="X51" s="1507">
        <f>採点Q1!K400</f>
        <v>0</v>
      </c>
      <c r="Z51" s="423">
        <f>IF($Z$3=4,#REF!,W51)</f>
        <v>0</v>
      </c>
      <c r="AA51" s="1501">
        <f>重み!D51</f>
        <v>0</v>
      </c>
      <c r="AB51" s="423">
        <f>IF($Z$3=4,#REF!,X51)</f>
        <v>0</v>
      </c>
      <c r="AC51" s="1501">
        <f>重み!E51</f>
        <v>0</v>
      </c>
      <c r="AD51" s="417"/>
      <c r="AE51" s="405"/>
      <c r="AF51" s="412">
        <f>重み!M51</f>
        <v>0</v>
      </c>
      <c r="AG51" s="182"/>
      <c r="AH51" s="412">
        <f>重み!N51</f>
        <v>0</v>
      </c>
      <c r="AI51" s="2080"/>
      <c r="AJ51" s="2080"/>
      <c r="AK51" s="2081"/>
    </row>
    <row r="52" spans="2:37" ht="14.25" hidden="1" customHeight="1">
      <c r="B52" s="2344"/>
      <c r="C52" s="1876"/>
      <c r="D52" s="1873">
        <v>3</v>
      </c>
      <c r="E52" s="1872" t="s">
        <v>823</v>
      </c>
      <c r="F52" s="1499"/>
      <c r="G52" s="1499"/>
      <c r="H52" s="2345"/>
      <c r="I52" s="2935"/>
      <c r="J52" s="2936"/>
      <c r="K52" s="2936"/>
      <c r="L52" s="2937"/>
      <c r="M52" s="2913"/>
      <c r="N52" s="2914"/>
      <c r="O52" s="2914"/>
      <c r="P52" s="2915"/>
      <c r="Q52" s="1814">
        <f t="shared" si="2"/>
        <v>0</v>
      </c>
      <c r="R52" s="2363">
        <f t="shared" si="4"/>
        <v>0</v>
      </c>
      <c r="S52" s="1814">
        <f t="shared" si="3"/>
        <v>0</v>
      </c>
      <c r="T52" s="2363">
        <f t="shared" si="5"/>
        <v>0</v>
      </c>
      <c r="U52" s="2364"/>
      <c r="V52" s="2284"/>
      <c r="W52" s="1506">
        <f>IF(採点Q1!F409="対象外",0,採点Q1!F409)</f>
        <v>0</v>
      </c>
      <c r="X52" s="1507">
        <f>採点Q1!K409</f>
        <v>0</v>
      </c>
      <c r="Z52" s="1"/>
      <c r="AA52" s="1501">
        <f>重み!D52</f>
        <v>0</v>
      </c>
      <c r="AB52" s="1"/>
      <c r="AC52" s="1501">
        <f>重み!E52</f>
        <v>0</v>
      </c>
      <c r="AD52" s="417"/>
      <c r="AE52" s="405"/>
      <c r="AF52" s="412">
        <f>重み!M52</f>
        <v>0</v>
      </c>
      <c r="AG52" s="182"/>
      <c r="AH52" s="412">
        <f>重み!N52</f>
        <v>0</v>
      </c>
      <c r="AI52" s="2080"/>
      <c r="AJ52" s="2080"/>
      <c r="AK52" s="2081"/>
    </row>
    <row r="53" spans="2:37" ht="14.25" hidden="1" customHeight="1" thickBot="1">
      <c r="B53" s="2344"/>
      <c r="C53" s="1875"/>
      <c r="D53" s="1873">
        <v>4</v>
      </c>
      <c r="E53" s="1872" t="s">
        <v>824</v>
      </c>
      <c r="F53" s="1499"/>
      <c r="G53" s="1499"/>
      <c r="H53" s="2345"/>
      <c r="I53" s="2935"/>
      <c r="J53" s="2936"/>
      <c r="K53" s="2936"/>
      <c r="L53" s="2937"/>
      <c r="M53" s="2913"/>
      <c r="N53" s="2914"/>
      <c r="O53" s="2914"/>
      <c r="P53" s="2915"/>
      <c r="Q53" s="1838">
        <f t="shared" si="2"/>
        <v>0</v>
      </c>
      <c r="R53" s="2363">
        <f t="shared" si="4"/>
        <v>0</v>
      </c>
      <c r="S53" s="1838">
        <f t="shared" si="3"/>
        <v>0</v>
      </c>
      <c r="T53" s="2363">
        <f t="shared" si="5"/>
        <v>0</v>
      </c>
      <c r="U53" s="2364"/>
      <c r="V53" s="2284"/>
      <c r="W53" s="1504">
        <f>IF(採点Q1!F418="対象外",0,採点Q1!F418)</f>
        <v>0</v>
      </c>
      <c r="X53" s="1505">
        <f>採点Q1!K418</f>
        <v>0</v>
      </c>
      <c r="Z53" s="1"/>
      <c r="AA53" s="1501">
        <f>重み!D53</f>
        <v>0</v>
      </c>
      <c r="AB53" s="1"/>
      <c r="AC53" s="1501">
        <f>重み!E53</f>
        <v>0</v>
      </c>
      <c r="AD53" s="417"/>
      <c r="AE53" s="405"/>
      <c r="AF53" s="412">
        <f>重み!M53</f>
        <v>0</v>
      </c>
      <c r="AG53" s="182"/>
      <c r="AH53" s="412">
        <f>重み!N53</f>
        <v>0</v>
      </c>
      <c r="AI53" s="2080"/>
      <c r="AJ53" s="2080"/>
      <c r="AK53" s="2081"/>
    </row>
    <row r="54" spans="2:37" ht="14.25" customHeight="1" thickBot="1">
      <c r="B54" s="2373"/>
      <c r="C54" s="1808">
        <v>4.2</v>
      </c>
      <c r="D54" s="1836" t="s">
        <v>825</v>
      </c>
      <c r="E54" s="1825"/>
      <c r="F54" s="1499"/>
      <c r="G54" s="1499"/>
      <c r="H54" s="2362"/>
      <c r="I54" s="2935"/>
      <c r="J54" s="2936"/>
      <c r="K54" s="2936"/>
      <c r="L54" s="2937"/>
      <c r="M54" s="2330"/>
      <c r="N54" s="2331"/>
      <c r="O54" s="2331"/>
      <c r="P54" s="2332"/>
      <c r="Q54" s="2346">
        <f t="shared" si="2"/>
        <v>3</v>
      </c>
      <c r="R54" s="2334">
        <f>AA54</f>
        <v>0.39285714285714285</v>
      </c>
      <c r="S54" s="2346">
        <f t="shared" si="3"/>
        <v>3</v>
      </c>
      <c r="T54" s="2335">
        <f t="shared" si="5"/>
        <v>0.375</v>
      </c>
      <c r="U54" s="2336"/>
      <c r="V54" s="2284"/>
      <c r="W54" s="1662"/>
      <c r="X54" s="1662"/>
      <c r="Z54" s="420">
        <f>SUMPRODUCT(Z55:Z58,AA55:AA58)</f>
        <v>3</v>
      </c>
      <c r="AA54" s="1501">
        <f>重み!D54</f>
        <v>0.39285714285714285</v>
      </c>
      <c r="AB54" s="420">
        <f>SUMPRODUCT(AB55:AB58,AC55:AC58)</f>
        <v>3</v>
      </c>
      <c r="AC54" s="1501">
        <f>重み!E54</f>
        <v>0.375</v>
      </c>
      <c r="AD54" s="417"/>
      <c r="AE54" s="405"/>
      <c r="AF54" s="412">
        <f>重み!M54</f>
        <v>0.36666666666666664</v>
      </c>
      <c r="AG54" s="182"/>
      <c r="AH54" s="412">
        <f>重み!N54</f>
        <v>0.25</v>
      </c>
      <c r="AI54" s="2080"/>
      <c r="AJ54" s="2080"/>
      <c r="AK54" s="2081"/>
    </row>
    <row r="55" spans="2:37" ht="14.25" customHeight="1">
      <c r="B55" s="2373"/>
      <c r="C55" s="1824"/>
      <c r="D55" s="945">
        <v>1</v>
      </c>
      <c r="E55" s="1499" t="s">
        <v>826</v>
      </c>
      <c r="F55" s="1499"/>
      <c r="G55" s="1499"/>
      <c r="H55" s="2380"/>
      <c r="I55" s="2935"/>
      <c r="J55" s="2936"/>
      <c r="K55" s="2936"/>
      <c r="L55" s="2937"/>
      <c r="M55" s="3301">
        <f>採点Q1!G435</f>
        <v>0</v>
      </c>
      <c r="N55" s="3302"/>
      <c r="O55" s="3302"/>
      <c r="P55" s="3303"/>
      <c r="Q55" s="1841">
        <f t="shared" si="2"/>
        <v>3</v>
      </c>
      <c r="R55" s="2343">
        <f t="shared" si="4"/>
        <v>0.5</v>
      </c>
      <c r="S55" s="1841">
        <f t="shared" si="3"/>
        <v>3</v>
      </c>
      <c r="T55" s="2343">
        <f t="shared" si="5"/>
        <v>0.33333333333333331</v>
      </c>
      <c r="U55" s="2336"/>
      <c r="V55" s="2284"/>
      <c r="W55" s="1502">
        <f>IF(採点Q1!F429="対象外",0,採点Q1!F429)</f>
        <v>3</v>
      </c>
      <c r="X55" s="1503">
        <f>採点Q1!K429</f>
        <v>3</v>
      </c>
      <c r="Z55" s="423">
        <f>IF($Z$3=4,#REF!,W55)</f>
        <v>3</v>
      </c>
      <c r="AA55" s="1501">
        <f>重み!D55</f>
        <v>0.5</v>
      </c>
      <c r="AB55" s="423">
        <f>IF($Z$3=4,#REF!,X55)</f>
        <v>3</v>
      </c>
      <c r="AC55" s="1501">
        <f>重み!E55</f>
        <v>0.33333333333333331</v>
      </c>
      <c r="AD55" s="417"/>
      <c r="AE55" s="405"/>
      <c r="AF55" s="412">
        <f>重み!M55</f>
        <v>0.44444444444444442</v>
      </c>
      <c r="AG55" s="182"/>
      <c r="AH55" s="412">
        <f>重み!N55</f>
        <v>0.22222222222222221</v>
      </c>
      <c r="AI55" s="1"/>
      <c r="AJ55" s="1"/>
    </row>
    <row r="56" spans="2:37" ht="14.25" customHeight="1">
      <c r="B56" s="2373"/>
      <c r="C56" s="1824"/>
      <c r="D56" s="945">
        <v>2</v>
      </c>
      <c r="E56" s="1499" t="s">
        <v>1944</v>
      </c>
      <c r="F56" s="1499"/>
      <c r="G56" s="1499"/>
      <c r="H56" s="2362"/>
      <c r="I56" s="2935"/>
      <c r="J56" s="2936"/>
      <c r="K56" s="2936"/>
      <c r="L56" s="2937"/>
      <c r="M56" s="3301">
        <f>採点Q1!G445</f>
        <v>0</v>
      </c>
      <c r="N56" s="3302"/>
      <c r="O56" s="3302"/>
      <c r="P56" s="3303"/>
      <c r="Q56" s="1814">
        <f t="shared" si="2"/>
        <v>0</v>
      </c>
      <c r="R56" s="2343">
        <f t="shared" si="4"/>
        <v>0</v>
      </c>
      <c r="S56" s="1814">
        <f t="shared" si="3"/>
        <v>3</v>
      </c>
      <c r="T56" s="2343">
        <f t="shared" si="5"/>
        <v>0.33333333333333331</v>
      </c>
      <c r="U56" s="2336"/>
      <c r="V56" s="2284"/>
      <c r="W56" s="1506">
        <f>IF(採点Q1!F439="対象外",0,採点Q1!F439)</f>
        <v>0</v>
      </c>
      <c r="X56" s="1507">
        <f>採点Q1!K439</f>
        <v>3</v>
      </c>
      <c r="Z56" s="423">
        <f>IF($Z$3=4,#REF!,W56)</f>
        <v>0</v>
      </c>
      <c r="AA56" s="1501">
        <f>重み!D56</f>
        <v>0</v>
      </c>
      <c r="AB56" s="423">
        <f>IF($Z$3=4,#REF!,X56)</f>
        <v>3</v>
      </c>
      <c r="AC56" s="1501">
        <f>重み!E56</f>
        <v>0.33333333333333331</v>
      </c>
      <c r="AD56" s="417"/>
      <c r="AE56" s="405"/>
      <c r="AF56" s="412">
        <f>重み!M56</f>
        <v>0.1111111111111111</v>
      </c>
      <c r="AG56" s="182"/>
      <c r="AH56" s="412">
        <f>重み!N56</f>
        <v>0.22222222222222221</v>
      </c>
      <c r="AI56" s="2080"/>
      <c r="AJ56" s="2080"/>
      <c r="AK56" s="2081"/>
    </row>
    <row r="57" spans="2:37" ht="14.25" customHeight="1" thickBot="1">
      <c r="B57" s="2373"/>
      <c r="C57" s="1824"/>
      <c r="D57" s="945">
        <v>3</v>
      </c>
      <c r="E57" s="1499" t="s">
        <v>1945</v>
      </c>
      <c r="F57" s="1499"/>
      <c r="G57" s="1499"/>
      <c r="H57" s="2362"/>
      <c r="I57" s="2935"/>
      <c r="J57" s="2936"/>
      <c r="K57" s="2936"/>
      <c r="L57" s="2937"/>
      <c r="M57" s="3301">
        <f>採点Q1!G465</f>
        <v>0</v>
      </c>
      <c r="N57" s="3302"/>
      <c r="O57" s="3302"/>
      <c r="P57" s="3303"/>
      <c r="Q57" s="1838">
        <f t="shared" si="2"/>
        <v>3</v>
      </c>
      <c r="R57" s="2343">
        <f t="shared" si="4"/>
        <v>0.5</v>
      </c>
      <c r="S57" s="1838">
        <f t="shared" si="3"/>
        <v>3</v>
      </c>
      <c r="T57" s="2343">
        <f t="shared" si="5"/>
        <v>0.33333333333333331</v>
      </c>
      <c r="U57" s="2336"/>
      <c r="V57" s="2284"/>
      <c r="W57" s="1506">
        <f>IF(採点Q1!F450="対象外",0,採点Q1!F450)</f>
        <v>3</v>
      </c>
      <c r="X57" s="1507">
        <f>採点Q1!K450</f>
        <v>3</v>
      </c>
      <c r="Z57" s="423">
        <f>IF($Z$3=4,#REF!,W57)</f>
        <v>3</v>
      </c>
      <c r="AA57" s="1501">
        <f>重み!D57</f>
        <v>0.5</v>
      </c>
      <c r="AB57" s="423">
        <f>IF($Z$3=4,#REF!,X57)</f>
        <v>3</v>
      </c>
      <c r="AC57" s="1501">
        <f>重み!E57</f>
        <v>0.33333333333333331</v>
      </c>
      <c r="AD57" s="417"/>
      <c r="AE57" s="405"/>
      <c r="AF57" s="412">
        <f>重み!M57</f>
        <v>0.44444444444444442</v>
      </c>
      <c r="AG57" s="182"/>
      <c r="AH57" s="412">
        <f>重み!N57</f>
        <v>0.22222222222222221</v>
      </c>
      <c r="AI57" s="2080"/>
      <c r="AJ57" s="2080"/>
      <c r="AK57" s="2081"/>
    </row>
    <row r="58" spans="2:37" ht="14.25" hidden="1" customHeight="1" thickBot="1">
      <c r="B58" s="2374"/>
      <c r="C58" s="1874"/>
      <c r="D58" s="1873">
        <v>4</v>
      </c>
      <c r="E58" s="1872" t="s">
        <v>1946</v>
      </c>
      <c r="F58" s="1872"/>
      <c r="G58" s="1872"/>
      <c r="H58" s="2345"/>
      <c r="I58" s="2935"/>
      <c r="J58" s="2936"/>
      <c r="K58" s="2936"/>
      <c r="L58" s="2937"/>
      <c r="M58" s="2913"/>
      <c r="N58" s="2914"/>
      <c r="O58" s="2914"/>
      <c r="P58" s="2915"/>
      <c r="Q58" s="1838">
        <f t="shared" si="2"/>
        <v>0</v>
      </c>
      <c r="R58" s="2363">
        <f t="shared" si="4"/>
        <v>0</v>
      </c>
      <c r="S58" s="1838">
        <f t="shared" si="3"/>
        <v>0</v>
      </c>
      <c r="T58" s="2363">
        <f t="shared" si="5"/>
        <v>0</v>
      </c>
      <c r="U58" s="2364"/>
      <c r="V58" s="2284"/>
      <c r="W58" s="1504">
        <f>IF(採点Q1!F459="対象外",0,採点Q1!F459)</f>
        <v>0</v>
      </c>
      <c r="X58" s="1505">
        <f>採点Q1!K459</f>
        <v>0</v>
      </c>
      <c r="Z58" s="1"/>
      <c r="AA58" s="1501">
        <f>重み!D58</f>
        <v>0</v>
      </c>
      <c r="AB58" s="1"/>
      <c r="AC58" s="1501">
        <f>重み!E58</f>
        <v>0</v>
      </c>
      <c r="AD58" s="417"/>
      <c r="AE58" s="405"/>
      <c r="AF58" s="412">
        <f>重み!M58</f>
        <v>0</v>
      </c>
      <c r="AG58" s="182"/>
      <c r="AH58" s="412">
        <f>重み!N58</f>
        <v>0</v>
      </c>
      <c r="AI58" s="2080"/>
      <c r="AJ58" s="2080"/>
      <c r="AK58" s="2081"/>
    </row>
    <row r="59" spans="2:37" ht="14.25" customHeight="1" thickBot="1">
      <c r="B59" s="2373"/>
      <c r="C59" s="1808">
        <v>4.3</v>
      </c>
      <c r="D59" s="1836" t="s">
        <v>1947</v>
      </c>
      <c r="E59" s="1825"/>
      <c r="F59" s="1825"/>
      <c r="G59" s="1825"/>
      <c r="H59" s="2349"/>
      <c r="I59" s="2935"/>
      <c r="J59" s="2936"/>
      <c r="K59" s="2936"/>
      <c r="L59" s="2937"/>
      <c r="M59" s="2330"/>
      <c r="N59" s="2331"/>
      <c r="O59" s="2331"/>
      <c r="P59" s="2332"/>
      <c r="Q59" s="2379">
        <f t="shared" si="2"/>
        <v>0</v>
      </c>
      <c r="R59" s="2334">
        <f>AA59</f>
        <v>0</v>
      </c>
      <c r="S59" s="2346">
        <f t="shared" si="3"/>
        <v>0</v>
      </c>
      <c r="T59" s="2335">
        <f t="shared" si="5"/>
        <v>0</v>
      </c>
      <c r="U59" s="2336"/>
      <c r="V59" s="2284"/>
      <c r="W59" s="1662"/>
      <c r="X59" s="1663"/>
      <c r="Z59" s="420">
        <f>SUMPRODUCT(Z60:Z61,AA60:AA61)</f>
        <v>0</v>
      </c>
      <c r="AA59" s="1501">
        <f>重み!D59</f>
        <v>0</v>
      </c>
      <c r="AB59" s="420">
        <f>SUMPRODUCT(AB60:AB61,AC60:AC61)</f>
        <v>0</v>
      </c>
      <c r="AC59" s="1501">
        <f>重み!E59</f>
        <v>0</v>
      </c>
      <c r="AD59" s="417"/>
      <c r="AE59" s="405"/>
      <c r="AF59" s="412">
        <f>重み!M59</f>
        <v>6.6666666666666666E-2</v>
      </c>
      <c r="AG59" s="182"/>
      <c r="AH59" s="412">
        <f>重み!N59</f>
        <v>0</v>
      </c>
      <c r="AI59" s="2080"/>
      <c r="AJ59" s="2080"/>
      <c r="AK59" s="2081"/>
    </row>
    <row r="60" spans="2:37" ht="14.25" customHeight="1">
      <c r="B60" s="2373"/>
      <c r="C60" s="1824"/>
      <c r="D60" s="945">
        <v>1</v>
      </c>
      <c r="E60" s="1499" t="s">
        <v>1948</v>
      </c>
      <c r="F60" s="1499"/>
      <c r="G60" s="1499"/>
      <c r="H60" s="2362"/>
      <c r="I60" s="2935"/>
      <c r="J60" s="2936"/>
      <c r="K60" s="2936"/>
      <c r="L60" s="2937"/>
      <c r="M60" s="3301">
        <f>採点Q1!G476</f>
        <v>0</v>
      </c>
      <c r="N60" s="3302"/>
      <c r="O60" s="3302"/>
      <c r="P60" s="3303"/>
      <c r="Q60" s="1841">
        <f t="shared" si="2"/>
        <v>0</v>
      </c>
      <c r="R60" s="2343">
        <f t="shared" si="4"/>
        <v>0</v>
      </c>
      <c r="S60" s="1841">
        <f t="shared" si="3"/>
        <v>0</v>
      </c>
      <c r="T60" s="2343">
        <f t="shared" si="5"/>
        <v>0</v>
      </c>
      <c r="U60" s="2336"/>
      <c r="V60" s="2284"/>
      <c r="W60" s="1508">
        <f>IF(採点Q1!F470="対象外",0,採点Q1!F470)</f>
        <v>0</v>
      </c>
      <c r="X60" s="1665"/>
      <c r="Z60" s="423">
        <f>IF($Z$3=4,#REF!,W60)</f>
        <v>0</v>
      </c>
      <c r="AA60" s="1501">
        <f>重み!D60</f>
        <v>0</v>
      </c>
      <c r="AB60" s="423">
        <f>IF($Z$3=4,#REF!,X60)</f>
        <v>0</v>
      </c>
      <c r="AC60" s="1501">
        <f>重み!E60</f>
        <v>0</v>
      </c>
      <c r="AD60" s="417"/>
      <c r="AE60" s="405"/>
      <c r="AF60" s="412">
        <f>重み!M60</f>
        <v>0.16666666666666666</v>
      </c>
      <c r="AG60" s="182"/>
      <c r="AH60" s="412">
        <f>重み!N60</f>
        <v>0</v>
      </c>
      <c r="AI60" s="2080"/>
      <c r="AJ60" s="2080"/>
      <c r="AK60" s="2081"/>
    </row>
    <row r="61" spans="2:37" ht="14.25" customHeight="1" thickBot="1">
      <c r="B61" s="2373"/>
      <c r="C61" s="1824"/>
      <c r="D61" s="1804">
        <v>2</v>
      </c>
      <c r="E61" s="1826" t="s">
        <v>1949</v>
      </c>
      <c r="F61" s="1826"/>
      <c r="G61" s="1826"/>
      <c r="H61" s="2349"/>
      <c r="I61" s="2946"/>
      <c r="J61" s="2947"/>
      <c r="K61" s="2947"/>
      <c r="L61" s="2948"/>
      <c r="M61" s="3307">
        <f>採点Q1!L476</f>
        <v>0</v>
      </c>
      <c r="N61" s="3308"/>
      <c r="O61" s="3308"/>
      <c r="P61" s="3309"/>
      <c r="Q61" s="1814">
        <f t="shared" si="2"/>
        <v>0</v>
      </c>
      <c r="R61" s="2343">
        <f t="shared" si="4"/>
        <v>0</v>
      </c>
      <c r="S61" s="1838">
        <f t="shared" si="3"/>
        <v>0</v>
      </c>
      <c r="T61" s="2343">
        <f t="shared" si="5"/>
        <v>0</v>
      </c>
      <c r="U61" s="2336"/>
      <c r="V61" s="2284"/>
      <c r="W61" s="426">
        <f>IF(採点Q1!K470="対象外",0,採点Q1!K470)</f>
        <v>0</v>
      </c>
      <c r="X61" s="1665"/>
      <c r="Z61" s="423">
        <f>IF($Z$3=4,#REF!,W61)</f>
        <v>0</v>
      </c>
      <c r="AA61" s="1501">
        <f>重み!D61</f>
        <v>0</v>
      </c>
      <c r="AB61" s="423">
        <f>IF($Z$3=4,#REF!,X61)</f>
        <v>0</v>
      </c>
      <c r="AC61" s="1501">
        <f>重み!E61</f>
        <v>0</v>
      </c>
      <c r="AD61" s="417"/>
      <c r="AE61" s="405"/>
      <c r="AF61" s="412">
        <f>重み!M61</f>
        <v>0.16666666666666666</v>
      </c>
      <c r="AG61" s="182"/>
      <c r="AH61" s="412">
        <f>重み!N61</f>
        <v>0</v>
      </c>
      <c r="AI61" s="2080"/>
      <c r="AJ61" s="2080"/>
      <c r="AK61" s="2081"/>
    </row>
    <row r="62" spans="2:37" ht="14.25" customHeight="1" thickBot="1">
      <c r="B62" s="2381" t="s">
        <v>1578</v>
      </c>
      <c r="C62" s="1820" t="s">
        <v>1579</v>
      </c>
      <c r="D62" s="1871"/>
      <c r="E62" s="1871"/>
      <c r="F62" s="1871"/>
      <c r="G62" s="1871"/>
      <c r="H62" s="2382"/>
      <c r="I62" s="2949"/>
      <c r="J62" s="2950"/>
      <c r="K62" s="2950"/>
      <c r="L62" s="2950"/>
      <c r="M62" s="2383"/>
      <c r="N62" s="2383"/>
      <c r="O62" s="2383"/>
      <c r="P62" s="2383"/>
      <c r="Q62" s="2384">
        <f t="shared" si="2"/>
        <v>0</v>
      </c>
      <c r="R62" s="2385">
        <f t="shared" si="4"/>
        <v>0.3</v>
      </c>
      <c r="S62" s="2386">
        <f t="shared" si="3"/>
        <v>0</v>
      </c>
      <c r="T62" s="2387">
        <f t="shared" si="5"/>
        <v>0</v>
      </c>
      <c r="U62" s="2388">
        <f>ROUNDDOWN(AD62,1)</f>
        <v>2.8</v>
      </c>
      <c r="V62" s="2284"/>
      <c r="W62" s="1663"/>
      <c r="X62" s="1663"/>
      <c r="Z62" s="424"/>
      <c r="AA62" s="418">
        <f>重み!D62</f>
        <v>0.3</v>
      </c>
      <c r="AB62" s="424"/>
      <c r="AC62" s="418"/>
      <c r="AD62" s="1680">
        <f>AD63*AA63+AD78*AA78+AD100*AA100</f>
        <v>2.8239999999999998</v>
      </c>
      <c r="AE62" s="405"/>
      <c r="AF62" s="412">
        <f>重み!M62</f>
        <v>0.3</v>
      </c>
      <c r="AG62" s="182"/>
      <c r="AH62" s="412">
        <f>重み!N62</f>
        <v>0</v>
      </c>
      <c r="AI62" s="412" t="s">
        <v>2897</v>
      </c>
      <c r="AJ62" s="412" t="s">
        <v>2899</v>
      </c>
      <c r="AK62" s="182"/>
    </row>
    <row r="63" spans="2:37" ht="14.25" customHeight="1">
      <c r="B63" s="2328">
        <v>1</v>
      </c>
      <c r="C63" s="1870" t="s">
        <v>1950</v>
      </c>
      <c r="D63" s="1811"/>
      <c r="E63" s="1810"/>
      <c r="F63" s="1810"/>
      <c r="G63" s="1810"/>
      <c r="H63" s="2329"/>
      <c r="I63" s="2951"/>
      <c r="J63" s="2952"/>
      <c r="K63" s="2952"/>
      <c r="L63" s="2953"/>
      <c r="M63" s="2330"/>
      <c r="N63" s="2331"/>
      <c r="O63" s="2331"/>
      <c r="P63" s="2332"/>
      <c r="Q63" s="2353">
        <f t="shared" si="2"/>
        <v>2.8</v>
      </c>
      <c r="R63" s="2389">
        <f t="shared" si="4"/>
        <v>0.4</v>
      </c>
      <c r="S63" s="2355">
        <f t="shared" si="3"/>
        <v>3</v>
      </c>
      <c r="T63" s="2390">
        <f t="shared" si="5"/>
        <v>1</v>
      </c>
      <c r="U63" s="2391">
        <f>ROUNDDOWN(AD63,1)</f>
        <v>2.9</v>
      </c>
      <c r="V63" s="2284"/>
      <c r="W63" s="1661"/>
      <c r="X63" s="1661"/>
      <c r="Z63" s="1655">
        <f>Z64*AA64+Z68*AA68+Z74*AA74</f>
        <v>2.8499999999999996</v>
      </c>
      <c r="AA63" s="1501">
        <f>重み!D63</f>
        <v>0.4</v>
      </c>
      <c r="AB63" s="1655">
        <f>AB64*AC64+AB68*AC68+AB74*AC74</f>
        <v>3</v>
      </c>
      <c r="AC63" s="421">
        <f>SUM(AC64,AC68,AC74)</f>
        <v>1</v>
      </c>
      <c r="AD63" s="417">
        <f>IF(AB63=0,Z63,IF(Z63=0,AB63,Z63*AF$6+AB63*AH$6))</f>
        <v>2.9299999999999997</v>
      </c>
      <c r="AE63" s="405"/>
      <c r="AF63" s="412">
        <f>重み!M63</f>
        <v>0.4</v>
      </c>
      <c r="AG63" s="182"/>
      <c r="AH63" s="421">
        <f>SUM(AH64,AH68,AH74)</f>
        <v>0.66666666666666663</v>
      </c>
      <c r="AI63" s="2080"/>
      <c r="AJ63" s="2080"/>
      <c r="AK63" s="2081"/>
    </row>
    <row r="64" spans="2:37" ht="14.25" customHeight="1" thickBot="1">
      <c r="B64" s="2373"/>
      <c r="C64" s="1818">
        <v>1.1000000000000001</v>
      </c>
      <c r="D64" s="1826" t="s">
        <v>1951</v>
      </c>
      <c r="E64" s="1825"/>
      <c r="F64" s="1825"/>
      <c r="G64" s="1825"/>
      <c r="H64" s="2349"/>
      <c r="I64" s="2935"/>
      <c r="J64" s="2936"/>
      <c r="K64" s="2936"/>
      <c r="L64" s="2937"/>
      <c r="M64" s="2369"/>
      <c r="N64" s="2370"/>
      <c r="O64" s="2370"/>
      <c r="P64" s="2371"/>
      <c r="Q64" s="2379">
        <f t="shared" si="2"/>
        <v>3</v>
      </c>
      <c r="R64" s="2334">
        <f t="shared" si="4"/>
        <v>0.4</v>
      </c>
      <c r="S64" s="2392">
        <f t="shared" si="3"/>
        <v>3</v>
      </c>
      <c r="T64" s="2335">
        <f t="shared" si="5"/>
        <v>0.6</v>
      </c>
      <c r="U64" s="2336"/>
      <c r="V64" s="2284"/>
      <c r="W64" s="1664"/>
      <c r="X64" s="1664"/>
      <c r="Z64" s="420">
        <f>SUMPRODUCT(Z65:Z67,AA65:AA67)</f>
        <v>2.9999999999999996</v>
      </c>
      <c r="AA64" s="1501">
        <f>重み!D64</f>
        <v>0.4</v>
      </c>
      <c r="AB64" s="420">
        <f>SUMPRODUCT(AB65:AB67,AC65:AC67)</f>
        <v>3</v>
      </c>
      <c r="AC64" s="1501">
        <f>重み!E64</f>
        <v>0.6</v>
      </c>
      <c r="AD64" s="417"/>
      <c r="AE64" s="405"/>
      <c r="AF64" s="412">
        <f>重み!M64</f>
        <v>0.4</v>
      </c>
      <c r="AG64" s="182"/>
      <c r="AH64" s="412">
        <f>重み!N64</f>
        <v>0.39999999999999997</v>
      </c>
      <c r="AI64" s="1"/>
      <c r="AJ64" s="1"/>
    </row>
    <row r="65" spans="2:37" ht="14.25" customHeight="1">
      <c r="B65" s="2373"/>
      <c r="C65" s="1824"/>
      <c r="D65" s="945">
        <v>1</v>
      </c>
      <c r="E65" s="1499" t="s">
        <v>1783</v>
      </c>
      <c r="F65" s="1499"/>
      <c r="G65" s="1499"/>
      <c r="H65" s="2362"/>
      <c r="I65" s="2935"/>
      <c r="J65" s="2936"/>
      <c r="K65" s="2936"/>
      <c r="L65" s="2937"/>
      <c r="M65" s="3301">
        <f>採点Q2!G21</f>
        <v>0</v>
      </c>
      <c r="N65" s="3302"/>
      <c r="O65" s="3302"/>
      <c r="P65" s="3303"/>
      <c r="Q65" s="1841">
        <f t="shared" si="2"/>
        <v>0</v>
      </c>
      <c r="R65" s="2343">
        <f t="shared" si="4"/>
        <v>0</v>
      </c>
      <c r="S65" s="1841">
        <f t="shared" si="3"/>
        <v>0</v>
      </c>
      <c r="T65" s="2343">
        <f t="shared" si="5"/>
        <v>0</v>
      </c>
      <c r="U65" s="2336"/>
      <c r="V65" s="2284"/>
      <c r="W65" s="1502">
        <f>IF(採点Q2!F15="対象外",0,採点Q2!F15)</f>
        <v>0</v>
      </c>
      <c r="X65" s="1503">
        <f>採点Q2!K15</f>
        <v>0</v>
      </c>
      <c r="Z65" s="423">
        <f>IF($Z$3=4,#REF!,W65)</f>
        <v>0</v>
      </c>
      <c r="AA65" s="1501">
        <f>重み!D65</f>
        <v>0</v>
      </c>
      <c r="AB65" s="423">
        <f>IF($Z$3=4,#REF!,X65)</f>
        <v>0</v>
      </c>
      <c r="AC65" s="1501">
        <f>重み!E65</f>
        <v>0</v>
      </c>
      <c r="AD65" s="417"/>
      <c r="AE65" s="405"/>
      <c r="AF65" s="412">
        <f>重み!M65</f>
        <v>0.1111111111111111</v>
      </c>
      <c r="AG65" s="182"/>
      <c r="AH65" s="412">
        <f>重み!N65</f>
        <v>0</v>
      </c>
      <c r="AI65" s="2080"/>
      <c r="AJ65" s="2080"/>
      <c r="AK65" s="2081"/>
    </row>
    <row r="66" spans="2:37" ht="14.25" customHeight="1">
      <c r="B66" s="2373"/>
      <c r="C66" s="1824"/>
      <c r="D66" s="945">
        <v>2</v>
      </c>
      <c r="E66" s="1499" t="s">
        <v>1784</v>
      </c>
      <c r="F66" s="1499"/>
      <c r="G66" s="1499"/>
      <c r="H66" s="2362"/>
      <c r="I66" s="2935"/>
      <c r="J66" s="2936"/>
      <c r="K66" s="2936"/>
      <c r="L66" s="2937"/>
      <c r="M66" s="3301">
        <f>採点Q2!G32</f>
        <v>0</v>
      </c>
      <c r="N66" s="3302"/>
      <c r="O66" s="3302"/>
      <c r="P66" s="3303"/>
      <c r="Q66" s="1814">
        <f t="shared" si="2"/>
        <v>3</v>
      </c>
      <c r="R66" s="2343">
        <f t="shared" si="4"/>
        <v>0.125</v>
      </c>
      <c r="S66" s="1814">
        <f t="shared" si="3"/>
        <v>3</v>
      </c>
      <c r="T66" s="2343">
        <f t="shared" si="5"/>
        <v>1</v>
      </c>
      <c r="U66" s="2336"/>
      <c r="V66" s="2284"/>
      <c r="W66" s="1506">
        <f>IF(採点Q2!F26="対象外",0,採点Q2!F26)</f>
        <v>3</v>
      </c>
      <c r="X66" s="1507">
        <f>採点Q2!K26</f>
        <v>3</v>
      </c>
      <c r="Z66" s="423">
        <f>IF($Z$3=4,#REF!,W66)</f>
        <v>3</v>
      </c>
      <c r="AA66" s="1501">
        <f>重み!D66</f>
        <v>0.125</v>
      </c>
      <c r="AB66" s="423">
        <f>IF($Z$3=4,#REF!,X66)</f>
        <v>3</v>
      </c>
      <c r="AC66" s="1501">
        <f>重み!E66</f>
        <v>1</v>
      </c>
      <c r="AD66" s="417"/>
      <c r="AE66" s="405"/>
      <c r="AF66" s="412">
        <f>重み!M66</f>
        <v>0.1111111111111111</v>
      </c>
      <c r="AG66" s="182"/>
      <c r="AH66" s="412">
        <f>重み!N66</f>
        <v>0.66666666666666663</v>
      </c>
      <c r="AI66" s="2080"/>
      <c r="AJ66" s="2080"/>
      <c r="AK66" s="2081"/>
    </row>
    <row r="67" spans="2:37" ht="14.25" customHeight="1" thickBot="1">
      <c r="B67" s="2373"/>
      <c r="C67" s="1868"/>
      <c r="D67" s="945">
        <v>3</v>
      </c>
      <c r="E67" s="1499" t="s">
        <v>1785</v>
      </c>
      <c r="F67" s="1499"/>
      <c r="G67" s="1499"/>
      <c r="H67" s="2362"/>
      <c r="I67" s="2935"/>
      <c r="J67" s="2936"/>
      <c r="K67" s="2936"/>
      <c r="L67" s="2937"/>
      <c r="M67" s="3301">
        <f>採点Q2!G43</f>
        <v>0</v>
      </c>
      <c r="N67" s="3302"/>
      <c r="O67" s="3302"/>
      <c r="P67" s="3303"/>
      <c r="Q67" s="1838">
        <f t="shared" si="2"/>
        <v>3</v>
      </c>
      <c r="R67" s="2343">
        <f t="shared" si="4"/>
        <v>0.87499999999999989</v>
      </c>
      <c r="S67" s="1838">
        <f t="shared" si="3"/>
        <v>0</v>
      </c>
      <c r="T67" s="2343">
        <f t="shared" si="5"/>
        <v>0</v>
      </c>
      <c r="U67" s="2336"/>
      <c r="V67" s="2284"/>
      <c r="W67" s="1504">
        <f>IF(採点Q2!F37="対象外",0,採点Q2!F37)</f>
        <v>3</v>
      </c>
      <c r="X67" s="1666"/>
      <c r="Z67" s="423">
        <f>IF($Z$3=4,#REF!,W67)</f>
        <v>3</v>
      </c>
      <c r="AA67" s="1501">
        <f>重み!D67</f>
        <v>0.87499999999999989</v>
      </c>
      <c r="AB67" s="423">
        <f>IF($Z$3=4,#REF!,X67)</f>
        <v>0</v>
      </c>
      <c r="AC67" s="1501">
        <f>重み!E67</f>
        <v>0</v>
      </c>
      <c r="AD67" s="417"/>
      <c r="AE67" s="405"/>
      <c r="AF67" s="412">
        <f>重み!M67</f>
        <v>0.77777777777777768</v>
      </c>
      <c r="AG67" s="182"/>
      <c r="AH67" s="412">
        <f>重み!N67</f>
        <v>0</v>
      </c>
      <c r="AI67" s="1"/>
      <c r="AJ67" s="1"/>
    </row>
    <row r="68" spans="2:37" ht="14.25" customHeight="1" thickBot="1">
      <c r="B68" s="2373"/>
      <c r="C68" s="1808">
        <v>1.2</v>
      </c>
      <c r="D68" s="1826" t="s">
        <v>2191</v>
      </c>
      <c r="E68" s="1825"/>
      <c r="F68" s="1825"/>
      <c r="G68" s="1825"/>
      <c r="H68" s="2349"/>
      <c r="I68" s="2935"/>
      <c r="J68" s="2936"/>
      <c r="K68" s="2936"/>
      <c r="L68" s="2937"/>
      <c r="M68" s="2330"/>
      <c r="N68" s="2331"/>
      <c r="O68" s="2331"/>
      <c r="P68" s="2332"/>
      <c r="Q68" s="2379">
        <f t="shared" si="2"/>
        <v>3</v>
      </c>
      <c r="R68" s="2343">
        <f>AA68</f>
        <v>0.3</v>
      </c>
      <c r="S68" s="2346">
        <f t="shared" si="3"/>
        <v>3</v>
      </c>
      <c r="T68" s="2335">
        <f t="shared" si="5"/>
        <v>0.4</v>
      </c>
      <c r="U68" s="2336"/>
      <c r="V68" s="2284"/>
      <c r="W68" s="1662"/>
      <c r="X68" s="1662"/>
      <c r="Z68" s="420">
        <f>SUMPRODUCT(Z69:Z73,AA69:AA73)</f>
        <v>2.9999999999999996</v>
      </c>
      <c r="AA68" s="1501">
        <f>重み!D68</f>
        <v>0.3</v>
      </c>
      <c r="AB68" s="420">
        <f>SUMPRODUCT(AB69:AB73,AC69:AC73)</f>
        <v>3</v>
      </c>
      <c r="AC68" s="1501">
        <f>重み!E68</f>
        <v>0.4</v>
      </c>
      <c r="AD68" s="417"/>
      <c r="AE68" s="405"/>
      <c r="AF68" s="412">
        <f>重み!M68</f>
        <v>0.3</v>
      </c>
      <c r="AG68" s="182"/>
      <c r="AH68" s="412">
        <f>重み!N68</f>
        <v>0.26666666666666666</v>
      </c>
      <c r="AI68" s="2080"/>
      <c r="AJ68" s="2080"/>
      <c r="AK68" s="2081"/>
    </row>
    <row r="69" spans="2:37" ht="13.5">
      <c r="B69" s="2373"/>
      <c r="C69" s="1824"/>
      <c r="D69" s="945">
        <v>1</v>
      </c>
      <c r="E69" s="1499" t="s">
        <v>686</v>
      </c>
      <c r="F69" s="1499"/>
      <c r="G69" s="1499"/>
      <c r="H69" s="2393"/>
      <c r="I69" s="2935"/>
      <c r="J69" s="2936"/>
      <c r="K69" s="2936"/>
      <c r="L69" s="2937"/>
      <c r="M69" s="3301">
        <f>採点Q2!G54</f>
        <v>0</v>
      </c>
      <c r="N69" s="3302"/>
      <c r="O69" s="3302"/>
      <c r="P69" s="3303"/>
      <c r="Q69" s="1841">
        <f t="shared" si="2"/>
        <v>0</v>
      </c>
      <c r="R69" s="2343">
        <f t="shared" si="4"/>
        <v>0</v>
      </c>
      <c r="S69" s="1841">
        <f t="shared" si="3"/>
        <v>3</v>
      </c>
      <c r="T69" s="2343">
        <f t="shared" si="5"/>
        <v>0.5</v>
      </c>
      <c r="U69" s="2336"/>
      <c r="V69" s="2284"/>
      <c r="W69" s="1502">
        <f>IF(採点Q2!F48="対象外",0,採点Q2!F48)</f>
        <v>0</v>
      </c>
      <c r="X69" s="1503">
        <f>採点Q2!M48</f>
        <v>3</v>
      </c>
      <c r="Z69" s="423">
        <f>IF($Z$3=4,#REF!,W69)</f>
        <v>0</v>
      </c>
      <c r="AA69" s="1501">
        <f>重み!D69</f>
        <v>0</v>
      </c>
      <c r="AB69" s="423">
        <f>IF($Z$3=4,#REF!,X69)</f>
        <v>3</v>
      </c>
      <c r="AC69" s="1501">
        <f>重み!E69</f>
        <v>0.5</v>
      </c>
      <c r="AD69" s="417"/>
      <c r="AE69" s="405"/>
      <c r="AF69" s="412">
        <f>重み!M69</f>
        <v>0.1111111111111111</v>
      </c>
      <c r="AG69" s="182"/>
      <c r="AH69" s="412">
        <f>重み!N69</f>
        <v>0.33333333333333331</v>
      </c>
      <c r="AI69" s="2080"/>
      <c r="AJ69" s="2080"/>
      <c r="AK69" s="2081"/>
    </row>
    <row r="70" spans="2:37" ht="13.5" hidden="1" customHeight="1">
      <c r="B70" s="2373"/>
      <c r="C70" s="1824"/>
      <c r="D70" s="1869"/>
      <c r="E70" s="1855"/>
      <c r="F70" s="1855"/>
      <c r="G70" s="1855"/>
      <c r="H70" s="2393" t="s">
        <v>2765</v>
      </c>
      <c r="I70" s="2935"/>
      <c r="J70" s="2936"/>
      <c r="K70" s="2936"/>
      <c r="L70" s="2937"/>
      <c r="M70" s="2913"/>
      <c r="N70" s="2914"/>
      <c r="O70" s="2914"/>
      <c r="P70" s="2915"/>
      <c r="Q70" s="1814">
        <f t="shared" si="2"/>
        <v>100</v>
      </c>
      <c r="R70" s="2343">
        <f t="shared" si="4"/>
        <v>0</v>
      </c>
      <c r="S70" s="1814">
        <f t="shared" si="3"/>
        <v>0</v>
      </c>
      <c r="T70" s="2343"/>
      <c r="U70" s="2336"/>
      <c r="V70" s="2284"/>
      <c r="W70" s="1678">
        <v>100</v>
      </c>
      <c r="X70" s="1507"/>
      <c r="Z70" s="423">
        <f>IF($Z$3=4,#REF!,W70)</f>
        <v>100</v>
      </c>
      <c r="AA70" s="1501">
        <f>重み!D70</f>
        <v>0</v>
      </c>
      <c r="AB70" s="423">
        <f>IF($Z$3=4,#REF!,X70)</f>
        <v>0</v>
      </c>
      <c r="AC70" s="1501">
        <f>重み!E70</f>
        <v>0</v>
      </c>
      <c r="AD70" s="417"/>
      <c r="AE70" s="405"/>
      <c r="AF70" s="412">
        <f>重み!M70</f>
        <v>0</v>
      </c>
      <c r="AG70" s="182"/>
      <c r="AH70" s="412">
        <f>重み!N70</f>
        <v>0</v>
      </c>
      <c r="AI70" s="2080"/>
      <c r="AJ70" s="2080"/>
      <c r="AK70" s="2081"/>
    </row>
    <row r="71" spans="2:37" ht="13.5">
      <c r="B71" s="2373"/>
      <c r="C71" s="1824"/>
      <c r="D71" s="945">
        <v>2</v>
      </c>
      <c r="E71" s="1499" t="s">
        <v>1580</v>
      </c>
      <c r="F71" s="1499"/>
      <c r="G71" s="1499"/>
      <c r="H71" s="2362"/>
      <c r="I71" s="2935"/>
      <c r="J71" s="2936"/>
      <c r="K71" s="2936"/>
      <c r="L71" s="2937"/>
      <c r="M71" s="3301">
        <f>採点Q2!G64</f>
        <v>0</v>
      </c>
      <c r="N71" s="3302"/>
      <c r="O71" s="3302"/>
      <c r="P71" s="3303"/>
      <c r="Q71" s="1814">
        <f t="shared" si="2"/>
        <v>3</v>
      </c>
      <c r="R71" s="2343">
        <f t="shared" si="4"/>
        <v>0.125</v>
      </c>
      <c r="S71" s="1814">
        <f t="shared" si="3"/>
        <v>0</v>
      </c>
      <c r="T71" s="2343">
        <f t="shared" si="5"/>
        <v>0</v>
      </c>
      <c r="U71" s="2336"/>
      <c r="V71" s="2284"/>
      <c r="W71" s="1506">
        <f>IF(採点Q2!F58="対象外",0,採点Q2!F58)</f>
        <v>3</v>
      </c>
      <c r="X71" s="1507"/>
      <c r="Z71" s="423">
        <f>IF($Z$3=4,#REF!,W71)</f>
        <v>3</v>
      </c>
      <c r="AA71" s="1501">
        <f>重み!D71</f>
        <v>0.125</v>
      </c>
      <c r="AB71" s="423">
        <f>IF($Z$3=4,#REF!,X71)</f>
        <v>0</v>
      </c>
      <c r="AC71" s="1501">
        <f>重み!E71</f>
        <v>0</v>
      </c>
      <c r="AD71" s="417"/>
      <c r="AE71" s="405"/>
      <c r="AF71" s="412">
        <f>重み!M71</f>
        <v>0.1111111111111111</v>
      </c>
      <c r="AG71" s="182"/>
      <c r="AH71" s="412">
        <f>重み!N71</f>
        <v>0</v>
      </c>
      <c r="AI71" s="2080"/>
      <c r="AJ71" s="2080"/>
      <c r="AK71" s="2081"/>
    </row>
    <row r="72" spans="2:37" thickBot="1">
      <c r="B72" s="2373"/>
      <c r="C72" s="1824"/>
      <c r="D72" s="1804">
        <v>3</v>
      </c>
      <c r="E72" s="1826" t="s">
        <v>0</v>
      </c>
      <c r="F72" s="1826"/>
      <c r="G72" s="1826"/>
      <c r="H72" s="2362"/>
      <c r="I72" s="2935"/>
      <c r="J72" s="2936"/>
      <c r="K72" s="2936"/>
      <c r="L72" s="2937"/>
      <c r="M72" s="3301">
        <f>採点Q2!G74</f>
        <v>0</v>
      </c>
      <c r="N72" s="3302"/>
      <c r="O72" s="3302"/>
      <c r="P72" s="3303"/>
      <c r="Q72" s="1814">
        <f t="shared" si="2"/>
        <v>3</v>
      </c>
      <c r="R72" s="2343">
        <f t="shared" si="4"/>
        <v>0.87499999999999989</v>
      </c>
      <c r="S72" s="1814">
        <f t="shared" si="3"/>
        <v>3</v>
      </c>
      <c r="T72" s="2343">
        <f t="shared" si="5"/>
        <v>0.5</v>
      </c>
      <c r="U72" s="2336"/>
      <c r="V72" s="2284"/>
      <c r="W72" s="1506">
        <f>IF(採点Q2!F68="対象外",0,採点Q2!F68)</f>
        <v>3</v>
      </c>
      <c r="X72" s="1507">
        <f>採点Q2!K68</f>
        <v>3</v>
      </c>
      <c r="Z72" s="423">
        <f>IF($Z$3=4,#REF!,W72)</f>
        <v>3</v>
      </c>
      <c r="AA72" s="1501">
        <f>重み!D72</f>
        <v>0.87499999999999989</v>
      </c>
      <c r="AB72" s="423">
        <f>IF($Z$3=4,#REF!,X72)</f>
        <v>3</v>
      </c>
      <c r="AC72" s="1501">
        <f>重み!E72</f>
        <v>0.5</v>
      </c>
      <c r="AD72" s="417"/>
      <c r="AE72" s="405"/>
      <c r="AF72" s="412">
        <f>重み!M72</f>
        <v>0.77777777777777768</v>
      </c>
      <c r="AG72" s="182"/>
      <c r="AH72" s="412">
        <f>重み!N72</f>
        <v>0.33333333333333331</v>
      </c>
      <c r="AI72" s="2080"/>
      <c r="AJ72" s="2080"/>
      <c r="AK72" s="2081"/>
    </row>
    <row r="73" spans="2:37" ht="14.25" hidden="1" customHeight="1" thickBot="1">
      <c r="B73" s="2373"/>
      <c r="C73" s="1824"/>
      <c r="D73" s="2394"/>
      <c r="E73" s="2395"/>
      <c r="F73" s="2396"/>
      <c r="G73" s="2396"/>
      <c r="H73" s="2349"/>
      <c r="I73" s="2935"/>
      <c r="J73" s="2936"/>
      <c r="K73" s="2936"/>
      <c r="L73" s="2937"/>
      <c r="M73" s="2913"/>
      <c r="N73" s="2914"/>
      <c r="O73" s="2914"/>
      <c r="P73" s="2915"/>
      <c r="Q73" s="1838">
        <f t="shared" si="2"/>
        <v>100</v>
      </c>
      <c r="R73" s="2343">
        <f t="shared" si="4"/>
        <v>0</v>
      </c>
      <c r="S73" s="1838">
        <f t="shared" si="3"/>
        <v>0</v>
      </c>
      <c r="T73" s="2343"/>
      <c r="U73" s="2336"/>
      <c r="V73" s="2284"/>
      <c r="W73" s="1679">
        <v>100</v>
      </c>
      <c r="X73" s="1505"/>
      <c r="Z73" s="423">
        <f>IF($Z$3=4,#REF!,W73)</f>
        <v>100</v>
      </c>
      <c r="AA73" s="1501">
        <f>重み!D73</f>
        <v>0</v>
      </c>
      <c r="AB73" s="423">
        <f>IF($Z$3=4,#REF!,X73)</f>
        <v>0</v>
      </c>
      <c r="AC73" s="1501">
        <f>重み!E73</f>
        <v>0</v>
      </c>
      <c r="AD73" s="417"/>
      <c r="AE73" s="405"/>
      <c r="AF73" s="412">
        <f>重み!M73</f>
        <v>0</v>
      </c>
      <c r="AG73" s="182"/>
      <c r="AH73" s="412">
        <f>重み!N73</f>
        <v>0</v>
      </c>
      <c r="AI73" s="2080"/>
      <c r="AJ73" s="2080"/>
      <c r="AK73" s="2081"/>
    </row>
    <row r="74" spans="2:37" thickBot="1">
      <c r="B74" s="2397"/>
      <c r="C74" s="1808">
        <v>1.3</v>
      </c>
      <c r="D74" s="1826" t="s">
        <v>1</v>
      </c>
      <c r="E74" s="1825"/>
      <c r="F74" s="1825"/>
      <c r="G74" s="1825"/>
      <c r="H74" s="2349"/>
      <c r="I74" s="2935"/>
      <c r="J74" s="2936"/>
      <c r="K74" s="2936"/>
      <c r="L74" s="2937"/>
      <c r="M74" s="2330"/>
      <c r="N74" s="2331"/>
      <c r="O74" s="2331"/>
      <c r="P74" s="2332"/>
      <c r="Q74" s="2346">
        <f t="shared" si="2"/>
        <v>2.5</v>
      </c>
      <c r="R74" s="2343">
        <f>AA74</f>
        <v>0.3</v>
      </c>
      <c r="S74" s="2398">
        <f t="shared" si="3"/>
        <v>0</v>
      </c>
      <c r="T74" s="2343">
        <f>AC74</f>
        <v>0</v>
      </c>
      <c r="U74" s="2336"/>
      <c r="V74" s="2284"/>
      <c r="W74" s="1663"/>
      <c r="X74" s="1663"/>
      <c r="Z74" s="420">
        <f>SUMPRODUCT(Z75:Z77,AA75:AA77)</f>
        <v>2.5</v>
      </c>
      <c r="AA74" s="1501">
        <f>重み!D74</f>
        <v>0.3</v>
      </c>
      <c r="AB74" s="420">
        <f>SUMPRODUCT(AB75:AB77,AC75:AC77)</f>
        <v>0</v>
      </c>
      <c r="AC74" s="1501">
        <f>重み!E74</f>
        <v>0</v>
      </c>
      <c r="AD74" s="417"/>
      <c r="AE74" s="405"/>
      <c r="AF74" s="412">
        <f>重み!M74</f>
        <v>0.3</v>
      </c>
      <c r="AG74" s="182"/>
      <c r="AH74" s="412">
        <f>重み!N74</f>
        <v>0</v>
      </c>
      <c r="AI74" s="2080"/>
      <c r="AJ74" s="2080"/>
      <c r="AK74" s="2081"/>
    </row>
    <row r="75" spans="2:37" ht="14.25" customHeight="1">
      <c r="B75" s="2397"/>
      <c r="C75" s="1824"/>
      <c r="D75" s="945">
        <v>1</v>
      </c>
      <c r="E75" s="1499" t="s">
        <v>2</v>
      </c>
      <c r="F75" s="1499"/>
      <c r="G75" s="1499"/>
      <c r="H75" s="2362"/>
      <c r="I75" s="2935"/>
      <c r="J75" s="2936"/>
      <c r="K75" s="2936"/>
      <c r="L75" s="2937"/>
      <c r="M75" s="3301">
        <f>採点Q2!G92</f>
        <v>0</v>
      </c>
      <c r="N75" s="3302"/>
      <c r="O75" s="3302"/>
      <c r="P75" s="3303"/>
      <c r="Q75" s="1841">
        <f t="shared" ref="Q75:Q138" si="6">ROUNDDOWN(Z75,1)</f>
        <v>3</v>
      </c>
      <c r="R75" s="2343">
        <f t="shared" si="4"/>
        <v>0.5</v>
      </c>
      <c r="S75" s="1841">
        <f t="shared" ref="S75:S138" si="7">ROUNDDOWN(AB75,1)</f>
        <v>0</v>
      </c>
      <c r="T75" s="2343">
        <f t="shared" si="5"/>
        <v>0</v>
      </c>
      <c r="U75" s="2336"/>
      <c r="V75" s="2284"/>
      <c r="W75" s="1508">
        <f>IF(採点Q2!F86="対象外",0,採点Q2!F86)</f>
        <v>3</v>
      </c>
      <c r="X75" s="1661"/>
      <c r="Z75" s="423">
        <f>IF($Z$3=4,#REF!,W75)</f>
        <v>3</v>
      </c>
      <c r="AA75" s="1501">
        <f>重み!D75</f>
        <v>0.5</v>
      </c>
      <c r="AB75" s="423">
        <f>IF($Z$3=4,#REF!,X75)</f>
        <v>0</v>
      </c>
      <c r="AC75" s="1501">
        <f>重み!E75</f>
        <v>0</v>
      </c>
      <c r="AD75" s="417"/>
      <c r="AE75" s="405"/>
      <c r="AF75" s="412">
        <f>重み!M75</f>
        <v>0.5</v>
      </c>
      <c r="AG75" s="182"/>
      <c r="AH75" s="412">
        <f>重み!N75</f>
        <v>0</v>
      </c>
      <c r="AI75" s="1"/>
      <c r="AJ75" s="2080"/>
      <c r="AK75" s="2081"/>
    </row>
    <row r="76" spans="2:37" ht="14.25" customHeight="1" thickBot="1">
      <c r="B76" s="2373"/>
      <c r="C76" s="1824"/>
      <c r="D76" s="945">
        <v>2</v>
      </c>
      <c r="E76" s="1499" t="s">
        <v>3</v>
      </c>
      <c r="F76" s="1499"/>
      <c r="G76" s="1499"/>
      <c r="H76" s="2362"/>
      <c r="I76" s="2935"/>
      <c r="J76" s="2936"/>
      <c r="K76" s="2936"/>
      <c r="L76" s="2937"/>
      <c r="M76" s="3301">
        <f>採点Q2!G138</f>
        <v>0</v>
      </c>
      <c r="N76" s="3302"/>
      <c r="O76" s="3302"/>
      <c r="P76" s="3303"/>
      <c r="Q76" s="1814">
        <f t="shared" si="6"/>
        <v>2</v>
      </c>
      <c r="R76" s="2343">
        <f t="shared" si="4"/>
        <v>0.5</v>
      </c>
      <c r="S76" s="1814">
        <f t="shared" si="7"/>
        <v>0</v>
      </c>
      <c r="T76" s="2343">
        <f t="shared" si="5"/>
        <v>0</v>
      </c>
      <c r="U76" s="2336"/>
      <c r="V76" s="2284"/>
      <c r="W76" s="426">
        <f>IF(採点Q2!F132="対象外",0,採点Q2!F132)</f>
        <v>2</v>
      </c>
      <c r="X76" s="1661"/>
      <c r="Z76" s="423">
        <f>IF($Z$3=4,#REF!,W76)</f>
        <v>2</v>
      </c>
      <c r="AA76" s="1501">
        <f>重み!D76</f>
        <v>0.5</v>
      </c>
      <c r="AB76" s="423">
        <f>IF($Z$3=4,#REF!,X76)</f>
        <v>0</v>
      </c>
      <c r="AC76" s="1501">
        <f>重み!E76</f>
        <v>0</v>
      </c>
      <c r="AD76" s="417"/>
      <c r="AE76" s="405"/>
      <c r="AF76" s="412">
        <f>重み!M76</f>
        <v>0.5</v>
      </c>
      <c r="AG76" s="182"/>
      <c r="AH76" s="412">
        <f>重み!N76</f>
        <v>0</v>
      </c>
      <c r="AI76" s="2080"/>
      <c r="AJ76" s="2080"/>
      <c r="AK76" s="2081"/>
    </row>
    <row r="77" spans="2:37" ht="14.25" hidden="1" customHeight="1" thickBot="1">
      <c r="B77" s="2373"/>
      <c r="C77" s="1868"/>
      <c r="D77" s="1862">
        <v>3</v>
      </c>
      <c r="E77" s="1861" t="s">
        <v>4</v>
      </c>
      <c r="F77" s="1861"/>
      <c r="G77" s="1861"/>
      <c r="H77" s="2366"/>
      <c r="I77" s="2935"/>
      <c r="J77" s="2936"/>
      <c r="K77" s="2936"/>
      <c r="L77" s="2937"/>
      <c r="M77" s="2913" t="str">
        <f>採点Q2!K190</f>
        <v>30字以内で記入</v>
      </c>
      <c r="N77" s="2914"/>
      <c r="O77" s="2914"/>
      <c r="P77" s="2915"/>
      <c r="Q77" s="1838">
        <f t="shared" si="6"/>
        <v>3</v>
      </c>
      <c r="R77" s="2343">
        <f t="shared" si="4"/>
        <v>0</v>
      </c>
      <c r="S77" s="1838">
        <f t="shared" si="7"/>
        <v>0</v>
      </c>
      <c r="T77" s="2343">
        <f t="shared" si="5"/>
        <v>0</v>
      </c>
      <c r="U77" s="2336"/>
      <c r="V77" s="2284"/>
      <c r="W77" s="1509">
        <f>採点Q2!F184</f>
        <v>3</v>
      </c>
      <c r="X77" s="1661"/>
      <c r="Z77" s="423">
        <f>IF($Z$3=4,#REF!,W77)</f>
        <v>3</v>
      </c>
      <c r="AA77" s="1501">
        <f>重み!D77</f>
        <v>0</v>
      </c>
      <c r="AB77" s="423">
        <f>IF($Z$3=4,#REF!,X77)</f>
        <v>0</v>
      </c>
      <c r="AC77" s="1501">
        <f>重み!E77</f>
        <v>0</v>
      </c>
      <c r="AD77" s="417"/>
      <c r="AE77" s="405"/>
      <c r="AF77" s="412">
        <f>重み!M77</f>
        <v>0</v>
      </c>
      <c r="AG77" s="182"/>
      <c r="AH77" s="412">
        <f>重み!N77</f>
        <v>0</v>
      </c>
      <c r="AI77" s="2080"/>
      <c r="AJ77" s="2080"/>
      <c r="AK77" s="2081"/>
    </row>
    <row r="78" spans="2:37" ht="14.25" customHeight="1">
      <c r="B78" s="2348">
        <v>2</v>
      </c>
      <c r="C78" s="1813" t="s">
        <v>5</v>
      </c>
      <c r="D78" s="1827"/>
      <c r="E78" s="1827"/>
      <c r="F78" s="1827"/>
      <c r="G78" s="1827"/>
      <c r="H78" s="2349"/>
      <c r="I78" s="2938"/>
      <c r="J78" s="2939"/>
      <c r="K78" s="2939"/>
      <c r="L78" s="2940"/>
      <c r="M78" s="2369"/>
      <c r="N78" s="2370"/>
      <c r="O78" s="2370"/>
      <c r="P78" s="2371"/>
      <c r="Q78" s="2372">
        <f t="shared" si="6"/>
        <v>2.8</v>
      </c>
      <c r="R78" s="2354">
        <f t="shared" si="4"/>
        <v>0.3</v>
      </c>
      <c r="S78" s="2372">
        <f t="shared" si="7"/>
        <v>0</v>
      </c>
      <c r="T78" s="2356">
        <f t="shared" si="5"/>
        <v>0</v>
      </c>
      <c r="U78" s="2357">
        <f>ROUNDDOWN(AD78,1)</f>
        <v>2.8</v>
      </c>
      <c r="V78" s="2284"/>
      <c r="W78" s="1663"/>
      <c r="X78" s="1661"/>
      <c r="Z78" s="1655">
        <f>Z79*AA79+Z82*AA82+Z89*AA89+Z93*AA93</f>
        <v>2.8800000000000003</v>
      </c>
      <c r="AA78" s="1501">
        <f>重み!D78</f>
        <v>0.3</v>
      </c>
      <c r="AB78" s="1655">
        <f>AB79*AC79+AB82*AC82+AB89*AC89+AB93*AC93</f>
        <v>0</v>
      </c>
      <c r="AC78" s="421">
        <f>SUM(AC79,AC82,AC89,AC93)</f>
        <v>0</v>
      </c>
      <c r="AD78" s="417">
        <f>IF(AB78=0,Z78,IF(Z78=0,AB78,Z78*AF$6+AB78*AH$6))</f>
        <v>2.8800000000000003</v>
      </c>
      <c r="AE78" s="405"/>
      <c r="AF78" s="412">
        <f>重み!M78</f>
        <v>0.3</v>
      </c>
      <c r="AG78" s="182"/>
      <c r="AH78" s="421">
        <f>SUM(AH79,AH82,AH89,AH93)</f>
        <v>0</v>
      </c>
      <c r="AI78" s="2080"/>
      <c r="AJ78" s="2080"/>
      <c r="AK78" s="2081"/>
    </row>
    <row r="79" spans="2:37" ht="14.25" customHeight="1" thickBot="1">
      <c r="B79" s="2373"/>
      <c r="C79" s="1808">
        <v>2.1</v>
      </c>
      <c r="D79" s="1836" t="s">
        <v>2711</v>
      </c>
      <c r="E79" s="1825"/>
      <c r="F79" s="1825"/>
      <c r="G79" s="1825"/>
      <c r="H79" s="2349"/>
      <c r="I79" s="2935"/>
      <c r="J79" s="2936"/>
      <c r="K79" s="2936"/>
      <c r="L79" s="2937"/>
      <c r="M79" s="2369"/>
      <c r="N79" s="2370"/>
      <c r="O79" s="2370"/>
      <c r="P79" s="2371"/>
      <c r="Q79" s="2379">
        <f t="shared" si="6"/>
        <v>3</v>
      </c>
      <c r="R79" s="2334">
        <f t="shared" si="4"/>
        <v>0.5</v>
      </c>
      <c r="S79" s="2399">
        <f t="shared" si="7"/>
        <v>0</v>
      </c>
      <c r="T79" s="2335">
        <f t="shared" si="5"/>
        <v>0</v>
      </c>
      <c r="U79" s="2336"/>
      <c r="V79" s="2284"/>
      <c r="W79" s="427"/>
      <c r="X79" s="1661"/>
      <c r="Z79" s="420">
        <f>SUMPRODUCT(Z80:Z81,AA80:AA81)</f>
        <v>3.0000000000000004</v>
      </c>
      <c r="AA79" s="1501">
        <f>重み!D79</f>
        <v>0.5</v>
      </c>
      <c r="AB79" s="420">
        <f>SUMPRODUCT(AB80:AB81,AC80:AC81)</f>
        <v>0</v>
      </c>
      <c r="AC79" s="1501">
        <f>重み!E79</f>
        <v>0</v>
      </c>
      <c r="AD79" s="417"/>
      <c r="AE79" s="405"/>
      <c r="AF79" s="412">
        <f>重み!M79</f>
        <v>0.5</v>
      </c>
      <c r="AG79" s="182"/>
      <c r="AH79" s="412">
        <f>重み!N79</f>
        <v>0</v>
      </c>
      <c r="AI79" s="2080"/>
      <c r="AJ79" s="2080"/>
      <c r="AK79" s="2081"/>
    </row>
    <row r="80" spans="2:37" ht="14.25" customHeight="1">
      <c r="B80" s="2373"/>
      <c r="C80" s="1805"/>
      <c r="D80" s="945">
        <v>1</v>
      </c>
      <c r="E80" s="1499" t="s">
        <v>2714</v>
      </c>
      <c r="F80" s="1499"/>
      <c r="G80" s="1499"/>
      <c r="H80" s="2362"/>
      <c r="I80" s="2935"/>
      <c r="J80" s="2936"/>
      <c r="K80" s="2936"/>
      <c r="L80" s="2937"/>
      <c r="M80" s="3301">
        <f>採点Q2!G214</f>
        <v>0</v>
      </c>
      <c r="N80" s="3302"/>
      <c r="O80" s="3302"/>
      <c r="P80" s="3303"/>
      <c r="Q80" s="1841">
        <f t="shared" si="6"/>
        <v>3</v>
      </c>
      <c r="R80" s="2400">
        <f t="shared" ref="R80:R109" si="8">AA80</f>
        <v>0.8</v>
      </c>
      <c r="S80" s="2401">
        <f t="shared" si="7"/>
        <v>0</v>
      </c>
      <c r="T80" s="2335">
        <f t="shared" ref="T80:T109" si="9">AC80</f>
        <v>0</v>
      </c>
      <c r="U80" s="2336"/>
      <c r="V80" s="2284"/>
      <c r="W80" s="426">
        <f>IF(採点Q2!F208="対象外",0,採点Q2!F208)</f>
        <v>3</v>
      </c>
      <c r="X80" s="1661"/>
      <c r="Z80" s="423">
        <f>IF($Z$3=4,#REF!,W80)</f>
        <v>3</v>
      </c>
      <c r="AA80" s="1501">
        <f>重み!D80</f>
        <v>0.8</v>
      </c>
      <c r="AB80" s="423">
        <f>IF($Z$3=4,#REF!,X80)</f>
        <v>0</v>
      </c>
      <c r="AC80" s="1501">
        <f>重み!E80</f>
        <v>0</v>
      </c>
      <c r="AD80" s="417"/>
      <c r="AE80" s="405"/>
      <c r="AF80" s="412">
        <f>重み!M80</f>
        <v>0.8</v>
      </c>
      <c r="AG80" s="182"/>
      <c r="AH80" s="412">
        <f>重み!N80</f>
        <v>0</v>
      </c>
      <c r="AI80" s="2080"/>
      <c r="AJ80" s="2080"/>
      <c r="AK80" s="2081"/>
    </row>
    <row r="81" spans="2:37" ht="14.25" customHeight="1" thickBot="1">
      <c r="B81" s="2373"/>
      <c r="C81" s="1817"/>
      <c r="D81" s="945">
        <v>2</v>
      </c>
      <c r="E81" s="1499" t="s">
        <v>2713</v>
      </c>
      <c r="F81" s="1499"/>
      <c r="G81" s="1499"/>
      <c r="H81" s="2362"/>
      <c r="I81" s="2935"/>
      <c r="J81" s="2936"/>
      <c r="K81" s="2936"/>
      <c r="L81" s="2937"/>
      <c r="M81" s="3301">
        <f>採点Q2!L214</f>
        <v>0</v>
      </c>
      <c r="N81" s="3302"/>
      <c r="O81" s="3302"/>
      <c r="P81" s="3303"/>
      <c r="Q81" s="1838">
        <f t="shared" si="6"/>
        <v>3</v>
      </c>
      <c r="R81" s="2400">
        <f t="shared" si="8"/>
        <v>0.2</v>
      </c>
      <c r="S81" s="2401">
        <f t="shared" si="7"/>
        <v>0</v>
      </c>
      <c r="T81" s="2335">
        <f t="shared" si="9"/>
        <v>0</v>
      </c>
      <c r="U81" s="2336"/>
      <c r="V81" s="2284"/>
      <c r="W81" s="426">
        <f>IF(採点Q2!K208="対象外",0,採点Q2!K208)</f>
        <v>3</v>
      </c>
      <c r="X81" s="1661"/>
      <c r="Z81" s="423">
        <f>IF($Z$3=4,#REF!,W81)</f>
        <v>3</v>
      </c>
      <c r="AA81" s="1501">
        <f>重み!D81</f>
        <v>0.2</v>
      </c>
      <c r="AB81" s="423">
        <f>IF($Z$3=4,#REF!,X81)</f>
        <v>0</v>
      </c>
      <c r="AC81" s="1501">
        <f>重み!E81</f>
        <v>0</v>
      </c>
      <c r="AD81" s="417"/>
      <c r="AE81" s="405"/>
      <c r="AF81" s="412">
        <f>重み!M81</f>
        <v>0.2</v>
      </c>
      <c r="AG81" s="182"/>
      <c r="AH81" s="412">
        <f>重み!N81</f>
        <v>0</v>
      </c>
      <c r="AI81" s="2080"/>
      <c r="AJ81" s="2080"/>
      <c r="AK81" s="2081"/>
    </row>
    <row r="82" spans="2:37" ht="14.25" customHeight="1" thickBot="1">
      <c r="B82" s="2373"/>
      <c r="C82" s="1818">
        <v>2.2000000000000002</v>
      </c>
      <c r="D82" s="1836" t="s">
        <v>1817</v>
      </c>
      <c r="E82" s="1825"/>
      <c r="F82" s="1825"/>
      <c r="G82" s="1825"/>
      <c r="H82" s="2349"/>
      <c r="I82" s="2935"/>
      <c r="J82" s="2936"/>
      <c r="K82" s="2936"/>
      <c r="L82" s="2937"/>
      <c r="M82" s="2330"/>
      <c r="N82" s="2331"/>
      <c r="O82" s="2331"/>
      <c r="P82" s="2332"/>
      <c r="Q82" s="2379">
        <f t="shared" si="6"/>
        <v>3</v>
      </c>
      <c r="R82" s="2334">
        <f>AA82</f>
        <v>0.3</v>
      </c>
      <c r="S82" s="2399">
        <f t="shared" si="7"/>
        <v>0</v>
      </c>
      <c r="T82" s="2335">
        <f t="shared" si="9"/>
        <v>0</v>
      </c>
      <c r="U82" s="2336"/>
      <c r="V82" s="2284"/>
      <c r="W82" s="428"/>
      <c r="X82" s="1661"/>
      <c r="Z82" s="420">
        <f>SUMPRODUCT(Z83:Z88,AA83:AA88)</f>
        <v>3.0000000000000004</v>
      </c>
      <c r="AA82" s="1501">
        <f>重み!D82</f>
        <v>0.3</v>
      </c>
      <c r="AB82" s="420">
        <f>SUMPRODUCT(AB83:AB88,AC83:AC88)</f>
        <v>0</v>
      </c>
      <c r="AC82" s="1501">
        <f>重み!E82</f>
        <v>0</v>
      </c>
      <c r="AD82" s="417"/>
      <c r="AE82" s="405"/>
      <c r="AF82" s="412">
        <f>重み!M82</f>
        <v>0.3</v>
      </c>
      <c r="AG82" s="182"/>
      <c r="AH82" s="412">
        <f>重み!N82</f>
        <v>0</v>
      </c>
      <c r="AI82" s="2080"/>
      <c r="AJ82" s="2080"/>
      <c r="AK82" s="2081"/>
    </row>
    <row r="83" spans="2:37" ht="14.25" customHeight="1">
      <c r="B83" s="2373"/>
      <c r="C83" s="1805"/>
      <c r="D83" s="945">
        <v>1</v>
      </c>
      <c r="E83" s="1499" t="s">
        <v>644</v>
      </c>
      <c r="F83" s="1499"/>
      <c r="G83" s="1499"/>
      <c r="H83" s="2362"/>
      <c r="I83" s="2935"/>
      <c r="J83" s="2936"/>
      <c r="K83" s="2954" t="s">
        <v>4177</v>
      </c>
      <c r="L83" s="2937"/>
      <c r="M83" s="3301">
        <f>採点Q2!G225</f>
        <v>0</v>
      </c>
      <c r="N83" s="3302"/>
      <c r="O83" s="3302"/>
      <c r="P83" s="3303"/>
      <c r="Q83" s="1841">
        <f t="shared" si="6"/>
        <v>3</v>
      </c>
      <c r="R83" s="2400">
        <f t="shared" si="8"/>
        <v>0.2</v>
      </c>
      <c r="S83" s="2401">
        <f t="shared" si="7"/>
        <v>0</v>
      </c>
      <c r="T83" s="2335">
        <f t="shared" si="9"/>
        <v>0</v>
      </c>
      <c r="U83" s="2336"/>
      <c r="V83" s="2284"/>
      <c r="W83" s="1508">
        <f>IF(採点Q2!F219="対象外",0,採点Q2!F219)</f>
        <v>3</v>
      </c>
      <c r="X83" s="1661"/>
      <c r="Z83" s="423">
        <f>IF($Z$3=4,#REF!,W83)</f>
        <v>3</v>
      </c>
      <c r="AA83" s="1501">
        <f>重み!D83</f>
        <v>0.2</v>
      </c>
      <c r="AB83" s="423">
        <f>IF($Z$3=4,#REF!,X83)</f>
        <v>0</v>
      </c>
      <c r="AC83" s="1501">
        <f>重み!E83</f>
        <v>0</v>
      </c>
      <c r="AD83" s="417"/>
      <c r="AE83" s="405"/>
      <c r="AF83" s="412">
        <f>重み!M83</f>
        <v>0.2</v>
      </c>
      <c r="AG83" s="182"/>
      <c r="AH83" s="412">
        <f>重み!N83</f>
        <v>0</v>
      </c>
      <c r="AI83" s="2080"/>
      <c r="AJ83" s="2080"/>
      <c r="AK83" s="2081"/>
    </row>
    <row r="84" spans="2:37" ht="14.25" customHeight="1">
      <c r="B84" s="2373"/>
      <c r="C84" s="1805"/>
      <c r="D84" s="945">
        <v>2</v>
      </c>
      <c r="E84" s="1499" t="s">
        <v>645</v>
      </c>
      <c r="F84" s="1499"/>
      <c r="G84" s="1499"/>
      <c r="H84" s="2362"/>
      <c r="I84" s="2935"/>
      <c r="J84" s="2936"/>
      <c r="K84" s="2954" t="s">
        <v>4177</v>
      </c>
      <c r="L84" s="2937"/>
      <c r="M84" s="3301">
        <f>採点Q2!L225</f>
        <v>0</v>
      </c>
      <c r="N84" s="3302"/>
      <c r="O84" s="3302"/>
      <c r="P84" s="3303"/>
      <c r="Q84" s="1814">
        <f t="shared" si="6"/>
        <v>3</v>
      </c>
      <c r="R84" s="2400">
        <f t="shared" si="8"/>
        <v>0.2</v>
      </c>
      <c r="S84" s="2401">
        <f t="shared" si="7"/>
        <v>0</v>
      </c>
      <c r="T84" s="2335">
        <f t="shared" si="9"/>
        <v>0</v>
      </c>
      <c r="U84" s="2336"/>
      <c r="V84" s="2284"/>
      <c r="W84" s="426">
        <f>IF(採点Q2!K219="対象外",0,採点Q2!K219)</f>
        <v>3</v>
      </c>
      <c r="X84" s="1661"/>
      <c r="Z84" s="423">
        <f>IF($Z$3=4,#REF!,W84)</f>
        <v>3</v>
      </c>
      <c r="AA84" s="1501">
        <f>重み!D84</f>
        <v>0.2</v>
      </c>
      <c r="AB84" s="423">
        <f>IF($Z$3=4,#REF!,X84)</f>
        <v>0</v>
      </c>
      <c r="AC84" s="1501">
        <f>重み!E84</f>
        <v>0</v>
      </c>
      <c r="AD84" s="417"/>
      <c r="AE84" s="405"/>
      <c r="AF84" s="412">
        <f>重み!M84</f>
        <v>0.2</v>
      </c>
      <c r="AG84" s="182"/>
      <c r="AH84" s="412">
        <f>重み!N84</f>
        <v>0</v>
      </c>
      <c r="AI84" s="2080"/>
      <c r="AJ84" s="2080"/>
      <c r="AK84" s="2081"/>
    </row>
    <row r="85" spans="2:37" ht="14.25" customHeight="1">
      <c r="B85" s="2373"/>
      <c r="C85" s="1805"/>
      <c r="D85" s="945">
        <v>3</v>
      </c>
      <c r="E85" s="3285" t="s">
        <v>646</v>
      </c>
      <c r="F85" s="3277"/>
      <c r="G85" s="3277"/>
      <c r="H85" s="3279"/>
      <c r="I85" s="2935"/>
      <c r="J85" s="2936"/>
      <c r="K85" s="2954" t="s">
        <v>4177</v>
      </c>
      <c r="L85" s="2937"/>
      <c r="M85" s="3301">
        <f>採点Q2!G236</f>
        <v>0</v>
      </c>
      <c r="N85" s="3302"/>
      <c r="O85" s="3302"/>
      <c r="P85" s="3303"/>
      <c r="Q85" s="1814">
        <f t="shared" si="6"/>
        <v>3</v>
      </c>
      <c r="R85" s="2400">
        <f t="shared" si="8"/>
        <v>0.1</v>
      </c>
      <c r="S85" s="2401">
        <f t="shared" si="7"/>
        <v>0</v>
      </c>
      <c r="T85" s="2335">
        <f t="shared" si="9"/>
        <v>0</v>
      </c>
      <c r="U85" s="2336"/>
      <c r="V85" s="2284"/>
      <c r="W85" s="426">
        <f>IF(採点Q2!F230="対象外",0,採点Q2!F230)</f>
        <v>3</v>
      </c>
      <c r="X85" s="1661"/>
      <c r="Z85" s="423">
        <f>IF($Z$3=4,#REF!,W85)</f>
        <v>3</v>
      </c>
      <c r="AA85" s="1501">
        <f>重み!D85</f>
        <v>0.1</v>
      </c>
      <c r="AB85" s="423">
        <f>IF($Z$3=4,#REF!,X85)</f>
        <v>0</v>
      </c>
      <c r="AC85" s="1501">
        <f>重み!E85</f>
        <v>0</v>
      </c>
      <c r="AD85" s="417"/>
      <c r="AE85" s="405"/>
      <c r="AF85" s="412">
        <f>重み!M85</f>
        <v>0.1</v>
      </c>
      <c r="AG85" s="182"/>
      <c r="AH85" s="412">
        <f>重み!N85</f>
        <v>0</v>
      </c>
      <c r="AI85" s="2080"/>
      <c r="AJ85" s="2080"/>
      <c r="AK85" s="2081"/>
    </row>
    <row r="86" spans="2:37" ht="14.25" customHeight="1">
      <c r="B86" s="2373"/>
      <c r="C86" s="1805"/>
      <c r="D86" s="945">
        <v>4</v>
      </c>
      <c r="E86" s="1499" t="s">
        <v>647</v>
      </c>
      <c r="F86" s="1499"/>
      <c r="G86" s="1499"/>
      <c r="H86" s="2362"/>
      <c r="I86" s="2935"/>
      <c r="J86" s="2936"/>
      <c r="K86" s="2954" t="s">
        <v>4177</v>
      </c>
      <c r="L86" s="2937"/>
      <c r="M86" s="3301">
        <f>採点Q2!L236</f>
        <v>0</v>
      </c>
      <c r="N86" s="3302"/>
      <c r="O86" s="3302"/>
      <c r="P86" s="3303"/>
      <c r="Q86" s="1814">
        <f t="shared" si="6"/>
        <v>3</v>
      </c>
      <c r="R86" s="2400">
        <f t="shared" si="8"/>
        <v>0.1</v>
      </c>
      <c r="S86" s="2401">
        <f t="shared" si="7"/>
        <v>0</v>
      </c>
      <c r="T86" s="2335">
        <f t="shared" si="9"/>
        <v>0</v>
      </c>
      <c r="U86" s="2336"/>
      <c r="V86" s="2284"/>
      <c r="W86" s="426">
        <f>IF(採点Q2!K230="対象外",0,採点Q2!K230)</f>
        <v>3</v>
      </c>
      <c r="X86" s="1661"/>
      <c r="Z86" s="423">
        <f>IF($Z$3=4,#REF!,W86)</f>
        <v>3</v>
      </c>
      <c r="AA86" s="1501">
        <f>重み!D86</f>
        <v>0.1</v>
      </c>
      <c r="AB86" s="423">
        <f>IF($Z$3=4,#REF!,X86)</f>
        <v>0</v>
      </c>
      <c r="AC86" s="1501">
        <f>重み!E86</f>
        <v>0</v>
      </c>
      <c r="AD86" s="417"/>
      <c r="AE86" s="405"/>
      <c r="AF86" s="412">
        <f>重み!M86</f>
        <v>0.1</v>
      </c>
      <c r="AG86" s="182"/>
      <c r="AH86" s="412">
        <f>重み!N86</f>
        <v>0</v>
      </c>
      <c r="AI86" s="2080"/>
      <c r="AJ86" s="2080"/>
      <c r="AK86" s="2081"/>
    </row>
    <row r="87" spans="2:37" ht="14.25" customHeight="1">
      <c r="B87" s="2373"/>
      <c r="C87" s="1805"/>
      <c r="D87" s="945">
        <v>5</v>
      </c>
      <c r="E87" s="3285" t="s">
        <v>648</v>
      </c>
      <c r="F87" s="3277"/>
      <c r="G87" s="3277"/>
      <c r="H87" s="3279"/>
      <c r="I87" s="2935"/>
      <c r="J87" s="2936"/>
      <c r="K87" s="2954" t="s">
        <v>4177</v>
      </c>
      <c r="L87" s="2937"/>
      <c r="M87" s="3301">
        <f>採点Q2!G247</f>
        <v>0</v>
      </c>
      <c r="N87" s="3302"/>
      <c r="O87" s="3302"/>
      <c r="P87" s="3303"/>
      <c r="Q87" s="1814">
        <f t="shared" si="6"/>
        <v>3</v>
      </c>
      <c r="R87" s="2400">
        <f t="shared" si="8"/>
        <v>0.2</v>
      </c>
      <c r="S87" s="2401">
        <f t="shared" si="7"/>
        <v>0</v>
      </c>
      <c r="T87" s="2335">
        <f t="shared" si="9"/>
        <v>0</v>
      </c>
      <c r="U87" s="2336"/>
      <c r="V87" s="2284"/>
      <c r="W87" s="426">
        <f>IF(採点Q2!F241="対象外",0,採点Q2!F241)</f>
        <v>3</v>
      </c>
      <c r="X87" s="1661"/>
      <c r="Z87" s="423">
        <f>IF($Z$3=4,#REF!,W87)</f>
        <v>3</v>
      </c>
      <c r="AA87" s="1501">
        <f>重み!D87</f>
        <v>0.2</v>
      </c>
      <c r="AB87" s="423">
        <f>IF($Z$3=4,#REF!,X87)</f>
        <v>0</v>
      </c>
      <c r="AC87" s="1501">
        <f>重み!E87</f>
        <v>0</v>
      </c>
      <c r="AD87" s="417"/>
      <c r="AE87" s="405"/>
      <c r="AF87" s="412">
        <f>重み!M87</f>
        <v>0.2</v>
      </c>
      <c r="AG87" s="182"/>
      <c r="AH87" s="412">
        <f>重み!N87</f>
        <v>0</v>
      </c>
      <c r="AI87" s="2080"/>
      <c r="AJ87" s="2080"/>
      <c r="AK87" s="2081"/>
    </row>
    <row r="88" spans="2:37" ht="14.25" customHeight="1" thickBot="1">
      <c r="B88" s="2373"/>
      <c r="C88" s="1817"/>
      <c r="D88" s="945">
        <v>6</v>
      </c>
      <c r="E88" s="1499" t="s">
        <v>649</v>
      </c>
      <c r="F88" s="1499"/>
      <c r="G88" s="1499"/>
      <c r="H88" s="2362"/>
      <c r="I88" s="2942"/>
      <c r="J88" s="2943"/>
      <c r="K88" s="2955" t="s">
        <v>4177</v>
      </c>
      <c r="L88" s="2944"/>
      <c r="M88" s="3304">
        <f>採点Q2!L247</f>
        <v>0</v>
      </c>
      <c r="N88" s="3305"/>
      <c r="O88" s="3305"/>
      <c r="P88" s="3306"/>
      <c r="Q88" s="1838">
        <f t="shared" si="6"/>
        <v>3</v>
      </c>
      <c r="R88" s="2402">
        <f t="shared" si="8"/>
        <v>0.2</v>
      </c>
      <c r="S88" s="2403">
        <f t="shared" si="7"/>
        <v>0</v>
      </c>
      <c r="T88" s="2390">
        <f t="shared" si="9"/>
        <v>0</v>
      </c>
      <c r="U88" s="2391"/>
      <c r="V88" s="2284"/>
      <c r="W88" s="1509">
        <f>IF(採点Q2!K241="対象外",0,採点Q2!K241)</f>
        <v>3</v>
      </c>
      <c r="X88" s="1661"/>
      <c r="Z88" s="423">
        <f>IF($Z$3=4,#REF!,W88)</f>
        <v>3</v>
      </c>
      <c r="AA88" s="1501">
        <f>重み!D88</f>
        <v>0.2</v>
      </c>
      <c r="AB88" s="423">
        <f>IF($Z$3=4,#REF!,X88)</f>
        <v>0</v>
      </c>
      <c r="AC88" s="1501">
        <f>重み!E88</f>
        <v>0</v>
      </c>
      <c r="AD88" s="417"/>
      <c r="AE88" s="405"/>
      <c r="AF88" s="412">
        <f>重み!M88</f>
        <v>0.2</v>
      </c>
      <c r="AG88" s="182"/>
      <c r="AH88" s="412">
        <f>重み!N88</f>
        <v>0</v>
      </c>
      <c r="AI88" s="2080"/>
      <c r="AJ88" s="2080"/>
      <c r="AK88" s="2081"/>
    </row>
    <row r="89" spans="2:37" ht="14.25" hidden="1" customHeight="1" thickBot="1">
      <c r="B89" s="2373"/>
      <c r="C89" s="1867">
        <v>2.2999999999999998</v>
      </c>
      <c r="D89" s="1866" t="s">
        <v>650</v>
      </c>
      <c r="E89" s="1865"/>
      <c r="F89" s="1865"/>
      <c r="G89" s="1865"/>
      <c r="H89" s="2404"/>
      <c r="I89" s="2935"/>
      <c r="J89" s="2936"/>
      <c r="K89" s="2936"/>
      <c r="L89" s="2937"/>
      <c r="M89" s="2369"/>
      <c r="N89" s="2370"/>
      <c r="O89" s="2370"/>
      <c r="P89" s="2371"/>
      <c r="Q89" s="2379">
        <f t="shared" si="6"/>
        <v>0</v>
      </c>
      <c r="R89" s="2359">
        <f>AA89</f>
        <v>0</v>
      </c>
      <c r="S89" s="2405">
        <f t="shared" si="7"/>
        <v>0</v>
      </c>
      <c r="T89" s="2361">
        <f t="shared" si="9"/>
        <v>0</v>
      </c>
      <c r="U89" s="2340"/>
      <c r="V89" s="2284"/>
      <c r="W89" s="428"/>
      <c r="X89" s="1661"/>
      <c r="Z89" s="420">
        <f>SUMPRODUCT(Z90:Z92,AA90:AA92)</f>
        <v>0</v>
      </c>
      <c r="AA89" s="1501">
        <f>重み!D89</f>
        <v>0</v>
      </c>
      <c r="AB89" s="420">
        <f>SUMPRODUCT(AB90:AB92,AC90:AC92)</f>
        <v>0</v>
      </c>
      <c r="AC89" s="1501">
        <f>重み!E89</f>
        <v>0</v>
      </c>
      <c r="AD89" s="417"/>
      <c r="AE89" s="405"/>
      <c r="AF89" s="412">
        <f>重み!M89</f>
        <v>0</v>
      </c>
      <c r="AG89" s="182"/>
      <c r="AH89" s="412">
        <f>重み!N89</f>
        <v>0</v>
      </c>
      <c r="AI89" s="2080"/>
      <c r="AJ89" s="2080"/>
      <c r="AK89" s="2081"/>
    </row>
    <row r="90" spans="2:37" ht="14.25" hidden="1" customHeight="1">
      <c r="B90" s="2373"/>
      <c r="C90" s="1864"/>
      <c r="D90" s="1862">
        <v>1</v>
      </c>
      <c r="E90" s="1861" t="s">
        <v>63</v>
      </c>
      <c r="F90" s="1861"/>
      <c r="G90" s="1861"/>
      <c r="H90" s="2366"/>
      <c r="I90" s="2956"/>
      <c r="J90" s="2957"/>
      <c r="K90" s="2957"/>
      <c r="L90" s="2958"/>
      <c r="M90" s="2913"/>
      <c r="N90" s="2914"/>
      <c r="O90" s="2914"/>
      <c r="P90" s="2915"/>
      <c r="Q90" s="1841">
        <f t="shared" si="6"/>
        <v>3</v>
      </c>
      <c r="R90" s="2400">
        <f t="shared" si="8"/>
        <v>0</v>
      </c>
      <c r="S90" s="2401">
        <f t="shared" si="7"/>
        <v>0</v>
      </c>
      <c r="T90" s="2335">
        <f t="shared" si="9"/>
        <v>0</v>
      </c>
      <c r="U90" s="2336"/>
      <c r="V90" s="2284"/>
      <c r="W90" s="1508">
        <f>採点Q2!F253</f>
        <v>3</v>
      </c>
      <c r="X90" s="1661"/>
      <c r="Z90" s="423">
        <f>IF($Z$3=4,#REF!,W90)</f>
        <v>3</v>
      </c>
      <c r="AA90" s="1501">
        <f>重み!D90</f>
        <v>0</v>
      </c>
      <c r="AB90" s="423">
        <f>IF($Z$3=4,#REF!,X90)</f>
        <v>0</v>
      </c>
      <c r="AC90" s="1501">
        <f>重み!E90</f>
        <v>0</v>
      </c>
      <c r="AD90" s="417"/>
      <c r="AE90" s="405"/>
      <c r="AF90" s="412">
        <f>重み!M90</f>
        <v>0</v>
      </c>
      <c r="AG90" s="182"/>
      <c r="AH90" s="412">
        <f>重み!N90</f>
        <v>0</v>
      </c>
      <c r="AI90" s="2080"/>
      <c r="AJ90" s="2080"/>
      <c r="AK90" s="2081"/>
    </row>
    <row r="91" spans="2:37" ht="14.25" hidden="1" customHeight="1">
      <c r="B91" s="2373"/>
      <c r="C91" s="1864"/>
      <c r="D91" s="1862">
        <v>2</v>
      </c>
      <c r="E91" s="1861" t="s">
        <v>64</v>
      </c>
      <c r="F91" s="1861"/>
      <c r="G91" s="1861"/>
      <c r="H91" s="2366"/>
      <c r="I91" s="2935"/>
      <c r="J91" s="2936"/>
      <c r="K91" s="2936"/>
      <c r="L91" s="2937"/>
      <c r="M91" s="2913"/>
      <c r="N91" s="2914"/>
      <c r="O91" s="2914"/>
      <c r="P91" s="2915"/>
      <c r="Q91" s="1814">
        <f t="shared" si="6"/>
        <v>3</v>
      </c>
      <c r="R91" s="2400">
        <f t="shared" si="8"/>
        <v>0</v>
      </c>
      <c r="S91" s="2401">
        <f t="shared" si="7"/>
        <v>0</v>
      </c>
      <c r="T91" s="2335">
        <f t="shared" si="9"/>
        <v>0</v>
      </c>
      <c r="U91" s="2336"/>
      <c r="V91" s="2284"/>
      <c r="W91" s="426">
        <f>採点Q2!K253</f>
        <v>3</v>
      </c>
      <c r="X91" s="1661"/>
      <c r="Z91" s="423">
        <f>IF($Z$3=4,#REF!,W91)</f>
        <v>3</v>
      </c>
      <c r="AA91" s="1501">
        <f>重み!D91</f>
        <v>0</v>
      </c>
      <c r="AB91" s="423">
        <f>IF($Z$3=4,#REF!,X91)</f>
        <v>0</v>
      </c>
      <c r="AC91" s="1501">
        <f>重み!E91</f>
        <v>0</v>
      </c>
      <c r="AD91" s="417"/>
      <c r="AE91" s="405"/>
      <c r="AF91" s="412">
        <f>重み!M91</f>
        <v>0</v>
      </c>
      <c r="AG91" s="182"/>
      <c r="AH91" s="412">
        <f>重み!N91</f>
        <v>0</v>
      </c>
      <c r="AI91" s="2080"/>
      <c r="AJ91" s="2080"/>
      <c r="AK91" s="2081"/>
    </row>
    <row r="92" spans="2:37" ht="14.25" hidden="1" customHeight="1" thickBot="1">
      <c r="B92" s="2373"/>
      <c r="C92" s="1863"/>
      <c r="D92" s="1862">
        <v>3</v>
      </c>
      <c r="E92" s="1861" t="s">
        <v>65</v>
      </c>
      <c r="F92" s="1861"/>
      <c r="G92" s="1861"/>
      <c r="H92" s="2366"/>
      <c r="I92" s="2935"/>
      <c r="J92" s="2936"/>
      <c r="K92" s="2936"/>
      <c r="L92" s="2937"/>
      <c r="M92" s="2913"/>
      <c r="N92" s="2914"/>
      <c r="O92" s="2914"/>
      <c r="P92" s="2915"/>
      <c r="Q92" s="1838">
        <f t="shared" si="6"/>
        <v>3</v>
      </c>
      <c r="R92" s="2400">
        <f t="shared" si="8"/>
        <v>0</v>
      </c>
      <c r="S92" s="2401">
        <f t="shared" si="7"/>
        <v>0</v>
      </c>
      <c r="T92" s="2335">
        <f t="shared" si="9"/>
        <v>0</v>
      </c>
      <c r="U92" s="2336"/>
      <c r="V92" s="2284"/>
      <c r="W92" s="1509">
        <f>採点Q2!F263</f>
        <v>3</v>
      </c>
      <c r="X92" s="1661"/>
      <c r="Z92" s="423">
        <f>IF($Z$3=4,#REF!,W92)</f>
        <v>3</v>
      </c>
      <c r="AA92" s="1501">
        <f>重み!D92</f>
        <v>0</v>
      </c>
      <c r="AB92" s="423">
        <f>IF($Z$3=4,#REF!,X92)</f>
        <v>0</v>
      </c>
      <c r="AC92" s="1501">
        <f>重み!E92</f>
        <v>0</v>
      </c>
      <c r="AD92" s="417"/>
      <c r="AE92" s="405"/>
      <c r="AF92" s="412">
        <f>重み!M92</f>
        <v>0</v>
      </c>
      <c r="AG92" s="182"/>
      <c r="AH92" s="412">
        <f>重み!N92</f>
        <v>0</v>
      </c>
      <c r="AI92" s="2080"/>
      <c r="AJ92" s="2080"/>
      <c r="AK92" s="2081"/>
    </row>
    <row r="93" spans="2:37" ht="14.25" customHeight="1" thickBot="1">
      <c r="B93" s="2337"/>
      <c r="C93" s="1808">
        <v>2.4</v>
      </c>
      <c r="D93" s="1836" t="s">
        <v>66</v>
      </c>
      <c r="E93" s="1825"/>
      <c r="F93" s="1825"/>
      <c r="G93" s="1825"/>
      <c r="H93" s="2349"/>
      <c r="I93" s="2935"/>
      <c r="J93" s="2936"/>
      <c r="K93" s="2936"/>
      <c r="L93" s="2937"/>
      <c r="M93" s="2330"/>
      <c r="N93" s="2331"/>
      <c r="O93" s="2331"/>
      <c r="P93" s="2332"/>
      <c r="Q93" s="2379">
        <f t="shared" si="6"/>
        <v>2.4</v>
      </c>
      <c r="R93" s="2334">
        <f>AA93</f>
        <v>0.2</v>
      </c>
      <c r="S93" s="2399">
        <f t="shared" si="7"/>
        <v>0</v>
      </c>
      <c r="T93" s="2335">
        <f t="shared" si="9"/>
        <v>0</v>
      </c>
      <c r="U93" s="2336"/>
      <c r="V93" s="2284"/>
      <c r="W93" s="1661"/>
      <c r="X93" s="1661"/>
      <c r="Z93" s="420">
        <f>SUMPRODUCT(Z94:Z98,AA94:AA98)</f>
        <v>2.4000000000000004</v>
      </c>
      <c r="AA93" s="1501">
        <f>重み!D93</f>
        <v>0.2</v>
      </c>
      <c r="AB93" s="420">
        <f>SUMPRODUCT(AB94:AB98,AC94:AC98)</f>
        <v>0</v>
      </c>
      <c r="AC93" s="1501">
        <f>重み!E93</f>
        <v>0</v>
      </c>
      <c r="AD93" s="417"/>
      <c r="AE93" s="405"/>
      <c r="AF93" s="412">
        <f>重み!M93</f>
        <v>0.2</v>
      </c>
      <c r="AG93" s="182"/>
      <c r="AH93" s="412">
        <f>重み!N93</f>
        <v>0</v>
      </c>
      <c r="AI93" s="2080"/>
      <c r="AJ93" s="2080"/>
      <c r="AK93" s="2081"/>
    </row>
    <row r="94" spans="2:37" ht="14.25" customHeight="1">
      <c r="B94" s="2337"/>
      <c r="C94" s="1805"/>
      <c r="D94" s="945">
        <v>1</v>
      </c>
      <c r="E94" s="1499" t="s">
        <v>67</v>
      </c>
      <c r="F94" s="1499"/>
      <c r="G94" s="1499"/>
      <c r="H94" s="2362"/>
      <c r="I94" s="2935"/>
      <c r="J94" s="2936"/>
      <c r="K94" s="2936"/>
      <c r="L94" s="2937"/>
      <c r="M94" s="3301">
        <f>採点Q2!G280</f>
        <v>0</v>
      </c>
      <c r="N94" s="3302"/>
      <c r="O94" s="3302"/>
      <c r="P94" s="3303"/>
      <c r="Q94" s="1841">
        <f t="shared" si="6"/>
        <v>3</v>
      </c>
      <c r="R94" s="2400">
        <f t="shared" si="8"/>
        <v>0.2</v>
      </c>
      <c r="S94" s="2401">
        <f t="shared" si="7"/>
        <v>0</v>
      </c>
      <c r="T94" s="2335">
        <f t="shared" si="9"/>
        <v>0</v>
      </c>
      <c r="U94" s="2336"/>
      <c r="V94" s="2284"/>
      <c r="W94" s="1508">
        <f>IF(採点Q2!F274="対象外",0,採点Q2!F274)</f>
        <v>3</v>
      </c>
      <c r="X94" s="1661"/>
      <c r="Z94" s="423">
        <f>IF($Z$3=4,#REF!,W94)</f>
        <v>3</v>
      </c>
      <c r="AA94" s="1501">
        <f>重み!D94</f>
        <v>0.2</v>
      </c>
      <c r="AB94" s="423">
        <f>IF($Z$3=4,#REF!,X94)</f>
        <v>0</v>
      </c>
      <c r="AC94" s="1501">
        <f>重み!E94</f>
        <v>0</v>
      </c>
      <c r="AD94" s="417"/>
      <c r="AE94" s="405"/>
      <c r="AF94" s="412">
        <f>重み!M94</f>
        <v>0.2</v>
      </c>
      <c r="AG94" s="182"/>
      <c r="AH94" s="412">
        <f>重み!N94</f>
        <v>0</v>
      </c>
      <c r="AI94" s="2080"/>
      <c r="AJ94" s="2080"/>
      <c r="AK94" s="2081"/>
    </row>
    <row r="95" spans="2:37" ht="14.25" customHeight="1">
      <c r="B95" s="2337"/>
      <c r="C95" s="1805"/>
      <c r="D95" s="945">
        <v>2</v>
      </c>
      <c r="E95" s="1499" t="s">
        <v>68</v>
      </c>
      <c r="F95" s="1499"/>
      <c r="G95" s="1499"/>
      <c r="H95" s="2362"/>
      <c r="I95" s="2935"/>
      <c r="J95" s="2936"/>
      <c r="K95" s="2936"/>
      <c r="L95" s="2937"/>
      <c r="M95" s="3301">
        <f>採点Q2!G298</f>
        <v>0</v>
      </c>
      <c r="N95" s="3302"/>
      <c r="O95" s="3302"/>
      <c r="P95" s="3303"/>
      <c r="Q95" s="1814">
        <f t="shared" si="6"/>
        <v>2</v>
      </c>
      <c r="R95" s="2400">
        <f t="shared" si="8"/>
        <v>0.2</v>
      </c>
      <c r="S95" s="2401">
        <f t="shared" si="7"/>
        <v>0</v>
      </c>
      <c r="T95" s="2335">
        <f t="shared" si="9"/>
        <v>0</v>
      </c>
      <c r="U95" s="2336"/>
      <c r="V95" s="2284"/>
      <c r="W95" s="426">
        <f>IF(採点Q2!F292="対象外",0,採点Q2!F292)</f>
        <v>2</v>
      </c>
      <c r="X95" s="1661"/>
      <c r="Z95" s="423">
        <f>IF($Z$3=4,#REF!,W95)</f>
        <v>2</v>
      </c>
      <c r="AA95" s="1501">
        <f>重み!D95</f>
        <v>0.2</v>
      </c>
      <c r="AB95" s="423">
        <f>IF($Z$3=4,#REF!,X95)</f>
        <v>0</v>
      </c>
      <c r="AC95" s="1501">
        <f>重み!E95</f>
        <v>0</v>
      </c>
      <c r="AD95" s="417"/>
      <c r="AE95" s="405"/>
      <c r="AF95" s="412">
        <f>重み!M95</f>
        <v>0.2</v>
      </c>
      <c r="AG95" s="182"/>
      <c r="AH95" s="412">
        <f>重み!N95</f>
        <v>0</v>
      </c>
      <c r="AI95" s="2080"/>
      <c r="AJ95" s="2080"/>
      <c r="AK95" s="2081"/>
    </row>
    <row r="96" spans="2:37" ht="14.25" customHeight="1">
      <c r="B96" s="2337"/>
      <c r="C96" s="1805"/>
      <c r="D96" s="945">
        <v>3</v>
      </c>
      <c r="E96" s="1499" t="s">
        <v>69</v>
      </c>
      <c r="F96" s="1499"/>
      <c r="G96" s="1499"/>
      <c r="H96" s="2362"/>
      <c r="I96" s="2935"/>
      <c r="J96" s="2936"/>
      <c r="K96" s="2936"/>
      <c r="L96" s="2937"/>
      <c r="M96" s="3301">
        <f>採点Q2!G318</f>
        <v>0</v>
      </c>
      <c r="N96" s="3302"/>
      <c r="O96" s="3302"/>
      <c r="P96" s="3303"/>
      <c r="Q96" s="1814">
        <f t="shared" si="6"/>
        <v>3</v>
      </c>
      <c r="R96" s="2400">
        <f t="shared" si="8"/>
        <v>0.2</v>
      </c>
      <c r="S96" s="2401">
        <f t="shared" si="7"/>
        <v>0</v>
      </c>
      <c r="T96" s="2335">
        <f t="shared" si="9"/>
        <v>0</v>
      </c>
      <c r="U96" s="2336"/>
      <c r="V96" s="2284"/>
      <c r="W96" s="426">
        <f>IF(採点Q2!F312="対象外",0,採点Q2!F312)</f>
        <v>3</v>
      </c>
      <c r="X96" s="429"/>
      <c r="Z96" s="423">
        <f>IF($Z$3=4,#REF!,W96)</f>
        <v>3</v>
      </c>
      <c r="AA96" s="1501">
        <f>重み!D96</f>
        <v>0.2</v>
      </c>
      <c r="AB96" s="423">
        <f>IF($Z$3=4,#REF!,X96)</f>
        <v>0</v>
      </c>
      <c r="AC96" s="1501">
        <f>重み!E96</f>
        <v>0</v>
      </c>
      <c r="AD96" s="417"/>
      <c r="AE96" s="405"/>
      <c r="AF96" s="412">
        <f>重み!M96</f>
        <v>0.2</v>
      </c>
      <c r="AG96" s="182"/>
      <c r="AH96" s="412">
        <f>重み!N96</f>
        <v>0</v>
      </c>
      <c r="AI96" s="2080"/>
      <c r="AJ96" s="2080"/>
      <c r="AK96" s="2081"/>
    </row>
    <row r="97" spans="2:37" ht="14.25" customHeight="1">
      <c r="B97" s="2337"/>
      <c r="C97" s="1805"/>
      <c r="D97" s="945">
        <v>4</v>
      </c>
      <c r="E97" s="1499" t="s">
        <v>1017</v>
      </c>
      <c r="F97" s="1499"/>
      <c r="G97" s="1499"/>
      <c r="H97" s="2362"/>
      <c r="I97" s="2935"/>
      <c r="J97" s="2936"/>
      <c r="K97" s="2936"/>
      <c r="L97" s="2937"/>
      <c r="M97" s="3301">
        <f>採点Q2!G337</f>
        <v>0</v>
      </c>
      <c r="N97" s="3302"/>
      <c r="O97" s="3302"/>
      <c r="P97" s="3303"/>
      <c r="Q97" s="1814">
        <f t="shared" si="6"/>
        <v>3</v>
      </c>
      <c r="R97" s="2400">
        <f t="shared" si="8"/>
        <v>0.2</v>
      </c>
      <c r="S97" s="2401">
        <f t="shared" si="7"/>
        <v>0</v>
      </c>
      <c r="T97" s="2335">
        <f t="shared" si="9"/>
        <v>0</v>
      </c>
      <c r="U97" s="2336"/>
      <c r="V97" s="2284"/>
      <c r="W97" s="426">
        <f>IF(採点Q2!F331="対象外",0,採点Q2!F331)</f>
        <v>3</v>
      </c>
      <c r="X97" s="429"/>
      <c r="Z97" s="423">
        <f>IF($Z$3=4,#REF!,W97)</f>
        <v>3</v>
      </c>
      <c r="AA97" s="1501">
        <f>重み!D97</f>
        <v>0.2</v>
      </c>
      <c r="AB97" s="423">
        <f>IF($Z$3=4,#REF!,X97)</f>
        <v>0</v>
      </c>
      <c r="AC97" s="1501">
        <f>重み!E97</f>
        <v>0</v>
      </c>
      <c r="AD97" s="417"/>
      <c r="AE97" s="405"/>
      <c r="AF97" s="412">
        <f>重み!M97</f>
        <v>0.2</v>
      </c>
      <c r="AG97" s="182"/>
      <c r="AH97" s="412">
        <f>重み!N97</f>
        <v>0</v>
      </c>
      <c r="AI97" s="2080"/>
      <c r="AJ97" s="2080"/>
      <c r="AK97" s="2081"/>
    </row>
    <row r="98" spans="2:37" thickBot="1">
      <c r="B98" s="2406"/>
      <c r="C98" s="1817"/>
      <c r="D98" s="945">
        <v>5</v>
      </c>
      <c r="E98" s="1499" t="s">
        <v>1018</v>
      </c>
      <c r="F98" s="1499"/>
      <c r="G98" s="1499"/>
      <c r="H98" s="2362"/>
      <c r="I98" s="2942"/>
      <c r="J98" s="2943"/>
      <c r="K98" s="2943"/>
      <c r="L98" s="2944"/>
      <c r="M98" s="3304">
        <f>採点Q2!G347</f>
        <v>0</v>
      </c>
      <c r="N98" s="3305"/>
      <c r="O98" s="3305"/>
      <c r="P98" s="3306"/>
      <c r="Q98" s="1838">
        <f t="shared" si="6"/>
        <v>1</v>
      </c>
      <c r="R98" s="2407">
        <f t="shared" si="8"/>
        <v>0.2</v>
      </c>
      <c r="S98" s="2403">
        <f t="shared" si="7"/>
        <v>0</v>
      </c>
      <c r="T98" s="2390">
        <f t="shared" si="9"/>
        <v>0</v>
      </c>
      <c r="U98" s="2391"/>
      <c r="V98" s="2284"/>
      <c r="W98" s="1509">
        <f>IF(採点Q2!F341="対象外",0,採点Q2!F341)</f>
        <v>1</v>
      </c>
      <c r="X98" s="429"/>
      <c r="Z98" s="423">
        <f>IF($Z$3=4,#REF!,W98)</f>
        <v>1</v>
      </c>
      <c r="AA98" s="1501">
        <f>重み!D98</f>
        <v>0.2</v>
      </c>
      <c r="AB98" s="423">
        <f>IF($Z$3=4,#REF!,X98)</f>
        <v>0</v>
      </c>
      <c r="AC98" s="1501">
        <f>重み!E98</f>
        <v>0</v>
      </c>
      <c r="AD98" s="417"/>
      <c r="AE98" s="405"/>
      <c r="AF98" s="412">
        <f>重み!M98</f>
        <v>0.2</v>
      </c>
      <c r="AG98" s="182"/>
      <c r="AH98" s="412">
        <f>重み!N98</f>
        <v>0</v>
      </c>
      <c r="AI98" s="2080"/>
      <c r="AJ98" s="2080"/>
      <c r="AK98" s="2081"/>
    </row>
    <row r="99" spans="2:37" ht="13.5" hidden="1" customHeight="1">
      <c r="B99" s="2337"/>
      <c r="C99" s="1860"/>
      <c r="D99" s="1859"/>
      <c r="E99" s="1858"/>
      <c r="F99" s="1858"/>
      <c r="G99" s="1858"/>
      <c r="H99" s="2329"/>
      <c r="I99" s="2938"/>
      <c r="J99" s="2939"/>
      <c r="K99" s="2939"/>
      <c r="L99" s="2940"/>
      <c r="M99" s="2910"/>
      <c r="N99" s="2911"/>
      <c r="O99" s="2911"/>
      <c r="P99" s="2912"/>
      <c r="Q99" s="2408">
        <f t="shared" si="6"/>
        <v>0</v>
      </c>
      <c r="R99" s="2334">
        <f t="shared" si="8"/>
        <v>0</v>
      </c>
      <c r="S99" s="2408">
        <f t="shared" si="7"/>
        <v>0</v>
      </c>
      <c r="T99" s="2335">
        <f t="shared" si="9"/>
        <v>0</v>
      </c>
      <c r="U99" s="2336"/>
      <c r="V99" s="2284"/>
      <c r="W99" s="428"/>
      <c r="X99" s="1661"/>
      <c r="Z99" s="424"/>
      <c r="AA99" s="1501">
        <f>重み!D99</f>
        <v>0</v>
      </c>
      <c r="AB99" s="424"/>
      <c r="AC99" s="1501">
        <f>重み!E99</f>
        <v>0</v>
      </c>
      <c r="AD99" s="417"/>
      <c r="AE99" s="405"/>
      <c r="AF99" s="412">
        <f>重み!M99</f>
        <v>0</v>
      </c>
      <c r="AG99" s="182"/>
      <c r="AH99" s="412">
        <f>重み!N99</f>
        <v>0</v>
      </c>
      <c r="AI99" s="2080"/>
      <c r="AJ99" s="2080"/>
      <c r="AK99" s="2081"/>
    </row>
    <row r="100" spans="2:37" ht="13.5">
      <c r="B100" s="2348">
        <v>3</v>
      </c>
      <c r="C100" s="1827" t="s">
        <v>1019</v>
      </c>
      <c r="D100" s="1827"/>
      <c r="E100" s="1827"/>
      <c r="F100" s="1827"/>
      <c r="G100" s="1827"/>
      <c r="H100" s="2349"/>
      <c r="I100" s="2945"/>
      <c r="J100" s="2939"/>
      <c r="K100" s="2939"/>
      <c r="L100" s="2940"/>
      <c r="M100" s="2369"/>
      <c r="N100" s="2370"/>
      <c r="O100" s="2370"/>
      <c r="P100" s="2371"/>
      <c r="Q100" s="2409">
        <f t="shared" si="6"/>
        <v>3</v>
      </c>
      <c r="R100" s="2354">
        <f t="shared" si="8"/>
        <v>0.3</v>
      </c>
      <c r="S100" s="2409">
        <f t="shared" si="7"/>
        <v>2.2999999999999998</v>
      </c>
      <c r="T100" s="2356">
        <f t="shared" si="9"/>
        <v>1</v>
      </c>
      <c r="U100" s="2357">
        <f>ROUNDDOWN(AD100,1)</f>
        <v>2.6</v>
      </c>
      <c r="V100" s="2284"/>
      <c r="W100" s="430"/>
      <c r="X100" s="1659"/>
      <c r="Z100" s="1655">
        <f>Z101*AA101+Z104*AA104+Z105*AA105</f>
        <v>3.0000000000000004</v>
      </c>
      <c r="AA100" s="1501">
        <f>重み!D100</f>
        <v>0.3</v>
      </c>
      <c r="AB100" s="1655">
        <f>AB101*AC101+AB104*AC104+AB105*AC105</f>
        <v>2.2999999999999998</v>
      </c>
      <c r="AC100" s="421">
        <f>SUM(AC101,AC104,AC105)</f>
        <v>1</v>
      </c>
      <c r="AD100" s="417">
        <f>IF(AB100=0,Z100,IF(Z100=0,AB100,Z100*AF$6+AB100*AH$6))</f>
        <v>2.6266666666666669</v>
      </c>
      <c r="AE100" s="405"/>
      <c r="AF100" s="412">
        <f>重み!M100</f>
        <v>0.3</v>
      </c>
      <c r="AG100" s="182"/>
      <c r="AH100" s="421">
        <f>SUM(AH101,AH104,AH105)</f>
        <v>0.66666666666666663</v>
      </c>
      <c r="AI100" s="2080"/>
      <c r="AJ100" s="2080"/>
      <c r="AK100" s="2081"/>
    </row>
    <row r="101" spans="2:37" ht="14.25" customHeight="1" thickBot="1">
      <c r="B101" s="2373"/>
      <c r="C101" s="1808">
        <v>3.1</v>
      </c>
      <c r="D101" s="1836" t="s">
        <v>1020</v>
      </c>
      <c r="E101" s="1826"/>
      <c r="F101" s="1826"/>
      <c r="G101" s="1826"/>
      <c r="H101" s="2349"/>
      <c r="I101" s="2935"/>
      <c r="J101" s="2936"/>
      <c r="K101" s="2936"/>
      <c r="L101" s="2937"/>
      <c r="M101" s="2369"/>
      <c r="N101" s="2370"/>
      <c r="O101" s="2370"/>
      <c r="P101" s="2371"/>
      <c r="Q101" s="2379">
        <f t="shared" si="6"/>
        <v>0</v>
      </c>
      <c r="R101" s="2334">
        <f t="shared" si="8"/>
        <v>0</v>
      </c>
      <c r="S101" s="2392">
        <f t="shared" si="7"/>
        <v>1.6</v>
      </c>
      <c r="T101" s="2335">
        <f t="shared" si="9"/>
        <v>0.5</v>
      </c>
      <c r="U101" s="2336"/>
      <c r="V101" s="2284"/>
      <c r="W101" s="427"/>
      <c r="X101" s="1659"/>
      <c r="Z101" s="420">
        <f>SUMPRODUCT(Z102:Z103,AA102:AA103)</f>
        <v>0</v>
      </c>
      <c r="AA101" s="1501">
        <f>重み!D101</f>
        <v>0</v>
      </c>
      <c r="AB101" s="420">
        <f>SUMPRODUCT(AB102:AB103,AC102:AC103)</f>
        <v>1.6</v>
      </c>
      <c r="AC101" s="1501">
        <f>重み!E101</f>
        <v>0.5</v>
      </c>
      <c r="AD101" s="417"/>
      <c r="AE101" s="405"/>
      <c r="AF101" s="412">
        <f>重み!M101</f>
        <v>9.9999999999999992E-2</v>
      </c>
      <c r="AG101" s="182"/>
      <c r="AH101" s="412">
        <f>重み!N101</f>
        <v>0.33333333333333331</v>
      </c>
      <c r="AI101" s="2080"/>
      <c r="AJ101" s="2080"/>
      <c r="AK101" s="2081"/>
    </row>
    <row r="102" spans="2:37" ht="14.25" customHeight="1">
      <c r="B102" s="2373"/>
      <c r="C102" s="1805"/>
      <c r="D102" s="945">
        <v>1</v>
      </c>
      <c r="E102" s="1499" t="s">
        <v>1021</v>
      </c>
      <c r="F102" s="1499"/>
      <c r="G102" s="1499"/>
      <c r="H102" s="2362"/>
      <c r="I102" s="2935"/>
      <c r="J102" s="2936"/>
      <c r="K102" s="2936"/>
      <c r="L102" s="2937"/>
      <c r="M102" s="3301">
        <f>採点Q2!G368</f>
        <v>0</v>
      </c>
      <c r="N102" s="3302"/>
      <c r="O102" s="3302"/>
      <c r="P102" s="3303"/>
      <c r="Q102" s="1841">
        <f t="shared" si="6"/>
        <v>0</v>
      </c>
      <c r="R102" s="2343">
        <f t="shared" si="8"/>
        <v>0</v>
      </c>
      <c r="S102" s="1841">
        <f t="shared" si="7"/>
        <v>2</v>
      </c>
      <c r="T102" s="2343">
        <f t="shared" si="9"/>
        <v>0.6</v>
      </c>
      <c r="U102" s="2336"/>
      <c r="V102" s="2284"/>
      <c r="W102" s="429">
        <f>IF(採点Q2!F362="対象外",0,採点Q2!F362)</f>
        <v>0</v>
      </c>
      <c r="X102" s="1503">
        <f>採点Q2!K362</f>
        <v>2</v>
      </c>
      <c r="Z102" s="423">
        <f>IF($Z$3=4,#REF!,W102)</f>
        <v>0</v>
      </c>
      <c r="AA102" s="1501">
        <f>重み!D102</f>
        <v>0</v>
      </c>
      <c r="AB102" s="423">
        <f>IF($Z$3=4,#REF!,X102)</f>
        <v>2</v>
      </c>
      <c r="AC102" s="1501">
        <f>重み!E102</f>
        <v>0.6</v>
      </c>
      <c r="AD102" s="417"/>
      <c r="AE102" s="405"/>
      <c r="AF102" s="412">
        <f>重み!M102</f>
        <v>0.19999999999999998</v>
      </c>
      <c r="AG102" s="182"/>
      <c r="AH102" s="412">
        <f>重み!N102</f>
        <v>0.39999999999999997</v>
      </c>
      <c r="AI102" s="2080"/>
      <c r="AJ102" s="2080"/>
      <c r="AK102" s="2081"/>
    </row>
    <row r="103" spans="2:37" ht="14.25" customHeight="1">
      <c r="B103" s="2373"/>
      <c r="C103" s="1805"/>
      <c r="D103" s="1804">
        <v>2</v>
      </c>
      <c r="E103" s="1826" t="s">
        <v>1022</v>
      </c>
      <c r="F103" s="1826"/>
      <c r="G103" s="1826"/>
      <c r="H103" s="2349"/>
      <c r="I103" s="2935"/>
      <c r="J103" s="2936"/>
      <c r="K103" s="2936"/>
      <c r="L103" s="2937"/>
      <c r="M103" s="3301">
        <f>採点Q2!G379</f>
        <v>0</v>
      </c>
      <c r="N103" s="3302"/>
      <c r="O103" s="3302"/>
      <c r="P103" s="3303"/>
      <c r="Q103" s="1814">
        <f t="shared" si="6"/>
        <v>0</v>
      </c>
      <c r="R103" s="2343">
        <f t="shared" si="8"/>
        <v>0</v>
      </c>
      <c r="S103" s="1814">
        <f t="shared" si="7"/>
        <v>1</v>
      </c>
      <c r="T103" s="2343">
        <f t="shared" si="9"/>
        <v>0.4</v>
      </c>
      <c r="U103" s="2336"/>
      <c r="V103" s="2284"/>
      <c r="W103" s="429">
        <f>IF(採点Q2!F373="対象外",0,採点Q2!F373)</f>
        <v>0</v>
      </c>
      <c r="X103" s="1507">
        <f>採点Q2!K373</f>
        <v>1</v>
      </c>
      <c r="Z103" s="423">
        <f>IF($Z$3=4,#REF!,W103)</f>
        <v>0</v>
      </c>
      <c r="AA103" s="1501">
        <f>重み!D103</f>
        <v>0</v>
      </c>
      <c r="AB103" s="423">
        <f>IF($Z$3=4,#REF!,X103)</f>
        <v>1</v>
      </c>
      <c r="AC103" s="1501">
        <f>重み!E103</f>
        <v>0.4</v>
      </c>
      <c r="AD103" s="417"/>
      <c r="AE103" s="405"/>
      <c r="AF103" s="412">
        <f>重み!M103</f>
        <v>0.13333333333333333</v>
      </c>
      <c r="AG103" s="182"/>
      <c r="AH103" s="412">
        <f>重み!N103</f>
        <v>0.26666666666666666</v>
      </c>
      <c r="AI103" s="2080"/>
      <c r="AJ103" s="2080"/>
      <c r="AK103" s="2081"/>
    </row>
    <row r="104" spans="2:37" ht="14.25" customHeight="1" thickBot="1">
      <c r="B104" s="2373"/>
      <c r="C104" s="1819">
        <v>3.2</v>
      </c>
      <c r="D104" s="1807" t="s">
        <v>1023</v>
      </c>
      <c r="E104" s="1499"/>
      <c r="F104" s="1499"/>
      <c r="G104" s="1499"/>
      <c r="H104" s="2362"/>
      <c r="I104" s="2935"/>
      <c r="J104" s="2936"/>
      <c r="K104" s="2936"/>
      <c r="L104" s="2937"/>
      <c r="M104" s="3301">
        <f>採点Q2!G391</f>
        <v>0</v>
      </c>
      <c r="N104" s="3302"/>
      <c r="O104" s="3302"/>
      <c r="P104" s="3303"/>
      <c r="Q104" s="1842">
        <f t="shared" si="6"/>
        <v>0</v>
      </c>
      <c r="R104" s="2343">
        <f t="shared" si="8"/>
        <v>0</v>
      </c>
      <c r="S104" s="1842">
        <f t="shared" si="7"/>
        <v>3</v>
      </c>
      <c r="T104" s="2343">
        <f t="shared" si="9"/>
        <v>0.5</v>
      </c>
      <c r="U104" s="2336"/>
      <c r="V104" s="2284"/>
      <c r="W104" s="429">
        <f>IF(採点Q2!F385="対象外",0,採点Q2!F385)</f>
        <v>0</v>
      </c>
      <c r="X104" s="1505">
        <f>採点Q2!M385</f>
        <v>3</v>
      </c>
      <c r="Z104" s="1654">
        <f>IF($Z$3=4,#REF!,W104)</f>
        <v>0</v>
      </c>
      <c r="AA104" s="1501">
        <f>重み!D104</f>
        <v>0</v>
      </c>
      <c r="AB104" s="1654">
        <f>IF($Z$3=4,#REF!,X104)</f>
        <v>3</v>
      </c>
      <c r="AC104" s="1501">
        <f>重み!E104</f>
        <v>0.5</v>
      </c>
      <c r="AD104" s="417"/>
      <c r="AE104" s="405"/>
      <c r="AF104" s="412">
        <f>重み!M104</f>
        <v>9.9999999999999992E-2</v>
      </c>
      <c r="AG104" s="182"/>
      <c r="AH104" s="412">
        <f>重み!N104</f>
        <v>0.33333333333333331</v>
      </c>
      <c r="AI104" s="2080"/>
      <c r="AJ104" s="2080"/>
      <c r="AK104" s="2081"/>
    </row>
    <row r="105" spans="2:37" ht="14.25" customHeight="1" thickBot="1">
      <c r="B105" s="2373"/>
      <c r="C105" s="1818">
        <v>3.3</v>
      </c>
      <c r="D105" s="1836" t="s">
        <v>1024</v>
      </c>
      <c r="E105" s="1826"/>
      <c r="F105" s="1826"/>
      <c r="G105" s="1826"/>
      <c r="H105" s="2349"/>
      <c r="I105" s="2935"/>
      <c r="J105" s="2936"/>
      <c r="K105" s="2936"/>
      <c r="L105" s="2937"/>
      <c r="M105" s="2330"/>
      <c r="N105" s="2331"/>
      <c r="O105" s="2331"/>
      <c r="P105" s="2332"/>
      <c r="Q105" s="2379">
        <f t="shared" si="6"/>
        <v>3</v>
      </c>
      <c r="R105" s="2334">
        <f>AA105</f>
        <v>1</v>
      </c>
      <c r="S105" s="2410">
        <f t="shared" si="7"/>
        <v>0</v>
      </c>
      <c r="T105" s="2335">
        <f t="shared" si="9"/>
        <v>0</v>
      </c>
      <c r="U105" s="2336"/>
      <c r="V105" s="2284"/>
      <c r="W105" s="428"/>
      <c r="X105" s="1659"/>
      <c r="Z105" s="420">
        <f>SUMPRODUCT(Z106:Z111,AA106:AA111)</f>
        <v>3.0000000000000004</v>
      </c>
      <c r="AA105" s="1501">
        <f>重み!D105</f>
        <v>1</v>
      </c>
      <c r="AB105" s="420">
        <f>SUMPRODUCT(AB106:AB111,AC106:AC111)</f>
        <v>0</v>
      </c>
      <c r="AC105" s="1501">
        <f>重み!E105</f>
        <v>0</v>
      </c>
      <c r="AD105" s="417"/>
      <c r="AE105" s="405"/>
      <c r="AF105" s="412">
        <f>重み!M105</f>
        <v>0.79999999999999993</v>
      </c>
      <c r="AG105" s="182"/>
      <c r="AH105" s="412">
        <f>重み!N105</f>
        <v>0</v>
      </c>
      <c r="AI105" s="2080"/>
      <c r="AJ105" s="2080"/>
      <c r="AK105" s="2081"/>
    </row>
    <row r="106" spans="2:37" ht="14.25" customHeight="1">
      <c r="B106" s="2373"/>
      <c r="C106" s="1805"/>
      <c r="D106" s="945">
        <v>1</v>
      </c>
      <c r="E106" s="1499" t="s">
        <v>1581</v>
      </c>
      <c r="F106" s="1499"/>
      <c r="G106" s="1499"/>
      <c r="H106" s="2362"/>
      <c r="I106" s="2935"/>
      <c r="J106" s="2936"/>
      <c r="K106" s="2936"/>
      <c r="L106" s="2937"/>
      <c r="M106" s="3301">
        <f>採点Q2!G403</f>
        <v>0</v>
      </c>
      <c r="N106" s="3302"/>
      <c r="O106" s="3302"/>
      <c r="P106" s="3303"/>
      <c r="Q106" s="1841">
        <f t="shared" si="6"/>
        <v>3</v>
      </c>
      <c r="R106" s="2400">
        <f t="shared" si="8"/>
        <v>0.2</v>
      </c>
      <c r="S106" s="2401">
        <f t="shared" si="7"/>
        <v>0</v>
      </c>
      <c r="T106" s="2335">
        <f t="shared" si="9"/>
        <v>0</v>
      </c>
      <c r="U106" s="2336"/>
      <c r="V106" s="2284"/>
      <c r="W106" s="1508">
        <f>IF(採点Q2!F397="対象外",0,採点Q2!F397)</f>
        <v>3</v>
      </c>
      <c r="X106" s="1659"/>
      <c r="Z106" s="423">
        <f>IF($Z$3=4,#REF!,W106)</f>
        <v>3</v>
      </c>
      <c r="AA106" s="1501">
        <f>重み!D106</f>
        <v>0.2</v>
      </c>
      <c r="AB106" s="423">
        <f>IF($Z$3=4,#REF!,X106)</f>
        <v>0</v>
      </c>
      <c r="AC106" s="1501">
        <f>重み!E106</f>
        <v>0</v>
      </c>
      <c r="AD106" s="417"/>
      <c r="AE106" s="405"/>
      <c r="AF106" s="412">
        <f>重み!M106</f>
        <v>0.2</v>
      </c>
      <c r="AG106" s="182"/>
      <c r="AH106" s="412">
        <f>重み!N106</f>
        <v>0</v>
      </c>
      <c r="AI106" s="2080"/>
      <c r="AJ106" s="2080"/>
      <c r="AK106" s="2081"/>
    </row>
    <row r="107" spans="2:37" ht="14.25" customHeight="1">
      <c r="B107" s="2373"/>
      <c r="C107" s="1805"/>
      <c r="D107" s="1804">
        <v>2</v>
      </c>
      <c r="E107" s="1826" t="s">
        <v>1025</v>
      </c>
      <c r="F107" s="1826"/>
      <c r="G107" s="1826"/>
      <c r="H107" s="2349"/>
      <c r="I107" s="2935"/>
      <c r="J107" s="2936"/>
      <c r="K107" s="2936"/>
      <c r="L107" s="2937"/>
      <c r="M107" s="3301">
        <f>採点Q2!L403</f>
        <v>0</v>
      </c>
      <c r="N107" s="3302"/>
      <c r="O107" s="3302"/>
      <c r="P107" s="3303"/>
      <c r="Q107" s="1814">
        <f t="shared" si="6"/>
        <v>3</v>
      </c>
      <c r="R107" s="2400">
        <f t="shared" si="8"/>
        <v>0.2</v>
      </c>
      <c r="S107" s="2401">
        <f t="shared" si="7"/>
        <v>0</v>
      </c>
      <c r="T107" s="2335">
        <f t="shared" si="9"/>
        <v>0</v>
      </c>
      <c r="U107" s="2336"/>
      <c r="V107" s="2284"/>
      <c r="W107" s="426">
        <f>IF(採点Q2!K397="対象外",0,採点Q2!K397)</f>
        <v>3</v>
      </c>
      <c r="X107" s="1659"/>
      <c r="Z107" s="423">
        <f>IF($Z$3=4,#REF!,W107)</f>
        <v>3</v>
      </c>
      <c r="AA107" s="1501">
        <f>重み!D107</f>
        <v>0.2</v>
      </c>
      <c r="AB107" s="423">
        <f>IF($Z$3=4,#REF!,X107)</f>
        <v>0</v>
      </c>
      <c r="AC107" s="1501">
        <f>重み!E107</f>
        <v>0</v>
      </c>
      <c r="AD107" s="417"/>
      <c r="AE107" s="405"/>
      <c r="AF107" s="412">
        <f>重み!M107</f>
        <v>0.2</v>
      </c>
      <c r="AG107" s="182"/>
      <c r="AH107" s="412">
        <f>重み!N107</f>
        <v>0</v>
      </c>
      <c r="AI107" s="2080"/>
      <c r="AJ107" s="2080"/>
      <c r="AK107" s="2081"/>
    </row>
    <row r="108" spans="2:37" ht="14.25" customHeight="1">
      <c r="B108" s="2373"/>
      <c r="C108" s="1805"/>
      <c r="D108" s="945">
        <v>3</v>
      </c>
      <c r="E108" s="1499" t="s">
        <v>1026</v>
      </c>
      <c r="F108" s="1499"/>
      <c r="G108" s="1499"/>
      <c r="H108" s="2362"/>
      <c r="I108" s="2935"/>
      <c r="J108" s="2936"/>
      <c r="K108" s="2936"/>
      <c r="L108" s="2937"/>
      <c r="M108" s="3301">
        <f>採点Q2!G413</f>
        <v>0</v>
      </c>
      <c r="N108" s="3302"/>
      <c r="O108" s="3302"/>
      <c r="P108" s="3303"/>
      <c r="Q108" s="1814">
        <f t="shared" si="6"/>
        <v>3</v>
      </c>
      <c r="R108" s="2400">
        <f t="shared" si="8"/>
        <v>0.1</v>
      </c>
      <c r="S108" s="2401">
        <f t="shared" si="7"/>
        <v>0</v>
      </c>
      <c r="T108" s="2335">
        <f t="shared" si="9"/>
        <v>0</v>
      </c>
      <c r="U108" s="2336"/>
      <c r="V108" s="2284"/>
      <c r="W108" s="426">
        <f>IF(採点Q2!F407="対象外",0,採点Q2!F407)</f>
        <v>3</v>
      </c>
      <c r="X108" s="1659"/>
      <c r="Z108" s="423">
        <f>IF($Z$3=4,#REF!,W108)</f>
        <v>3</v>
      </c>
      <c r="AA108" s="1501">
        <f>重み!D108</f>
        <v>0.1</v>
      </c>
      <c r="AB108" s="423">
        <f>IF($Z$3=4,#REF!,X108)</f>
        <v>0</v>
      </c>
      <c r="AC108" s="1501">
        <f>重み!E108</f>
        <v>0</v>
      </c>
      <c r="AD108" s="417"/>
      <c r="AE108" s="405"/>
      <c r="AF108" s="412">
        <f>重み!M108</f>
        <v>0.1</v>
      </c>
      <c r="AG108" s="182"/>
      <c r="AH108" s="412">
        <f>重み!N108</f>
        <v>0</v>
      </c>
      <c r="AI108" s="2080"/>
      <c r="AJ108" s="2080"/>
      <c r="AK108" s="2081"/>
    </row>
    <row r="109" spans="2:37" ht="14.25" customHeight="1">
      <c r="B109" s="2373"/>
      <c r="C109" s="1805"/>
      <c r="D109" s="1804">
        <v>4</v>
      </c>
      <c r="E109" s="1826" t="s">
        <v>1027</v>
      </c>
      <c r="F109" s="1826"/>
      <c r="G109" s="1826"/>
      <c r="H109" s="2349"/>
      <c r="I109" s="2935"/>
      <c r="J109" s="2936"/>
      <c r="K109" s="2936"/>
      <c r="L109" s="2937"/>
      <c r="M109" s="3301">
        <f>採点Q2!L413</f>
        <v>0</v>
      </c>
      <c r="N109" s="3302"/>
      <c r="O109" s="3302"/>
      <c r="P109" s="3303"/>
      <c r="Q109" s="1814">
        <f t="shared" si="6"/>
        <v>3</v>
      </c>
      <c r="R109" s="2400">
        <f t="shared" si="8"/>
        <v>0.1</v>
      </c>
      <c r="S109" s="2401">
        <f t="shared" si="7"/>
        <v>0</v>
      </c>
      <c r="T109" s="2335">
        <f t="shared" si="9"/>
        <v>0</v>
      </c>
      <c r="U109" s="2336"/>
      <c r="V109" s="2284"/>
      <c r="W109" s="426">
        <f>IF(採点Q2!K407="対象外",0,採点Q2!K407)</f>
        <v>3</v>
      </c>
      <c r="X109" s="1659"/>
      <c r="Z109" s="423">
        <f>IF($Z$3=4,#REF!,W109)</f>
        <v>3</v>
      </c>
      <c r="AA109" s="1501">
        <f>重み!D109</f>
        <v>0.1</v>
      </c>
      <c r="AB109" s="423">
        <f>IF($Z$3=4,#REF!,X109)</f>
        <v>0</v>
      </c>
      <c r="AC109" s="1501">
        <f>重み!E109</f>
        <v>0</v>
      </c>
      <c r="AD109" s="417"/>
      <c r="AE109" s="405"/>
      <c r="AF109" s="412">
        <f>重み!M109</f>
        <v>0.1</v>
      </c>
      <c r="AG109" s="182"/>
      <c r="AH109" s="412">
        <f>重み!N109</f>
        <v>0</v>
      </c>
      <c r="AI109" s="2080"/>
      <c r="AJ109" s="2080"/>
      <c r="AK109" s="2081"/>
    </row>
    <row r="110" spans="2:37" ht="14.25" customHeight="1">
      <c r="B110" s="2373"/>
      <c r="C110" s="1805"/>
      <c r="D110" s="945">
        <v>5</v>
      </c>
      <c r="E110" s="1499" t="s">
        <v>1028</v>
      </c>
      <c r="F110" s="1499"/>
      <c r="G110" s="1499"/>
      <c r="H110" s="2362"/>
      <c r="I110" s="2935"/>
      <c r="J110" s="2936"/>
      <c r="K110" s="2936"/>
      <c r="L110" s="2937"/>
      <c r="M110" s="3301">
        <f>採点Q2!G423</f>
        <v>0</v>
      </c>
      <c r="N110" s="3302"/>
      <c r="O110" s="3302"/>
      <c r="P110" s="3303"/>
      <c r="Q110" s="1814">
        <f t="shared" si="6"/>
        <v>3</v>
      </c>
      <c r="R110" s="2400">
        <f t="shared" ref="R110:R147" si="10">AA110</f>
        <v>0.2</v>
      </c>
      <c r="S110" s="2401">
        <f t="shared" si="7"/>
        <v>0</v>
      </c>
      <c r="T110" s="2335">
        <f t="shared" ref="T110:T147" si="11">AC110</f>
        <v>0</v>
      </c>
      <c r="U110" s="2336"/>
      <c r="V110" s="2284"/>
      <c r="W110" s="426">
        <f>IF(採点Q2!F417="対象外",0,採点Q2!F417)</f>
        <v>3</v>
      </c>
      <c r="X110" s="1659"/>
      <c r="Z110" s="423">
        <f>IF($Z$3=4,#REF!,W110)</f>
        <v>3</v>
      </c>
      <c r="AA110" s="1501">
        <f>重み!D110</f>
        <v>0.2</v>
      </c>
      <c r="AB110" s="423">
        <f>IF($Z$3=4,#REF!,X110)</f>
        <v>0</v>
      </c>
      <c r="AC110" s="1501">
        <f>重み!E110</f>
        <v>0</v>
      </c>
      <c r="AD110" s="417"/>
      <c r="AE110" s="405"/>
      <c r="AF110" s="412">
        <f>重み!M110</f>
        <v>0.2</v>
      </c>
      <c r="AG110" s="182"/>
      <c r="AH110" s="412">
        <f>重み!N110</f>
        <v>0</v>
      </c>
      <c r="AI110" s="2080"/>
      <c r="AJ110" s="2080"/>
      <c r="AK110" s="2081"/>
    </row>
    <row r="111" spans="2:37" ht="14.25" customHeight="1" thickBot="1">
      <c r="B111" s="2411"/>
      <c r="C111" s="1857"/>
      <c r="D111" s="1822">
        <v>6</v>
      </c>
      <c r="E111" s="1821" t="s">
        <v>1029</v>
      </c>
      <c r="F111" s="1821"/>
      <c r="G111" s="1821"/>
      <c r="H111" s="2412"/>
      <c r="I111" s="2946"/>
      <c r="J111" s="2947"/>
      <c r="K111" s="2947"/>
      <c r="L111" s="2948"/>
      <c r="M111" s="3307">
        <f>採点Q2!L423</f>
        <v>0</v>
      </c>
      <c r="N111" s="3308"/>
      <c r="O111" s="3308"/>
      <c r="P111" s="3309"/>
      <c r="Q111" s="1838">
        <f t="shared" si="6"/>
        <v>3</v>
      </c>
      <c r="R111" s="2413">
        <f t="shared" si="10"/>
        <v>0.2</v>
      </c>
      <c r="S111" s="2414">
        <f t="shared" si="7"/>
        <v>0</v>
      </c>
      <c r="T111" s="2415">
        <f t="shared" si="11"/>
        <v>0</v>
      </c>
      <c r="U111" s="2416"/>
      <c r="V111" s="2284"/>
      <c r="W111" s="1509">
        <f>IF(採点Q2!K417="対象外",0,採点Q2!K417)</f>
        <v>3</v>
      </c>
      <c r="X111" s="1659"/>
      <c r="Z111" s="423">
        <f>IF($Z$3=4,#REF!,W111)</f>
        <v>3</v>
      </c>
      <c r="AA111" s="1501">
        <f>重み!D111</f>
        <v>0.2</v>
      </c>
      <c r="AB111" s="423">
        <f>IF($Z$3=4,#REF!,X111)</f>
        <v>0</v>
      </c>
      <c r="AC111" s="1501">
        <f>重み!E111</f>
        <v>0</v>
      </c>
      <c r="AD111" s="417"/>
      <c r="AE111" s="405"/>
      <c r="AF111" s="412">
        <f>重み!M111</f>
        <v>0.2</v>
      </c>
      <c r="AG111" s="182"/>
      <c r="AH111" s="412">
        <f>重み!N111</f>
        <v>0</v>
      </c>
      <c r="AI111" s="2080"/>
      <c r="AJ111" s="2080"/>
      <c r="AK111" s="2081"/>
    </row>
    <row r="112" spans="2:37" ht="14.25" customHeight="1" thickBot="1">
      <c r="B112" s="2381" t="s">
        <v>1582</v>
      </c>
      <c r="C112" s="1820" t="s">
        <v>1583</v>
      </c>
      <c r="D112" s="1820"/>
      <c r="E112" s="1820"/>
      <c r="F112" s="1820"/>
      <c r="G112" s="1820"/>
      <c r="H112" s="2417"/>
      <c r="I112" s="2959"/>
      <c r="J112" s="2960"/>
      <c r="K112" s="2960"/>
      <c r="L112" s="2960"/>
      <c r="M112" s="2418"/>
      <c r="N112" s="2419"/>
      <c r="O112" s="2419"/>
      <c r="P112" s="2420"/>
      <c r="Q112" s="2421">
        <f t="shared" si="6"/>
        <v>0</v>
      </c>
      <c r="R112" s="2385">
        <f t="shared" si="10"/>
        <v>0.3</v>
      </c>
      <c r="S112" s="2386">
        <f t="shared" si="7"/>
        <v>0</v>
      </c>
      <c r="T112" s="2387">
        <f t="shared" si="11"/>
        <v>0</v>
      </c>
      <c r="U112" s="2388">
        <f>ROUNDDOWN(AD112,1)</f>
        <v>1.8</v>
      </c>
      <c r="V112" s="2284"/>
      <c r="W112" s="1663"/>
      <c r="X112" s="1659"/>
      <c r="Z112" s="424"/>
      <c r="AA112" s="418">
        <f>重み!D112</f>
        <v>0.3</v>
      </c>
      <c r="AB112" s="424"/>
      <c r="AC112" s="418"/>
      <c r="AD112" s="1680">
        <f>AD113*AA113+AA114*AD114+AD116*AA116+AD117*AA117</f>
        <v>1.85</v>
      </c>
      <c r="AE112" s="405"/>
      <c r="AF112" s="412">
        <f>重み!M112</f>
        <v>0.3</v>
      </c>
      <c r="AG112" s="182"/>
      <c r="AH112" s="412">
        <f>重み!N112</f>
        <v>0</v>
      </c>
      <c r="AI112" s="412" t="s">
        <v>2897</v>
      </c>
      <c r="AJ112" s="412" t="s">
        <v>2899</v>
      </c>
      <c r="AK112" s="182"/>
    </row>
    <row r="113" spans="2:37" ht="13.5">
      <c r="B113" s="2328">
        <v>1</v>
      </c>
      <c r="C113" s="1811" t="s">
        <v>1030</v>
      </c>
      <c r="D113" s="7"/>
      <c r="E113" s="7"/>
      <c r="F113" s="7"/>
      <c r="G113" s="7"/>
      <c r="H113" s="2329"/>
      <c r="I113" s="2961" t="s">
        <v>4175</v>
      </c>
      <c r="J113" s="2962" t="s">
        <v>4176</v>
      </c>
      <c r="K113" s="2963"/>
      <c r="L113" s="2964" t="s">
        <v>4178</v>
      </c>
      <c r="M113" s="3310">
        <f>採点Q3!G19</f>
        <v>0</v>
      </c>
      <c r="N113" s="3311"/>
      <c r="O113" s="3311"/>
      <c r="P113" s="3312"/>
      <c r="Q113" s="1844">
        <f t="shared" si="6"/>
        <v>1</v>
      </c>
      <c r="R113" s="2400">
        <f t="shared" si="10"/>
        <v>0.3</v>
      </c>
      <c r="S113" s="2422">
        <f t="shared" si="7"/>
        <v>0</v>
      </c>
      <c r="T113" s="2335">
        <f t="shared" si="11"/>
        <v>0</v>
      </c>
      <c r="U113" s="2336">
        <f>ROUNDDOWN(AD113,1)</f>
        <v>1</v>
      </c>
      <c r="V113" s="2284"/>
      <c r="W113" s="1508">
        <f>IF(採点Q3!F13="対象外",0,採点Q3!F13)</f>
        <v>1</v>
      </c>
      <c r="X113" s="1659"/>
      <c r="Z113" s="1656">
        <f>IF($Z$3=4,#REF!,W113)</f>
        <v>1</v>
      </c>
      <c r="AA113" s="1501">
        <f>重み!D113</f>
        <v>0.3</v>
      </c>
      <c r="AB113" s="1656">
        <f>IF($Z$3=4,#REF!,X113)</f>
        <v>0</v>
      </c>
      <c r="AC113" s="1501">
        <f>重み!E113</f>
        <v>0</v>
      </c>
      <c r="AD113" s="417">
        <f>IF(AB113=0,Z113,IF(Z113=0,AB113,Z113*AF$6+AB113*AH$6))</f>
        <v>1</v>
      </c>
      <c r="AE113" s="405"/>
      <c r="AF113" s="412">
        <f>重み!M113</f>
        <v>0.3</v>
      </c>
      <c r="AG113" s="182"/>
      <c r="AH113" s="412">
        <f>重み!N113</f>
        <v>0</v>
      </c>
      <c r="AI113" s="2080"/>
      <c r="AJ113" s="2080"/>
      <c r="AK113" s="2081"/>
    </row>
    <row r="114" spans="2:37" ht="14.25" hidden="1" customHeight="1" thickBot="1">
      <c r="B114" s="2423">
        <v>1</v>
      </c>
      <c r="C114" s="1856" t="s">
        <v>2761</v>
      </c>
      <c r="D114" s="1855"/>
      <c r="E114" s="1499"/>
      <c r="F114" s="1499"/>
      <c r="G114" s="1499"/>
      <c r="H114" s="2362"/>
      <c r="I114" s="2965"/>
      <c r="J114" s="2939"/>
      <c r="K114" s="2939"/>
      <c r="L114" s="2940"/>
      <c r="M114" s="2350"/>
      <c r="N114" s="2351"/>
      <c r="O114" s="2351"/>
      <c r="P114" s="2352"/>
      <c r="Q114" s="2424">
        <f t="shared" si="6"/>
        <v>0</v>
      </c>
      <c r="R114" s="2359">
        <f>AA114</f>
        <v>0</v>
      </c>
      <c r="S114" s="2358">
        <f t="shared" si="7"/>
        <v>0</v>
      </c>
      <c r="T114" s="2361">
        <f t="shared" si="11"/>
        <v>0</v>
      </c>
      <c r="U114" s="2357">
        <f>ROUNDDOWN(AD114,1)</f>
        <v>0</v>
      </c>
      <c r="V114" s="2284"/>
      <c r="W114" s="1676">
        <v>100</v>
      </c>
      <c r="X114" s="1659"/>
      <c r="Z114" s="1655">
        <f>Z115*AA115</f>
        <v>0</v>
      </c>
      <c r="AA114" s="1501">
        <f>重み!D114</f>
        <v>0</v>
      </c>
      <c r="AB114" s="1655">
        <f>AB115*AC115</f>
        <v>0</v>
      </c>
      <c r="AC114" s="421">
        <f>SUM(AC115)</f>
        <v>0</v>
      </c>
      <c r="AD114" s="417">
        <f>IF(AB114=0,Z114,IF(Z114=0,AB114,Z114*AF$6+AB114*AH$6))</f>
        <v>0</v>
      </c>
      <c r="AE114" s="405"/>
      <c r="AF114" s="412">
        <f>重み!M114</f>
        <v>0</v>
      </c>
      <c r="AG114" s="182"/>
      <c r="AH114" s="421">
        <f>SUM(AH115)</f>
        <v>0</v>
      </c>
      <c r="AI114" s="2080"/>
      <c r="AJ114" s="2080"/>
      <c r="AK114" s="2081"/>
    </row>
    <row r="115" spans="2:37" ht="13.5" hidden="1" customHeight="1">
      <c r="B115" s="2425"/>
      <c r="C115" s="1854">
        <v>1.1000000000000001</v>
      </c>
      <c r="D115" s="1815" t="s">
        <v>2762</v>
      </c>
      <c r="E115" s="1853"/>
      <c r="F115" s="1853"/>
      <c r="G115" s="1853"/>
      <c r="H115" s="2380"/>
      <c r="I115" s="2966"/>
      <c r="J115" s="2943"/>
      <c r="K115" s="2943"/>
      <c r="L115" s="2944"/>
      <c r="M115" s="2919"/>
      <c r="N115" s="2920"/>
      <c r="O115" s="2920"/>
      <c r="P115" s="2921"/>
      <c r="Q115" s="1844">
        <f t="shared" si="6"/>
        <v>100</v>
      </c>
      <c r="R115" s="2426">
        <f>AA115</f>
        <v>0</v>
      </c>
      <c r="S115" s="2427">
        <f t="shared" si="7"/>
        <v>0</v>
      </c>
      <c r="T115" s="2356">
        <f t="shared" si="11"/>
        <v>0</v>
      </c>
      <c r="U115" s="2357"/>
      <c r="V115" s="2284"/>
      <c r="W115" s="1676">
        <v>100</v>
      </c>
      <c r="X115" s="1659"/>
      <c r="Z115" s="1654">
        <f>IF($Z$3=4,#REF!,W115)</f>
        <v>100</v>
      </c>
      <c r="AA115" s="1501">
        <f>重み!D115</f>
        <v>0</v>
      </c>
      <c r="AB115" s="1654">
        <f>IF($Z$3=4,#REF!,X115)</f>
        <v>0</v>
      </c>
      <c r="AC115" s="1501">
        <f>重み!E115</f>
        <v>0</v>
      </c>
      <c r="AD115" s="417"/>
      <c r="AE115" s="405"/>
      <c r="AF115" s="412">
        <f>重み!M115</f>
        <v>0</v>
      </c>
      <c r="AG115" s="182"/>
      <c r="AH115" s="412">
        <f>重み!N115</f>
        <v>0</v>
      </c>
      <c r="AI115" s="2080"/>
      <c r="AJ115" s="2080"/>
      <c r="AK115" s="2081"/>
    </row>
    <row r="116" spans="2:37" thickBot="1">
      <c r="B116" s="2428">
        <v>2</v>
      </c>
      <c r="C116" s="1813" t="s">
        <v>1031</v>
      </c>
      <c r="D116" s="1499"/>
      <c r="E116" s="1499"/>
      <c r="F116" s="1499"/>
      <c r="G116" s="1499"/>
      <c r="H116" s="2362"/>
      <c r="I116" s="2967" t="s">
        <v>4175</v>
      </c>
      <c r="J116" s="2939"/>
      <c r="K116" s="2939"/>
      <c r="L116" s="2940"/>
      <c r="M116" s="3313">
        <f>採点Q3!G51</f>
        <v>0</v>
      </c>
      <c r="N116" s="3314"/>
      <c r="O116" s="3314"/>
      <c r="P116" s="3315"/>
      <c r="Q116" s="1842">
        <f t="shared" si="6"/>
        <v>2</v>
      </c>
      <c r="R116" s="2426">
        <f t="shared" si="10"/>
        <v>0.4</v>
      </c>
      <c r="S116" s="2427">
        <f t="shared" si="7"/>
        <v>0</v>
      </c>
      <c r="T116" s="2356">
        <f t="shared" si="11"/>
        <v>0</v>
      </c>
      <c r="U116" s="2357">
        <f>ROUNDDOWN(AD116,1)</f>
        <v>2</v>
      </c>
      <c r="V116" s="2284"/>
      <c r="W116" s="1509">
        <f>IF(採点Q3!F45="対象外",0,採点Q3!F45)</f>
        <v>2</v>
      </c>
      <c r="X116" s="1659"/>
      <c r="Z116" s="1656">
        <f>IF($Z$3=4,#REF!,W116)</f>
        <v>2</v>
      </c>
      <c r="AA116" s="1501">
        <f>重み!D116</f>
        <v>0.4</v>
      </c>
      <c r="AB116" s="1656">
        <f>IF($Z$3=4,#REF!,X116)</f>
        <v>0</v>
      </c>
      <c r="AC116" s="1501">
        <f>重み!E116</f>
        <v>0</v>
      </c>
      <c r="AD116" s="417">
        <f>IF(AB116=0,Z116,IF(Z116=0,AB116,Z116*AF$6+AB116*AH$6))</f>
        <v>2</v>
      </c>
      <c r="AE116" s="405"/>
      <c r="AF116" s="412">
        <f>重み!M116</f>
        <v>0.4</v>
      </c>
      <c r="AG116" s="182"/>
      <c r="AH116" s="412">
        <f>重み!N116</f>
        <v>0</v>
      </c>
      <c r="AI116" s="2080"/>
      <c r="AJ116" s="2080"/>
      <c r="AK116" s="2081"/>
    </row>
    <row r="117" spans="2:37" thickBot="1">
      <c r="B117" s="2348">
        <v>3</v>
      </c>
      <c r="C117" s="1806" t="s">
        <v>1032</v>
      </c>
      <c r="D117" s="1853"/>
      <c r="E117" s="1853"/>
      <c r="F117" s="1853"/>
      <c r="G117" s="1853"/>
      <c r="H117" s="2380"/>
      <c r="I117" s="2945"/>
      <c r="J117" s="2939"/>
      <c r="K117" s="2939"/>
      <c r="L117" s="2940"/>
      <c r="M117" s="2350"/>
      <c r="N117" s="2351"/>
      <c r="O117" s="2351"/>
      <c r="P117" s="2352"/>
      <c r="Q117" s="2379">
        <f t="shared" si="6"/>
        <v>2.5</v>
      </c>
      <c r="R117" s="2429">
        <f>AA117</f>
        <v>0.3</v>
      </c>
      <c r="S117" s="2430">
        <f t="shared" si="7"/>
        <v>0</v>
      </c>
      <c r="T117" s="2356">
        <f t="shared" si="11"/>
        <v>0</v>
      </c>
      <c r="U117" s="2357">
        <f>ROUNDDOWN(AD117,1)</f>
        <v>2.5</v>
      </c>
      <c r="V117" s="2284"/>
      <c r="W117" s="428"/>
      <c r="X117" s="1659"/>
      <c r="Z117" s="1655">
        <f>Z118*AA118+Z119*AA119</f>
        <v>2.5</v>
      </c>
      <c r="AA117" s="1501">
        <f>重み!D117</f>
        <v>0.3</v>
      </c>
      <c r="AB117" s="1655">
        <f>AB118*AC118+AB119*AC119</f>
        <v>0</v>
      </c>
      <c r="AC117" s="421">
        <f>SUM(AC118,AC119)</f>
        <v>0</v>
      </c>
      <c r="AD117" s="417">
        <f>IF(AB117=0,Z117,IF(Z117=0,AB117,Z117*AF$6+AB117*AH$6))</f>
        <v>2.5</v>
      </c>
      <c r="AE117" s="405"/>
      <c r="AF117" s="412">
        <f>重み!M117</f>
        <v>0.3</v>
      </c>
      <c r="AG117" s="182"/>
      <c r="AH117" s="421">
        <f>SUM(AH118,AH119)</f>
        <v>0</v>
      </c>
      <c r="AI117" s="2080"/>
      <c r="AJ117" s="2080"/>
      <c r="AK117" s="2081"/>
    </row>
    <row r="118" spans="2:37" ht="13.5">
      <c r="B118" s="2328"/>
      <c r="C118" s="1818">
        <v>3.1</v>
      </c>
      <c r="D118" s="1812" t="s">
        <v>1033</v>
      </c>
      <c r="E118" s="1853"/>
      <c r="F118" s="1853"/>
      <c r="G118" s="1853"/>
      <c r="H118" s="2380"/>
      <c r="I118" s="2935"/>
      <c r="J118" s="2936"/>
      <c r="K118" s="2936"/>
      <c r="L118" s="2937"/>
      <c r="M118" s="3298">
        <f>採点Q3!G72</f>
        <v>0</v>
      </c>
      <c r="N118" s="3299"/>
      <c r="O118" s="3299"/>
      <c r="P118" s="3300"/>
      <c r="Q118" s="1844">
        <f t="shared" si="6"/>
        <v>2</v>
      </c>
      <c r="R118" s="2400">
        <f t="shared" si="10"/>
        <v>0.5</v>
      </c>
      <c r="S118" s="2399">
        <f t="shared" si="7"/>
        <v>0</v>
      </c>
      <c r="T118" s="2335">
        <f t="shared" si="11"/>
        <v>0</v>
      </c>
      <c r="U118" s="2336"/>
      <c r="V118" s="2284"/>
      <c r="W118" s="1508">
        <f>IF(採点Q3!F66="対象外",0,採点Q3!F66)</f>
        <v>2</v>
      </c>
      <c r="X118" s="1659"/>
      <c r="Z118" s="1654">
        <f>IF($Z$3=4,#REF!,W118)</f>
        <v>2</v>
      </c>
      <c r="AA118" s="1501">
        <f>重み!D118</f>
        <v>0.5</v>
      </c>
      <c r="AB118" s="1654">
        <f>IF($Z$3=4,#REF!,X118)</f>
        <v>0</v>
      </c>
      <c r="AC118" s="1501">
        <f>重み!E118</f>
        <v>0</v>
      </c>
      <c r="AD118" s="417"/>
      <c r="AE118" s="405"/>
      <c r="AF118" s="412">
        <f>重み!M118</f>
        <v>0.5</v>
      </c>
      <c r="AG118" s="182"/>
      <c r="AH118" s="412">
        <f>重み!N118</f>
        <v>0</v>
      </c>
      <c r="AI118" s="2080"/>
      <c r="AJ118" s="2080"/>
      <c r="AK118" s="2081"/>
    </row>
    <row r="119" spans="2:37" thickBot="1">
      <c r="B119" s="2328"/>
      <c r="C119" s="1819">
        <v>3.2</v>
      </c>
      <c r="D119" s="1807" t="s">
        <v>1034</v>
      </c>
      <c r="E119" s="1499"/>
      <c r="F119" s="1499"/>
      <c r="G119" s="1499"/>
      <c r="H119" s="2362"/>
      <c r="I119" s="2968" t="s">
        <v>4175</v>
      </c>
      <c r="J119" s="2969" t="s">
        <v>4176</v>
      </c>
      <c r="K119" s="2970"/>
      <c r="L119" s="2971" t="s">
        <v>4178</v>
      </c>
      <c r="M119" s="3301">
        <f>採点Q3!G106</f>
        <v>0</v>
      </c>
      <c r="N119" s="3302"/>
      <c r="O119" s="3302"/>
      <c r="P119" s="3303"/>
      <c r="Q119" s="1842">
        <f t="shared" si="6"/>
        <v>3</v>
      </c>
      <c r="R119" s="2400">
        <f t="shared" si="10"/>
        <v>0.5</v>
      </c>
      <c r="S119" s="2399">
        <f t="shared" si="7"/>
        <v>0</v>
      </c>
      <c r="T119" s="2431">
        <f t="shared" si="11"/>
        <v>0</v>
      </c>
      <c r="U119" s="2336"/>
      <c r="V119" s="2284"/>
      <c r="W119" s="1509">
        <f>IF(採点Q3!F100="対象外",0,採点Q3!F100)</f>
        <v>3</v>
      </c>
      <c r="X119" s="1659"/>
      <c r="Z119" s="1654">
        <f>IF($Z$3=4,#REF!,W119)</f>
        <v>3</v>
      </c>
      <c r="AA119" s="1501">
        <f>重み!D119</f>
        <v>0.5</v>
      </c>
      <c r="AB119" s="1654">
        <f>IF($Z$3=4,#REF!,X119)</f>
        <v>0</v>
      </c>
      <c r="AC119" s="1501">
        <f>重み!E119</f>
        <v>0</v>
      </c>
      <c r="AD119" s="417"/>
      <c r="AE119" s="405"/>
      <c r="AF119" s="412">
        <f>重み!M119</f>
        <v>0.5</v>
      </c>
      <c r="AG119" s="182"/>
      <c r="AH119" s="412">
        <f>重み!N119</f>
        <v>0</v>
      </c>
      <c r="AI119" s="2080"/>
      <c r="AJ119" s="2080"/>
      <c r="AK119" s="2081"/>
    </row>
    <row r="120" spans="2:37" ht="14.25" hidden="1" customHeight="1" thickBot="1">
      <c r="B120" s="1852"/>
      <c r="C120" s="1851"/>
      <c r="D120" s="1850"/>
      <c r="E120" s="1849"/>
      <c r="F120" s="1849"/>
      <c r="G120" s="1849"/>
      <c r="H120" s="1848"/>
      <c r="I120" s="2935"/>
      <c r="J120" s="2936"/>
      <c r="K120" s="2936"/>
      <c r="L120" s="2937"/>
      <c r="M120" s="2913"/>
      <c r="N120" s="2914"/>
      <c r="O120" s="2914"/>
      <c r="P120" s="2915"/>
      <c r="Q120" s="2408">
        <f t="shared" si="6"/>
        <v>0</v>
      </c>
      <c r="R120" s="2432">
        <f t="shared" si="10"/>
        <v>0</v>
      </c>
      <c r="S120" s="2433">
        <f t="shared" si="7"/>
        <v>0</v>
      </c>
      <c r="T120" s="2434">
        <f t="shared" si="11"/>
        <v>0</v>
      </c>
      <c r="U120" s="2336"/>
      <c r="V120" s="2284"/>
      <c r="W120" s="1661"/>
      <c r="X120" s="1659"/>
      <c r="Z120" s="424"/>
      <c r="AA120" s="418">
        <f>重み!D120</f>
        <v>0</v>
      </c>
      <c r="AB120" s="424"/>
      <c r="AC120" s="418">
        <f>重み!E120</f>
        <v>0</v>
      </c>
      <c r="AD120" s="417"/>
      <c r="AE120" s="405"/>
      <c r="AF120" s="412">
        <f>重み!M120</f>
        <v>0</v>
      </c>
      <c r="AG120" s="182"/>
      <c r="AH120" s="412">
        <f>重み!N120</f>
        <v>0</v>
      </c>
      <c r="AI120" s="2080"/>
      <c r="AJ120" s="2080"/>
      <c r="AK120" s="2081"/>
    </row>
    <row r="121" spans="2:37" ht="16.5" thickBot="1">
      <c r="B121" s="1847" t="s">
        <v>1035</v>
      </c>
      <c r="C121" s="1846"/>
      <c r="D121" s="1846"/>
      <c r="E121" s="1846"/>
      <c r="F121" s="1846"/>
      <c r="G121" s="1846"/>
      <c r="H121" s="2435"/>
      <c r="I121" s="2972"/>
      <c r="J121" s="2973"/>
      <c r="K121" s="2973"/>
      <c r="L121" s="2973"/>
      <c r="M121" s="2436"/>
      <c r="N121" s="2437"/>
      <c r="O121" s="2437"/>
      <c r="P121" s="2438"/>
      <c r="Q121" s="2439"/>
      <c r="R121" s="2440">
        <f t="shared" si="10"/>
        <v>0</v>
      </c>
      <c r="S121" s="2441"/>
      <c r="T121" s="2442">
        <f t="shared" si="11"/>
        <v>0</v>
      </c>
      <c r="U121" s="2443">
        <f>ROUNDDOWN(AD121,1)</f>
        <v>2.6</v>
      </c>
      <c r="V121" s="2284"/>
      <c r="W121" s="430"/>
      <c r="X121" s="1659"/>
      <c r="Z121" s="424"/>
      <c r="AA121" s="1501">
        <f>重み!D121</f>
        <v>0</v>
      </c>
      <c r="AB121" s="424"/>
      <c r="AC121" s="1501"/>
      <c r="AD121" s="1680">
        <f>AA122*AD122+AA145*AD145+AA172*AD172</f>
        <v>2.6993333333333331</v>
      </c>
      <c r="AE121" s="405"/>
      <c r="AF121" s="412">
        <f>重み!M121</f>
        <v>0</v>
      </c>
      <c r="AG121" s="182"/>
      <c r="AH121" s="412">
        <f>重み!N121</f>
        <v>0</v>
      </c>
      <c r="AI121" s="2080"/>
      <c r="AJ121" s="2080"/>
      <c r="AK121" s="2081"/>
    </row>
    <row r="122" spans="2:37" ht="15.75" thickBot="1">
      <c r="B122" s="2444" t="s">
        <v>1036</v>
      </c>
      <c r="C122" s="1845" t="s">
        <v>1037</v>
      </c>
      <c r="D122" s="1845"/>
      <c r="E122" s="1845"/>
      <c r="F122" s="1845"/>
      <c r="G122" s="1845"/>
      <c r="H122" s="2445"/>
      <c r="I122" s="2974"/>
      <c r="J122" s="2975"/>
      <c r="K122" s="2975"/>
      <c r="L122" s="2975"/>
      <c r="M122" s="2321"/>
      <c r="N122" s="2322"/>
      <c r="O122" s="2322"/>
      <c r="P122" s="2323"/>
      <c r="Q122" s="2446">
        <f t="shared" si="6"/>
        <v>0</v>
      </c>
      <c r="R122" s="2325">
        <f t="shared" si="10"/>
        <v>0.4</v>
      </c>
      <c r="S122" s="2326">
        <f t="shared" si="7"/>
        <v>0</v>
      </c>
      <c r="T122" s="2447">
        <f t="shared" si="11"/>
        <v>0</v>
      </c>
      <c r="U122" s="2327">
        <f>ROUNDDOWN(AD122,1)</f>
        <v>2.2000000000000002</v>
      </c>
      <c r="V122" s="2284"/>
      <c r="W122" s="430"/>
      <c r="X122" s="1659"/>
      <c r="Z122" s="424"/>
      <c r="AA122" s="418">
        <f>重み!D122</f>
        <v>0.4</v>
      </c>
      <c r="AB122" s="424"/>
      <c r="AC122" s="418"/>
      <c r="AD122" s="1680">
        <f>AD123*AA123+AD124*AA124+AD129*AA129+AD138*AA138</f>
        <v>2.2033333333333336</v>
      </c>
      <c r="AE122" s="405"/>
      <c r="AF122" s="412">
        <f>重み!M122</f>
        <v>0.4</v>
      </c>
      <c r="AG122" s="182"/>
      <c r="AH122" s="412">
        <f>重み!N122</f>
        <v>0</v>
      </c>
      <c r="AI122" s="412" t="s">
        <v>2897</v>
      </c>
      <c r="AJ122" s="412" t="s">
        <v>2899</v>
      </c>
      <c r="AK122" s="182"/>
    </row>
    <row r="123" spans="2:37" ht="14.25" customHeight="1" thickBot="1">
      <c r="B123" s="2328">
        <v>1</v>
      </c>
      <c r="C123" s="1811" t="s">
        <v>1798</v>
      </c>
      <c r="D123" s="1811"/>
      <c r="E123" s="1811"/>
      <c r="F123" s="1811"/>
      <c r="G123" s="1811"/>
      <c r="H123" s="2448"/>
      <c r="I123" s="2951"/>
      <c r="J123" s="2976" t="s">
        <v>4176</v>
      </c>
      <c r="K123" s="2977"/>
      <c r="L123" s="2978" t="s">
        <v>4178</v>
      </c>
      <c r="M123" s="3310">
        <f>'採点LR1 '!G28</f>
        <v>0</v>
      </c>
      <c r="N123" s="3311"/>
      <c r="O123" s="3311"/>
      <c r="P123" s="3312"/>
      <c r="Q123" s="2449">
        <f t="shared" si="6"/>
        <v>3.6</v>
      </c>
      <c r="R123" s="2400">
        <f t="shared" si="10"/>
        <v>0.2</v>
      </c>
      <c r="S123" s="2450">
        <f t="shared" si="7"/>
        <v>0</v>
      </c>
      <c r="T123" s="2335">
        <f t="shared" si="11"/>
        <v>0</v>
      </c>
      <c r="U123" s="2336">
        <f>ROUNDDOWN(AD123,1)</f>
        <v>3.6</v>
      </c>
      <c r="V123" s="2284"/>
      <c r="W123" s="3075">
        <f>'採点LR1 '!F21</f>
        <v>3.6</v>
      </c>
      <c r="X123" s="1659"/>
      <c r="Z123" s="1656">
        <f>IF($Z$3=4,#REF!,W123)</f>
        <v>3.6</v>
      </c>
      <c r="AA123" s="1501">
        <f>重み!D123</f>
        <v>0.2</v>
      </c>
      <c r="AB123" s="1656">
        <f>IF($Z$3=4,#REF!,X123)</f>
        <v>0</v>
      </c>
      <c r="AC123" s="1501">
        <f>重み!E123</f>
        <v>0</v>
      </c>
      <c r="AD123" s="417">
        <f>IF(AB123=0,Z123,Z123*AF$6+AB123*AH$6)</f>
        <v>3.6</v>
      </c>
      <c r="AE123" s="405"/>
      <c r="AF123" s="412">
        <f>重み!M123</f>
        <v>0.2</v>
      </c>
      <c r="AG123" s="182"/>
      <c r="AH123" s="412">
        <f>重み!N123</f>
        <v>0</v>
      </c>
      <c r="AI123" s="2080"/>
      <c r="AJ123" s="2080"/>
      <c r="AK123" s="2081"/>
    </row>
    <row r="124" spans="2:37" thickBot="1">
      <c r="B124" s="2451">
        <v>2</v>
      </c>
      <c r="C124" s="1813" t="s">
        <v>1038</v>
      </c>
      <c r="D124" s="1813"/>
      <c r="E124" s="1813"/>
      <c r="F124" s="1813"/>
      <c r="G124" s="1813"/>
      <c r="H124" s="2452"/>
      <c r="I124" s="2979"/>
      <c r="J124" s="2980" t="s">
        <v>4176</v>
      </c>
      <c r="K124" s="2981"/>
      <c r="L124" s="2982" t="s">
        <v>4178</v>
      </c>
      <c r="M124" s="3313">
        <f>'採点LR1 '!G39</f>
        <v>0</v>
      </c>
      <c r="N124" s="3314"/>
      <c r="O124" s="3314"/>
      <c r="P124" s="3315"/>
      <c r="Q124" s="2449">
        <f t="shared" si="6"/>
        <v>2.2999999999999998</v>
      </c>
      <c r="R124" s="2429">
        <f t="shared" si="10"/>
        <v>0.1</v>
      </c>
      <c r="S124" s="2430">
        <f t="shared" si="7"/>
        <v>0</v>
      </c>
      <c r="T124" s="2356">
        <f t="shared" si="11"/>
        <v>0</v>
      </c>
      <c r="U124" s="2357">
        <f>ROUNDDOWN(AD124,1)</f>
        <v>2.2999999999999998</v>
      </c>
      <c r="V124" s="2284"/>
      <c r="W124" s="3075">
        <f>'採点LR1 '!F33</f>
        <v>2.333333333333333</v>
      </c>
      <c r="X124" s="1659"/>
      <c r="Z124" s="1656">
        <f>IF($Z$3=4,#REF!,W124)</f>
        <v>2.333333333333333</v>
      </c>
      <c r="AA124" s="1501">
        <f>重み!D124</f>
        <v>0.1</v>
      </c>
      <c r="AB124" s="1656">
        <f>IF($Z$3=4,#REF!,X124)</f>
        <v>0</v>
      </c>
      <c r="AC124" s="1501">
        <f>重み!E124</f>
        <v>0</v>
      </c>
      <c r="AD124" s="417">
        <f>IF(AB124=0,Z124,Z124*AF$6+AB124*AH$6)</f>
        <v>2.333333333333333</v>
      </c>
      <c r="AE124" s="405"/>
      <c r="AF124" s="412">
        <f>重み!M124</f>
        <v>0.1</v>
      </c>
      <c r="AG124" s="182"/>
      <c r="AH124" s="412">
        <f>重み!N124</f>
        <v>0</v>
      </c>
      <c r="AI124" s="2080"/>
      <c r="AJ124" s="2080"/>
      <c r="AK124" s="2081"/>
    </row>
    <row r="125" spans="2:37" ht="15" hidden="1" customHeight="1" thickBot="1">
      <c r="B125" s="2290"/>
      <c r="C125" s="1819"/>
      <c r="D125" s="1813"/>
      <c r="E125" s="1813"/>
      <c r="F125" s="1813"/>
      <c r="G125" s="1813"/>
      <c r="H125" s="2452"/>
      <c r="I125" s="2935"/>
      <c r="J125" s="2936"/>
      <c r="K125" s="2936"/>
      <c r="L125" s="2937"/>
      <c r="M125" s="2910">
        <f>'採点LR1 '!G30</f>
        <v>0</v>
      </c>
      <c r="N125" s="2911"/>
      <c r="O125" s="2911"/>
      <c r="P125" s="2912"/>
      <c r="Q125" s="1841">
        <f t="shared" si="6"/>
        <v>0</v>
      </c>
      <c r="R125" s="2343">
        <f t="shared" ref="R125:R131" si="12">AA125</f>
        <v>0</v>
      </c>
      <c r="S125" s="2401">
        <f t="shared" si="7"/>
        <v>0</v>
      </c>
      <c r="T125" s="2335">
        <f t="shared" ref="T125:T131" si="13">AC125</f>
        <v>0</v>
      </c>
      <c r="U125" s="2340"/>
      <c r="V125" s="2284"/>
      <c r="W125" s="3076"/>
      <c r="X125" s="1659"/>
      <c r="Z125" s="1"/>
      <c r="AA125" s="1501">
        <f>重み!D125</f>
        <v>0</v>
      </c>
      <c r="AB125" s="1"/>
      <c r="AC125" s="1501">
        <f>重み!E125</f>
        <v>0</v>
      </c>
      <c r="AD125" s="417"/>
      <c r="AE125" s="405"/>
      <c r="AF125" s="412">
        <f>重み!M125</f>
        <v>0</v>
      </c>
      <c r="AG125" s="182"/>
      <c r="AH125" s="412">
        <f>重み!N125</f>
        <v>0</v>
      </c>
      <c r="AI125" s="2080"/>
      <c r="AJ125" s="2080"/>
      <c r="AK125" s="2081"/>
    </row>
    <row r="126" spans="2:37" ht="15" hidden="1" customHeight="1" thickBot="1">
      <c r="B126" s="2290"/>
      <c r="C126" s="1819"/>
      <c r="D126" s="1807"/>
      <c r="E126" s="1813"/>
      <c r="F126" s="1813"/>
      <c r="G126" s="1813"/>
      <c r="H126" s="2452"/>
      <c r="I126" s="2935"/>
      <c r="J126" s="2936"/>
      <c r="K126" s="2936"/>
      <c r="L126" s="2937"/>
      <c r="M126" s="2913">
        <f>'採点LR1 '!G31</f>
        <v>0</v>
      </c>
      <c r="N126" s="2914"/>
      <c r="O126" s="2914"/>
      <c r="P126" s="2915"/>
      <c r="Q126" s="1842">
        <f t="shared" si="6"/>
        <v>0</v>
      </c>
      <c r="R126" s="2343">
        <f t="shared" si="12"/>
        <v>0</v>
      </c>
      <c r="S126" s="2401">
        <f t="shared" si="7"/>
        <v>0</v>
      </c>
      <c r="T126" s="2335">
        <f>AC126</f>
        <v>0</v>
      </c>
      <c r="U126" s="2336"/>
      <c r="V126" s="2284"/>
      <c r="W126" s="3076"/>
      <c r="X126" s="1659"/>
      <c r="Z126" s="1"/>
      <c r="AA126" s="1501">
        <f>重み!D126</f>
        <v>0</v>
      </c>
      <c r="AB126" s="1"/>
      <c r="AC126" s="1501">
        <f>重み!E126</f>
        <v>0</v>
      </c>
      <c r="AD126" s="417"/>
      <c r="AE126" s="405"/>
      <c r="AF126" s="412">
        <f>重み!M126</f>
        <v>0</v>
      </c>
      <c r="AG126" s="182"/>
      <c r="AH126" s="412">
        <f>重み!N126</f>
        <v>0</v>
      </c>
      <c r="AI126" s="2080"/>
      <c r="AJ126" s="2080"/>
      <c r="AK126" s="2081"/>
    </row>
    <row r="127" spans="2:37" ht="15" hidden="1" customHeight="1" thickBot="1">
      <c r="B127" s="2290"/>
      <c r="C127" s="1843"/>
      <c r="D127" s="1807"/>
      <c r="E127" s="1813"/>
      <c r="F127" s="1813"/>
      <c r="G127" s="1813"/>
      <c r="H127" s="2452"/>
      <c r="M127" s="2913">
        <f>'採点LR1 '!G32</f>
        <v>0</v>
      </c>
      <c r="N127" s="2914"/>
      <c r="O127" s="2914"/>
      <c r="P127" s="2915"/>
      <c r="Q127" s="1844">
        <f t="shared" si="6"/>
        <v>0</v>
      </c>
      <c r="R127" s="2343">
        <f t="shared" si="12"/>
        <v>0</v>
      </c>
      <c r="S127" s="2401">
        <f t="shared" si="7"/>
        <v>0</v>
      </c>
      <c r="T127" s="2335">
        <f>AC127</f>
        <v>0</v>
      </c>
      <c r="U127" s="2336"/>
      <c r="V127" s="2284"/>
      <c r="W127" s="3076"/>
      <c r="X127" s="1659"/>
      <c r="Z127" s="1"/>
      <c r="AA127" s="1501">
        <f>重み!D127</f>
        <v>0</v>
      </c>
      <c r="AB127" s="1"/>
      <c r="AC127" s="1501">
        <f>重み!E127</f>
        <v>0</v>
      </c>
      <c r="AD127" s="417"/>
      <c r="AE127" s="405"/>
      <c r="AF127" s="412">
        <f>重み!M127</f>
        <v>0</v>
      </c>
      <c r="AG127" s="182"/>
      <c r="AH127" s="412">
        <f>重み!N127</f>
        <v>0</v>
      </c>
      <c r="AI127" s="2080"/>
      <c r="AJ127" s="2080"/>
      <c r="AK127" s="2081"/>
    </row>
    <row r="128" spans="2:37" ht="15" hidden="1" customHeight="1" thickBot="1">
      <c r="B128" s="2453"/>
      <c r="C128" s="1843"/>
      <c r="D128" s="1807"/>
      <c r="E128" s="1813"/>
      <c r="F128" s="1813"/>
      <c r="G128" s="1813"/>
      <c r="H128" s="2452"/>
      <c r="I128" s="2935"/>
      <c r="J128" s="2936"/>
      <c r="K128" s="2936"/>
      <c r="L128" s="2937"/>
      <c r="M128" s="2916">
        <f>'採点LR1 '!G33</f>
        <v>3</v>
      </c>
      <c r="N128" s="2917"/>
      <c r="O128" s="2917"/>
      <c r="P128" s="2918"/>
      <c r="Q128" s="1842">
        <f t="shared" si="6"/>
        <v>0</v>
      </c>
      <c r="R128" s="2343">
        <f t="shared" si="12"/>
        <v>0</v>
      </c>
      <c r="S128" s="2401">
        <f t="shared" si="7"/>
        <v>0</v>
      </c>
      <c r="T128" s="2335">
        <f>AC128</f>
        <v>0</v>
      </c>
      <c r="U128" s="2391"/>
      <c r="V128" s="2284"/>
      <c r="W128" s="3076"/>
      <c r="X128" s="1659"/>
      <c r="Z128" s="1"/>
      <c r="AA128" s="1501">
        <f>重み!D128</f>
        <v>0</v>
      </c>
      <c r="AB128" s="1"/>
      <c r="AC128" s="1501">
        <f>重み!E128</f>
        <v>0</v>
      </c>
      <c r="AD128" s="417"/>
      <c r="AE128" s="405"/>
      <c r="AF128" s="412">
        <f>重み!M128</f>
        <v>0</v>
      </c>
      <c r="AG128" s="182"/>
      <c r="AH128" s="412">
        <f>重み!N128</f>
        <v>0</v>
      </c>
      <c r="AI128" s="2080"/>
      <c r="AJ128" s="2080"/>
      <c r="AK128" s="2081"/>
    </row>
    <row r="129" spans="2:37" thickBot="1">
      <c r="B129" s="2451">
        <v>3</v>
      </c>
      <c r="C129" s="1813" t="s">
        <v>1043</v>
      </c>
      <c r="D129" s="1813"/>
      <c r="E129" s="1813"/>
      <c r="F129" s="1813"/>
      <c r="G129" s="1813"/>
      <c r="H129" s="2452"/>
      <c r="I129" s="2938"/>
      <c r="J129" s="2980" t="s">
        <v>4176</v>
      </c>
      <c r="K129" s="2983"/>
      <c r="L129" s="2982" t="s">
        <v>4178</v>
      </c>
      <c r="M129" s="3313">
        <f>'採点LR1 '!G84</f>
        <v>0</v>
      </c>
      <c r="N129" s="3314"/>
      <c r="O129" s="3314"/>
      <c r="P129" s="3315"/>
      <c r="Q129" s="2449">
        <f t="shared" si="6"/>
        <v>1.3</v>
      </c>
      <c r="R129" s="2429">
        <f t="shared" si="12"/>
        <v>0.5</v>
      </c>
      <c r="S129" s="2427">
        <f t="shared" si="7"/>
        <v>0</v>
      </c>
      <c r="T129" s="2356">
        <f t="shared" si="13"/>
        <v>0</v>
      </c>
      <c r="U129" s="2357">
        <f>ROUNDDOWN(AD129,1)</f>
        <v>1.3</v>
      </c>
      <c r="V129" s="2284"/>
      <c r="W129" s="3075">
        <f>'採点LR1 '!F63</f>
        <v>1.3</v>
      </c>
      <c r="X129" s="1659"/>
      <c r="Z129" s="1656">
        <f>IF($Z$3=4,#REF!,W129)</f>
        <v>1.3</v>
      </c>
      <c r="AA129" s="1501">
        <f>重み!D129</f>
        <v>0.5</v>
      </c>
      <c r="AB129" s="1656">
        <f>IF($Z$3=4,#REF!,X129)</f>
        <v>0</v>
      </c>
      <c r="AC129" s="1501">
        <f>重み!E129</f>
        <v>0</v>
      </c>
      <c r="AD129" s="417">
        <f>IF(AB129=0,Z129,Z129*AF$6+AB129*AH$6)</f>
        <v>1.3</v>
      </c>
      <c r="AE129" s="405"/>
      <c r="AF129" s="412">
        <f>重み!M129</f>
        <v>0.5</v>
      </c>
      <c r="AG129" s="182"/>
      <c r="AH129" s="412">
        <f>重み!N129</f>
        <v>0</v>
      </c>
      <c r="AI129" s="2080"/>
      <c r="AJ129" s="2080"/>
      <c r="AK129" s="2081"/>
    </row>
    <row r="130" spans="2:37" ht="14.25" customHeight="1">
      <c r="B130" s="2454"/>
      <c r="C130" s="1830"/>
      <c r="D130" s="3192" t="s">
        <v>4268</v>
      </c>
      <c r="E130" s="3193"/>
      <c r="F130" s="3193"/>
      <c r="G130" s="3193"/>
      <c r="H130" s="3194"/>
      <c r="I130" s="2935"/>
      <c r="J130" s="2936"/>
      <c r="K130" s="2936"/>
      <c r="L130" s="2937"/>
      <c r="M130" s="2910"/>
      <c r="N130" s="2911"/>
      <c r="O130" s="2911"/>
      <c r="P130" s="2912"/>
      <c r="Q130" s="1841">
        <f>'採点LR1 '!G63</f>
        <v>2</v>
      </c>
      <c r="R130" s="2363">
        <f t="shared" si="12"/>
        <v>0.33333333333333331</v>
      </c>
      <c r="S130" s="2401">
        <f t="shared" si="7"/>
        <v>0</v>
      </c>
      <c r="T130" s="2455">
        <f t="shared" si="13"/>
        <v>0</v>
      </c>
      <c r="U130" s="2364"/>
      <c r="V130" s="2284"/>
      <c r="W130" s="3075"/>
      <c r="X130" s="1659"/>
      <c r="Z130" s="1"/>
      <c r="AA130" s="1501">
        <f>重み!D130</f>
        <v>0.33333333333333331</v>
      </c>
      <c r="AB130" s="1"/>
      <c r="AC130" s="1501">
        <f>重み!F130</f>
        <v>0</v>
      </c>
      <c r="AD130" s="417"/>
      <c r="AE130" s="405"/>
      <c r="AF130" s="412">
        <f>重み!M130</f>
        <v>0.33333333333333331</v>
      </c>
      <c r="AG130" s="182"/>
      <c r="AH130" s="412">
        <f>重み!N130</f>
        <v>0</v>
      </c>
      <c r="AI130" s="2080"/>
      <c r="AJ130" s="2080"/>
      <c r="AK130" s="2081"/>
    </row>
    <row r="131" spans="2:37" ht="14.25" customHeight="1" thickBot="1">
      <c r="B131" s="2454"/>
      <c r="C131" s="3195"/>
      <c r="D131" s="1829" t="s">
        <v>4269</v>
      </c>
      <c r="E131" s="1828"/>
      <c r="F131" s="1828"/>
      <c r="G131" s="1828"/>
      <c r="H131" s="2468"/>
      <c r="I131" s="2935"/>
      <c r="J131" s="2936"/>
      <c r="K131" s="2936"/>
      <c r="L131" s="2937"/>
      <c r="M131" s="2913"/>
      <c r="N131" s="2914"/>
      <c r="O131" s="2914"/>
      <c r="P131" s="2915"/>
      <c r="Q131" s="3191">
        <f>'採点LR1 '!G77</f>
        <v>1</v>
      </c>
      <c r="R131" s="2363">
        <f t="shared" si="12"/>
        <v>0.66666666666666663</v>
      </c>
      <c r="S131" s="2401">
        <f t="shared" si="7"/>
        <v>0</v>
      </c>
      <c r="T131" s="2455">
        <f t="shared" si="13"/>
        <v>0</v>
      </c>
      <c r="U131" s="2364"/>
      <c r="V131" s="2284"/>
      <c r="W131" s="3077"/>
      <c r="X131" s="1659"/>
      <c r="Z131" s="1"/>
      <c r="AA131" s="1501">
        <f>重み!D131</f>
        <v>0.66666666666666663</v>
      </c>
      <c r="AB131" s="1"/>
      <c r="AC131" s="1501">
        <f>重み!F131</f>
        <v>0</v>
      </c>
      <c r="AD131" s="417"/>
      <c r="AE131" s="405"/>
      <c r="AF131" s="412">
        <f>重み!M131</f>
        <v>0.66666666666666663</v>
      </c>
      <c r="AG131" s="182"/>
      <c r="AH131" s="412">
        <f>重み!N131</f>
        <v>0</v>
      </c>
      <c r="AI131" s="2080"/>
      <c r="AJ131" s="2080"/>
      <c r="AK131" s="2081"/>
    </row>
    <row r="132" spans="2:37" ht="14.25" hidden="1" customHeight="1">
      <c r="B132" s="2456"/>
      <c r="C132" s="1840">
        <v>3.1</v>
      </c>
      <c r="D132" s="1839" t="s">
        <v>1044</v>
      </c>
      <c r="E132" s="1328"/>
      <c r="F132" s="1328"/>
      <c r="G132" s="1328"/>
      <c r="H132" s="2345"/>
      <c r="I132" s="2935"/>
      <c r="J132" s="2936"/>
      <c r="K132" s="2936"/>
      <c r="L132" s="2937"/>
      <c r="M132" s="2913"/>
      <c r="N132" s="2914"/>
      <c r="O132" s="2914"/>
      <c r="P132" s="2915"/>
      <c r="Q132" s="1841">
        <f t="shared" si="6"/>
        <v>0</v>
      </c>
      <c r="R132" s="2363">
        <f t="shared" si="10"/>
        <v>0</v>
      </c>
      <c r="S132" s="2401">
        <f t="shared" si="7"/>
        <v>0</v>
      </c>
      <c r="T132" s="2455">
        <f t="shared" si="11"/>
        <v>0</v>
      </c>
      <c r="U132" s="2364"/>
      <c r="V132" s="2284"/>
      <c r="W132" s="3075" t="e">
        <f>[3]採点LR1!F103</f>
        <v>#REF!</v>
      </c>
      <c r="X132" s="1659"/>
      <c r="Z132" s="1"/>
      <c r="AA132" s="1501">
        <f>重み!D132</f>
        <v>0</v>
      </c>
      <c r="AB132" s="1"/>
      <c r="AC132" s="1501">
        <f>重み!E132</f>
        <v>0</v>
      </c>
      <c r="AD132" s="417"/>
      <c r="AE132" s="405"/>
      <c r="AF132" s="412">
        <f>重み!M132</f>
        <v>0</v>
      </c>
      <c r="AG132" s="182"/>
      <c r="AH132" s="412">
        <f>重み!N132</f>
        <v>0</v>
      </c>
      <c r="AI132" s="2080"/>
      <c r="AJ132" s="2080"/>
      <c r="AK132" s="2081"/>
    </row>
    <row r="133" spans="2:37" ht="14.25" hidden="1" customHeight="1">
      <c r="B133" s="2456"/>
      <c r="C133" s="1840">
        <v>3.2</v>
      </c>
      <c r="D133" s="1839" t="s">
        <v>1045</v>
      </c>
      <c r="E133" s="1328"/>
      <c r="F133" s="1328"/>
      <c r="G133" s="1328"/>
      <c r="H133" s="2345"/>
      <c r="I133" s="2966"/>
      <c r="J133" s="2943"/>
      <c r="K133" s="2943"/>
      <c r="L133" s="2944"/>
      <c r="M133" s="2913"/>
      <c r="N133" s="2914"/>
      <c r="O133" s="2914"/>
      <c r="P133" s="2915"/>
      <c r="Q133" s="1814">
        <f t="shared" si="6"/>
        <v>0</v>
      </c>
      <c r="R133" s="2363">
        <f t="shared" si="10"/>
        <v>0</v>
      </c>
      <c r="S133" s="2401">
        <f t="shared" si="7"/>
        <v>0</v>
      </c>
      <c r="T133" s="2455">
        <f t="shared" si="11"/>
        <v>0</v>
      </c>
      <c r="U133" s="2364"/>
      <c r="V133" s="2284"/>
      <c r="W133" s="3078"/>
      <c r="X133" s="1667"/>
      <c r="Z133" s="1"/>
      <c r="AA133" s="1501">
        <f>重み!D133</f>
        <v>0</v>
      </c>
      <c r="AB133" s="1"/>
      <c r="AC133" s="1501">
        <f>重み!E133</f>
        <v>0</v>
      </c>
      <c r="AD133" s="417"/>
      <c r="AE133" s="405"/>
      <c r="AF133" s="412">
        <f>重み!M133</f>
        <v>0</v>
      </c>
      <c r="AG133" s="182"/>
      <c r="AH133" s="412">
        <f>重み!N133</f>
        <v>0</v>
      </c>
      <c r="AI133" s="2080"/>
      <c r="AJ133" s="2080"/>
      <c r="AK133" s="2081"/>
    </row>
    <row r="134" spans="2:37" ht="14.25" hidden="1" customHeight="1" thickBot="1">
      <c r="B134" s="2456"/>
      <c r="C134" s="1840">
        <v>3.3</v>
      </c>
      <c r="D134" s="1839" t="s">
        <v>1046</v>
      </c>
      <c r="E134" s="1328"/>
      <c r="F134" s="1328"/>
      <c r="G134" s="1328"/>
      <c r="H134" s="2345"/>
      <c r="I134" s="2935"/>
      <c r="J134" s="2936"/>
      <c r="K134" s="2936"/>
      <c r="L134" s="2937"/>
      <c r="M134" s="2913"/>
      <c r="N134" s="2914"/>
      <c r="O134" s="2914"/>
      <c r="P134" s="2915"/>
      <c r="Q134" s="1814">
        <f t="shared" si="6"/>
        <v>0</v>
      </c>
      <c r="R134" s="2363">
        <f t="shared" si="10"/>
        <v>0</v>
      </c>
      <c r="S134" s="2401">
        <f t="shared" si="7"/>
        <v>0</v>
      </c>
      <c r="T134" s="2455">
        <f t="shared" si="11"/>
        <v>0</v>
      </c>
      <c r="U134" s="2364"/>
      <c r="V134" s="2284"/>
      <c r="W134" s="3077" t="e">
        <f>[3]採点LR1!F114</f>
        <v>#REF!</v>
      </c>
      <c r="X134" s="1667"/>
      <c r="Z134" s="1"/>
      <c r="AA134" s="1501">
        <f>重み!D134</f>
        <v>0</v>
      </c>
      <c r="AB134" s="1"/>
      <c r="AC134" s="1501">
        <f>重み!E134</f>
        <v>0</v>
      </c>
      <c r="AD134" s="417"/>
      <c r="AE134" s="405"/>
      <c r="AF134" s="412">
        <f>重み!M134</f>
        <v>0</v>
      </c>
      <c r="AG134" s="182"/>
      <c r="AH134" s="412">
        <f>重み!N134</f>
        <v>0</v>
      </c>
      <c r="AI134" s="2080"/>
      <c r="AJ134" s="2080"/>
      <c r="AK134" s="2081"/>
    </row>
    <row r="135" spans="2:37" ht="14.25" hidden="1" customHeight="1">
      <c r="B135" s="2456"/>
      <c r="C135" s="1840">
        <v>3.4</v>
      </c>
      <c r="D135" s="1839" t="s">
        <v>1047</v>
      </c>
      <c r="E135" s="1328"/>
      <c r="F135" s="1328"/>
      <c r="G135" s="1328"/>
      <c r="H135" s="2345"/>
      <c r="I135" s="2935"/>
      <c r="J135" s="2984"/>
      <c r="K135" s="2985"/>
      <c r="L135" s="2986"/>
      <c r="M135" s="2913"/>
      <c r="N135" s="2914"/>
      <c r="O135" s="2914"/>
      <c r="P135" s="2915"/>
      <c r="Q135" s="1814">
        <f t="shared" si="6"/>
        <v>0</v>
      </c>
      <c r="R135" s="2363">
        <f t="shared" si="10"/>
        <v>0</v>
      </c>
      <c r="S135" s="2401">
        <f t="shared" si="7"/>
        <v>0</v>
      </c>
      <c r="T135" s="2455">
        <f t="shared" si="11"/>
        <v>0</v>
      </c>
      <c r="U135" s="2364"/>
      <c r="V135" s="2284"/>
      <c r="W135" s="3079"/>
      <c r="X135" s="1659"/>
      <c r="Z135" s="1"/>
      <c r="AA135" s="1501">
        <f>重み!D135</f>
        <v>0</v>
      </c>
      <c r="AB135" s="1"/>
      <c r="AC135" s="1501">
        <f>重み!E135</f>
        <v>0</v>
      </c>
      <c r="AD135" s="417"/>
      <c r="AE135" s="405"/>
      <c r="AF135" s="412">
        <f>重み!M135</f>
        <v>0</v>
      </c>
      <c r="AG135" s="182"/>
      <c r="AH135" s="412">
        <f>重み!N135</f>
        <v>0</v>
      </c>
      <c r="AI135" s="2080"/>
      <c r="AJ135" s="2080"/>
      <c r="AK135" s="2081"/>
    </row>
    <row r="136" spans="2:37" ht="14.25" hidden="1" customHeight="1" thickBot="1">
      <c r="B136" s="2456"/>
      <c r="C136" s="1840">
        <v>3.5</v>
      </c>
      <c r="D136" s="1839" t="s">
        <v>1048</v>
      </c>
      <c r="E136" s="1328"/>
      <c r="F136" s="1328"/>
      <c r="G136" s="1328"/>
      <c r="H136" s="2345"/>
      <c r="I136" s="2935"/>
      <c r="J136" s="2984"/>
      <c r="K136" s="2985"/>
      <c r="L136" s="2986"/>
      <c r="M136" s="2913"/>
      <c r="N136" s="2914"/>
      <c r="O136" s="2914"/>
      <c r="P136" s="2915"/>
      <c r="Q136" s="1814">
        <f t="shared" si="6"/>
        <v>0</v>
      </c>
      <c r="R136" s="2457">
        <f t="shared" si="10"/>
        <v>0</v>
      </c>
      <c r="S136" s="2401">
        <f t="shared" si="7"/>
        <v>0</v>
      </c>
      <c r="T136" s="2455">
        <f t="shared" si="11"/>
        <v>0</v>
      </c>
      <c r="U136" s="2364"/>
      <c r="V136" s="2284"/>
      <c r="W136" s="3080"/>
      <c r="X136" s="1659"/>
      <c r="Z136" s="1"/>
      <c r="AA136" s="1501">
        <f>重み!D136</f>
        <v>0</v>
      </c>
      <c r="AB136" s="1"/>
      <c r="AC136" s="1501">
        <f>重み!E136</f>
        <v>0</v>
      </c>
      <c r="AD136" s="417"/>
      <c r="AE136" s="405"/>
      <c r="AF136" s="412">
        <f>重み!M136</f>
        <v>0</v>
      </c>
      <c r="AG136" s="182"/>
      <c r="AH136" s="412">
        <f>重み!N136</f>
        <v>0</v>
      </c>
      <c r="AI136" s="2080"/>
      <c r="AJ136" s="2080"/>
      <c r="AK136" s="2081"/>
    </row>
    <row r="137" spans="2:37" ht="14.25" hidden="1" customHeight="1" thickBot="1">
      <c r="B137" s="2458"/>
      <c r="C137" s="1840">
        <v>3.6</v>
      </c>
      <c r="D137" s="1839" t="s">
        <v>1585</v>
      </c>
      <c r="E137" s="1328"/>
      <c r="F137" s="1328"/>
      <c r="G137" s="1328"/>
      <c r="H137" s="2345"/>
      <c r="I137" s="2935"/>
      <c r="J137" s="2936"/>
      <c r="K137" s="2936"/>
      <c r="L137" s="2937"/>
      <c r="M137" s="2916"/>
      <c r="N137" s="2917"/>
      <c r="O137" s="2917"/>
      <c r="P137" s="2918"/>
      <c r="Q137" s="1838">
        <f t="shared" si="6"/>
        <v>0</v>
      </c>
      <c r="R137" s="2459">
        <f t="shared" si="10"/>
        <v>0</v>
      </c>
      <c r="S137" s="2460">
        <f t="shared" si="7"/>
        <v>0</v>
      </c>
      <c r="T137" s="2455">
        <f t="shared" si="11"/>
        <v>0</v>
      </c>
      <c r="U137" s="2364"/>
      <c r="V137" s="2284"/>
      <c r="W137" s="3081"/>
      <c r="X137" s="1667"/>
      <c r="Z137" s="1"/>
      <c r="AA137" s="1501">
        <f>重み!D137</f>
        <v>0</v>
      </c>
      <c r="AB137" s="1"/>
      <c r="AC137" s="1501">
        <f>重み!E137</f>
        <v>0</v>
      </c>
      <c r="AD137" s="417"/>
      <c r="AE137" s="405"/>
      <c r="AF137" s="412">
        <f>重み!M137</f>
        <v>0</v>
      </c>
      <c r="AG137" s="182"/>
      <c r="AH137" s="412">
        <f>重み!N137</f>
        <v>0</v>
      </c>
      <c r="AI137" s="2080"/>
      <c r="AJ137" s="2080"/>
      <c r="AK137" s="2081"/>
    </row>
    <row r="138" spans="2:37" ht="13.5">
      <c r="B138" s="2451">
        <v>4</v>
      </c>
      <c r="C138" s="1813" t="s">
        <v>1049</v>
      </c>
      <c r="D138" s="1811"/>
      <c r="E138" s="1811"/>
      <c r="F138" s="1811"/>
      <c r="G138" s="1811"/>
      <c r="H138" s="2329"/>
      <c r="I138" s="2942"/>
      <c r="J138" s="2987"/>
      <c r="K138" s="2988"/>
      <c r="L138" s="2989"/>
      <c r="M138" s="2330"/>
      <c r="N138" s="2331"/>
      <c r="O138" s="2331"/>
      <c r="P138" s="2332"/>
      <c r="Q138" s="2372">
        <f t="shared" si="6"/>
        <v>3</v>
      </c>
      <c r="R138" s="2354">
        <f t="shared" si="10"/>
        <v>0.2</v>
      </c>
      <c r="S138" s="2427">
        <f t="shared" si="7"/>
        <v>0</v>
      </c>
      <c r="T138" s="2356">
        <f>AC138</f>
        <v>0</v>
      </c>
      <c r="U138" s="2357">
        <f>ROUNDDOWN(AD138,1)</f>
        <v>3</v>
      </c>
      <c r="V138" s="2284"/>
      <c r="W138" s="3082"/>
      <c r="X138" s="1659"/>
      <c r="Z138" s="1655">
        <f>Z139*AA139+Z142*AA142</f>
        <v>3</v>
      </c>
      <c r="AA138" s="1501">
        <f>重み!D138</f>
        <v>0.2</v>
      </c>
      <c r="AB138" s="1655">
        <f>AB139*AC139+AB142*AC142</f>
        <v>0</v>
      </c>
      <c r="AC138" s="421">
        <f>SUM(AC139,AC142)</f>
        <v>0</v>
      </c>
      <c r="AD138" s="417">
        <f>IF(AB138=0,Z138,Z138*AF$6+AB138*AH$6)</f>
        <v>3</v>
      </c>
      <c r="AE138" s="405"/>
      <c r="AF138" s="412">
        <f>重み!M138</f>
        <v>0.2</v>
      </c>
      <c r="AG138" s="182"/>
      <c r="AH138" s="421">
        <f>SUM(AH139,AH142)</f>
        <v>0</v>
      </c>
      <c r="AI138" s="2080"/>
      <c r="AJ138" s="2080"/>
      <c r="AK138" s="2081"/>
    </row>
    <row r="139" spans="2:37" ht="14.25" customHeight="1" thickBot="1">
      <c r="B139" s="2373"/>
      <c r="C139" s="1818"/>
      <c r="D139" s="1836" t="s">
        <v>847</v>
      </c>
      <c r="E139" s="1826"/>
      <c r="F139" s="1826"/>
      <c r="G139" s="1826"/>
      <c r="H139" s="2349"/>
      <c r="I139" s="2935"/>
      <c r="J139" s="2936"/>
      <c r="K139" s="2936"/>
      <c r="L139" s="2937"/>
      <c r="M139" s="2369"/>
      <c r="N139" s="2370"/>
      <c r="O139" s="2370"/>
      <c r="P139" s="2371"/>
      <c r="Q139" s="2379">
        <f t="shared" ref="Q139:Q193" si="14">ROUNDDOWN(Z139,1)</f>
        <v>0</v>
      </c>
      <c r="R139" s="2334">
        <f t="shared" si="10"/>
        <v>0</v>
      </c>
      <c r="S139" s="2460">
        <f t="shared" ref="S139:S194" si="15">ROUNDDOWN(AB139,1)</f>
        <v>0</v>
      </c>
      <c r="T139" s="2335">
        <f>AC139</f>
        <v>0</v>
      </c>
      <c r="U139" s="2336"/>
      <c r="V139" s="2284"/>
      <c r="W139" s="3082"/>
      <c r="X139" s="1659"/>
      <c r="Z139" s="420">
        <f>SUMPRODUCT(Z140:Z141,AA140:AA141)</f>
        <v>0</v>
      </c>
      <c r="AA139" s="1501">
        <f>重み!D139</f>
        <v>0</v>
      </c>
      <c r="AB139" s="420">
        <f>SUMPRODUCT(AB140:AB141,AC140:AC141)</f>
        <v>0</v>
      </c>
      <c r="AC139" s="1501">
        <f>重み!E139</f>
        <v>0</v>
      </c>
      <c r="AD139" s="417"/>
      <c r="AE139" s="405"/>
      <c r="AF139" s="412">
        <f>重み!M139</f>
        <v>0.33333333333333331</v>
      </c>
      <c r="AG139" s="182"/>
      <c r="AH139" s="412">
        <f>重み!N139</f>
        <v>0</v>
      </c>
      <c r="AI139" s="2080"/>
      <c r="AJ139" s="2080"/>
      <c r="AK139" s="2081"/>
    </row>
    <row r="140" spans="2:37" ht="14.25" customHeight="1">
      <c r="B140" s="2373"/>
      <c r="C140" s="1835"/>
      <c r="D140" s="945">
        <v>4.0999999999999996</v>
      </c>
      <c r="E140" s="1499" t="s">
        <v>836</v>
      </c>
      <c r="F140" s="1499"/>
      <c r="G140" s="1499"/>
      <c r="H140" s="2362"/>
      <c r="I140" s="2935"/>
      <c r="J140" s="2941" t="s">
        <v>4176</v>
      </c>
      <c r="K140" s="2985"/>
      <c r="L140" s="2990" t="s">
        <v>4178</v>
      </c>
      <c r="M140" s="3301">
        <f>'採点LR1 '!G134</f>
        <v>0</v>
      </c>
      <c r="N140" s="3302"/>
      <c r="O140" s="3302"/>
      <c r="P140" s="3303"/>
      <c r="Q140" s="1841">
        <f t="shared" si="14"/>
        <v>0</v>
      </c>
      <c r="R140" s="2400">
        <f t="shared" si="10"/>
        <v>0</v>
      </c>
      <c r="S140" s="2461">
        <f t="shared" si="15"/>
        <v>0</v>
      </c>
      <c r="T140" s="2335">
        <f t="shared" si="11"/>
        <v>0</v>
      </c>
      <c r="U140" s="2336"/>
      <c r="V140" s="2284"/>
      <c r="W140" s="3075">
        <f>'採点LR1 '!F128</f>
        <v>0</v>
      </c>
      <c r="X140" s="1667"/>
      <c r="Z140" s="423">
        <f>IF($Z$3=4,#REF!,W140)</f>
        <v>0</v>
      </c>
      <c r="AA140" s="1501">
        <f>重み!D140</f>
        <v>0</v>
      </c>
      <c r="AB140" s="423">
        <f>IF($Z$3=4,#REF!,X140)</f>
        <v>0</v>
      </c>
      <c r="AC140" s="1501">
        <f>重み!E140</f>
        <v>0</v>
      </c>
      <c r="AD140" s="417"/>
      <c r="AE140" s="405"/>
      <c r="AF140" s="412">
        <f>重み!M140</f>
        <v>0.16666666666666666</v>
      </c>
      <c r="AG140" s="182"/>
      <c r="AH140" s="412"/>
      <c r="AI140" s="2080"/>
      <c r="AJ140" s="2080"/>
      <c r="AK140" s="2081"/>
    </row>
    <row r="141" spans="2:37" ht="14.25" customHeight="1" thickBot="1">
      <c r="B141" s="2373"/>
      <c r="C141" s="1834"/>
      <c r="D141" s="945">
        <v>4.2</v>
      </c>
      <c r="E141" s="1499" t="s">
        <v>844</v>
      </c>
      <c r="F141" s="1499"/>
      <c r="G141" s="1499"/>
      <c r="H141" s="2362"/>
      <c r="I141" s="2935"/>
      <c r="J141" s="2941" t="s">
        <v>4176</v>
      </c>
      <c r="K141" s="2985"/>
      <c r="L141" s="2990" t="s">
        <v>4178</v>
      </c>
      <c r="M141" s="3301">
        <f>'採点LR1 '!G165</f>
        <v>0</v>
      </c>
      <c r="N141" s="3302"/>
      <c r="O141" s="3302"/>
      <c r="P141" s="3303"/>
      <c r="Q141" s="1838">
        <f t="shared" si="14"/>
        <v>0</v>
      </c>
      <c r="R141" s="2400">
        <f t="shared" si="10"/>
        <v>0</v>
      </c>
      <c r="S141" s="2461">
        <f t="shared" si="15"/>
        <v>0</v>
      </c>
      <c r="T141" s="2335">
        <f t="shared" si="11"/>
        <v>0</v>
      </c>
      <c r="U141" s="2336"/>
      <c r="V141" s="2284"/>
      <c r="W141" s="3077">
        <f>'採点LR1 '!F159</f>
        <v>0</v>
      </c>
      <c r="X141" s="1667"/>
      <c r="Z141" s="423">
        <f>IF($Z$3=4,#REF!,W141)</f>
        <v>0</v>
      </c>
      <c r="AA141" s="1501">
        <f>重み!D141</f>
        <v>0</v>
      </c>
      <c r="AB141" s="423">
        <f>IF($Z$3=4,#REF!,X141)</f>
        <v>0</v>
      </c>
      <c r="AC141" s="1501">
        <f>重み!E141</f>
        <v>0</v>
      </c>
      <c r="AD141" s="417"/>
      <c r="AE141" s="405"/>
      <c r="AF141" s="412">
        <f>重み!M141</f>
        <v>0.16666666666666666</v>
      </c>
      <c r="AG141" s="182"/>
      <c r="AH141" s="412"/>
      <c r="AI141" s="2080"/>
      <c r="AJ141" s="2080"/>
      <c r="AK141" s="2081"/>
    </row>
    <row r="142" spans="2:37" ht="14.25" customHeight="1" thickBot="1">
      <c r="B142" s="2373"/>
      <c r="C142" s="1818"/>
      <c r="D142" s="1836" t="s">
        <v>848</v>
      </c>
      <c r="E142" s="1826"/>
      <c r="F142" s="1826"/>
      <c r="G142" s="1826"/>
      <c r="H142" s="2349"/>
      <c r="I142" s="2935"/>
      <c r="J142" s="2936"/>
      <c r="K142" s="2936"/>
      <c r="L142" s="2937"/>
      <c r="M142" s="2330"/>
      <c r="N142" s="2331"/>
      <c r="O142" s="2331"/>
      <c r="P142" s="2332"/>
      <c r="Q142" s="2379">
        <f t="shared" si="14"/>
        <v>3</v>
      </c>
      <c r="R142" s="2334">
        <f>AA142</f>
        <v>1</v>
      </c>
      <c r="S142" s="2460">
        <f t="shared" si="15"/>
        <v>0</v>
      </c>
      <c r="T142" s="2335">
        <f>AC142</f>
        <v>0</v>
      </c>
      <c r="U142" s="2336"/>
      <c r="V142" s="2284"/>
      <c r="W142" s="3082"/>
      <c r="X142" s="1659"/>
      <c r="Z142" s="420">
        <f>SUMPRODUCT(Z143:Z144,AA143:AA144)</f>
        <v>3</v>
      </c>
      <c r="AA142" s="1501">
        <f>重み!D142</f>
        <v>1</v>
      </c>
      <c r="AB142" s="420">
        <f>SUMPRODUCT(AB143:AB144,AC143:AC144)</f>
        <v>0</v>
      </c>
      <c r="AC142" s="1501">
        <f>重み!E142</f>
        <v>0</v>
      </c>
      <c r="AD142" s="417"/>
      <c r="AE142" s="405"/>
      <c r="AF142" s="412">
        <f>重み!M142</f>
        <v>0.66666666666666663</v>
      </c>
      <c r="AG142" s="182"/>
      <c r="AH142" s="412">
        <f>重み!N142</f>
        <v>0</v>
      </c>
      <c r="AI142" s="2080"/>
      <c r="AJ142" s="2080"/>
      <c r="AK142" s="2081"/>
    </row>
    <row r="143" spans="2:37" ht="14.25" customHeight="1">
      <c r="B143" s="2373"/>
      <c r="C143" s="1835"/>
      <c r="D143" s="945">
        <v>4.0999999999999996</v>
      </c>
      <c r="E143" s="1499" t="s">
        <v>836</v>
      </c>
      <c r="F143" s="1499"/>
      <c r="G143" s="1499"/>
      <c r="H143" s="2362"/>
      <c r="I143" s="2935"/>
      <c r="J143" s="2941" t="s">
        <v>4176</v>
      </c>
      <c r="K143" s="2985"/>
      <c r="L143" s="2990" t="s">
        <v>4178</v>
      </c>
      <c r="M143" s="3301">
        <f>'採点LR1 '!G134</f>
        <v>0</v>
      </c>
      <c r="N143" s="3302"/>
      <c r="O143" s="3302"/>
      <c r="P143" s="3303"/>
      <c r="Q143" s="1841">
        <f t="shared" si="14"/>
        <v>3</v>
      </c>
      <c r="R143" s="2400">
        <f t="shared" si="10"/>
        <v>0.5</v>
      </c>
      <c r="S143" s="2461">
        <f t="shared" si="15"/>
        <v>0</v>
      </c>
      <c r="T143" s="2335">
        <f t="shared" si="11"/>
        <v>0</v>
      </c>
      <c r="U143" s="2336"/>
      <c r="V143" s="2284"/>
      <c r="W143" s="3075">
        <f>'採点LR1 '!K128</f>
        <v>3</v>
      </c>
      <c r="X143" s="1659"/>
      <c r="Z143" s="423">
        <f>IF($Z$3=4,#REF!,W143)</f>
        <v>3</v>
      </c>
      <c r="AA143" s="1501">
        <f>重み!D143</f>
        <v>0.5</v>
      </c>
      <c r="AB143" s="423">
        <f>IF($Z$3=4,#REF!,X143)</f>
        <v>0</v>
      </c>
      <c r="AC143" s="1501">
        <f>重み!E143</f>
        <v>0</v>
      </c>
      <c r="AD143" s="417"/>
      <c r="AE143" s="405"/>
      <c r="AF143" s="412">
        <f>重み!M143</f>
        <v>0.33333333333333331</v>
      </c>
      <c r="AG143" s="182"/>
      <c r="AH143" s="412"/>
      <c r="AI143" s="2080"/>
      <c r="AJ143" s="2080"/>
      <c r="AK143" s="2081"/>
    </row>
    <row r="144" spans="2:37" ht="14.25" customHeight="1" thickBot="1">
      <c r="B144" s="2462"/>
      <c r="C144" s="1834"/>
      <c r="D144" s="945">
        <v>4.2</v>
      </c>
      <c r="E144" s="1499" t="s">
        <v>844</v>
      </c>
      <c r="F144" s="1499"/>
      <c r="G144" s="1499"/>
      <c r="H144" s="2362"/>
      <c r="I144" s="2935"/>
      <c r="J144" s="2941" t="s">
        <v>4176</v>
      </c>
      <c r="K144" s="2985"/>
      <c r="L144" s="2990" t="s">
        <v>4178</v>
      </c>
      <c r="M144" s="3307">
        <f>'採点LR1 '!G165</f>
        <v>0</v>
      </c>
      <c r="N144" s="3308"/>
      <c r="O144" s="3308"/>
      <c r="P144" s="3309"/>
      <c r="Q144" s="1838">
        <f t="shared" si="14"/>
        <v>3</v>
      </c>
      <c r="R144" s="2400">
        <f t="shared" si="10"/>
        <v>0.5</v>
      </c>
      <c r="S144" s="2461">
        <f t="shared" si="15"/>
        <v>0</v>
      </c>
      <c r="T144" s="2335">
        <f t="shared" si="11"/>
        <v>0</v>
      </c>
      <c r="U144" s="2336"/>
      <c r="V144" s="2284"/>
      <c r="W144" s="3077">
        <f>'採点LR1 '!K159</f>
        <v>3</v>
      </c>
      <c r="X144" s="1659"/>
      <c r="Z144" s="423">
        <f>IF($Z$3=4,#REF!,W144)</f>
        <v>3</v>
      </c>
      <c r="AA144" s="1501">
        <f>重み!D144</f>
        <v>0.5</v>
      </c>
      <c r="AB144" s="423">
        <f>IF($Z$3=4,#REF!,X144)</f>
        <v>0</v>
      </c>
      <c r="AC144" s="1501">
        <f>重み!E144</f>
        <v>0</v>
      </c>
      <c r="AD144" s="417"/>
      <c r="AE144" s="405"/>
      <c r="AF144" s="412">
        <f>重み!M144</f>
        <v>0.33333333333333331</v>
      </c>
      <c r="AG144" s="182"/>
      <c r="AH144" s="412"/>
      <c r="AI144" s="2080"/>
      <c r="AJ144" s="2080"/>
      <c r="AK144" s="2081"/>
    </row>
    <row r="145" spans="2:37" ht="14.25" customHeight="1" thickBot="1">
      <c r="B145" s="2381" t="s">
        <v>1587</v>
      </c>
      <c r="C145" s="1820" t="s">
        <v>1588</v>
      </c>
      <c r="D145" s="1820"/>
      <c r="E145" s="1820"/>
      <c r="F145" s="1820"/>
      <c r="G145" s="1820"/>
      <c r="H145" s="2417"/>
      <c r="I145" s="2949"/>
      <c r="J145" s="2950"/>
      <c r="K145" s="2950"/>
      <c r="L145" s="2950"/>
      <c r="M145" s="2418"/>
      <c r="N145" s="2419"/>
      <c r="O145" s="2419"/>
      <c r="P145" s="2420"/>
      <c r="Q145" s="2384">
        <f t="shared" si="14"/>
        <v>0</v>
      </c>
      <c r="R145" s="2385">
        <f t="shared" si="10"/>
        <v>0.3</v>
      </c>
      <c r="S145" s="2463">
        <f t="shared" si="15"/>
        <v>0</v>
      </c>
      <c r="T145" s="2387">
        <f t="shared" si="11"/>
        <v>0</v>
      </c>
      <c r="U145" s="2388">
        <f>ROUNDDOWN(AD145,1)</f>
        <v>3</v>
      </c>
      <c r="V145" s="2284"/>
      <c r="W145" s="1661"/>
      <c r="X145" s="1659"/>
      <c r="Z145" s="424"/>
      <c r="AA145" s="418">
        <f>重み!D145</f>
        <v>0.3</v>
      </c>
      <c r="AB145" s="424"/>
      <c r="AC145" s="418"/>
      <c r="AD145" s="1680">
        <f>AD146*AA146+AD151*AA151+AA166*AD166</f>
        <v>3.06</v>
      </c>
      <c r="AE145" s="405"/>
      <c r="AF145" s="412">
        <f>重み!M145</f>
        <v>0.3</v>
      </c>
      <c r="AG145" s="182"/>
      <c r="AH145" s="412">
        <f>重み!N145</f>
        <v>0</v>
      </c>
      <c r="AI145" s="412" t="s">
        <v>2897</v>
      </c>
      <c r="AJ145" s="412" t="s">
        <v>2899</v>
      </c>
      <c r="AK145" s="182"/>
    </row>
    <row r="146" spans="2:37" ht="14.25" customHeight="1" thickBot="1">
      <c r="B146" s="2464">
        <v>1</v>
      </c>
      <c r="C146" s="1811" t="s">
        <v>1051</v>
      </c>
      <c r="D146" s="1811"/>
      <c r="E146" s="1811"/>
      <c r="F146" s="1811"/>
      <c r="G146" s="1811"/>
      <c r="H146" s="2329"/>
      <c r="I146" s="2991"/>
      <c r="J146" s="2992" t="s">
        <v>4176</v>
      </c>
      <c r="K146" s="2993" t="s">
        <v>4177</v>
      </c>
      <c r="L146" s="2994"/>
      <c r="M146" s="2330"/>
      <c r="N146" s="2331"/>
      <c r="O146" s="2331"/>
      <c r="P146" s="2332"/>
      <c r="Q146" s="2379">
        <f t="shared" si="14"/>
        <v>3</v>
      </c>
      <c r="R146" s="2334">
        <f>AA146</f>
        <v>0.2</v>
      </c>
      <c r="S146" s="2460">
        <f t="shared" si="15"/>
        <v>0</v>
      </c>
      <c r="T146" s="2335">
        <f>AC146</f>
        <v>0</v>
      </c>
      <c r="U146" s="2336">
        <f>ROUNDDOWN(AD146,1)</f>
        <v>3</v>
      </c>
      <c r="V146" s="2284"/>
      <c r="W146" s="1664"/>
      <c r="X146" s="1659"/>
      <c r="Z146" s="1655">
        <f>Z147*AA147+Z148*AA148</f>
        <v>3</v>
      </c>
      <c r="AA146" s="1501">
        <f>重み!D146</f>
        <v>0.2</v>
      </c>
      <c r="AB146" s="1655">
        <f>AB147*AC147+AB148*AC148</f>
        <v>0</v>
      </c>
      <c r="AC146" s="421">
        <f>SUM(AC147,AC148)</f>
        <v>0</v>
      </c>
      <c r="AD146" s="417">
        <f>IF(AB146=0,Z146,IF(Z146=0,AB146,Z146*AF$6+AB146*AH$6))</f>
        <v>3</v>
      </c>
      <c r="AE146" s="405"/>
      <c r="AF146" s="412">
        <f>重み!M146</f>
        <v>0.2</v>
      </c>
      <c r="AG146" s="182"/>
      <c r="AH146" s="421">
        <f>SUM(AH147,AH148)</f>
        <v>0</v>
      </c>
      <c r="AI146" s="2080"/>
      <c r="AJ146" s="2080"/>
      <c r="AK146" s="2081"/>
    </row>
    <row r="147" spans="2:37" ht="14.25" customHeight="1" thickBot="1">
      <c r="B147" s="2373"/>
      <c r="C147" s="1819">
        <v>1.1000000000000001</v>
      </c>
      <c r="D147" s="1499" t="s">
        <v>1052</v>
      </c>
      <c r="E147" s="1499"/>
      <c r="F147" s="1499"/>
      <c r="G147" s="1499"/>
      <c r="H147" s="2362"/>
      <c r="I147" s="2935"/>
      <c r="J147" s="2984"/>
      <c r="K147" s="2985"/>
      <c r="L147" s="2937"/>
      <c r="M147" s="3298">
        <f>採点LR2!G20</f>
        <v>0</v>
      </c>
      <c r="N147" s="3299"/>
      <c r="O147" s="3299"/>
      <c r="P147" s="3300"/>
      <c r="Q147" s="2449">
        <f t="shared" si="14"/>
        <v>3</v>
      </c>
      <c r="R147" s="2465">
        <f t="shared" si="10"/>
        <v>0.4</v>
      </c>
      <c r="S147" s="2466">
        <f t="shared" si="15"/>
        <v>0</v>
      </c>
      <c r="T147" s="2361">
        <f t="shared" si="11"/>
        <v>0</v>
      </c>
      <c r="U147" s="2340"/>
      <c r="V147" s="2284"/>
      <c r="W147" s="1508">
        <f>採点LR2!F14</f>
        <v>3</v>
      </c>
      <c r="X147" s="1667"/>
      <c r="Z147" s="1654">
        <f>IF($Z$3=4,#REF!,W147)</f>
        <v>3</v>
      </c>
      <c r="AA147" s="1501">
        <f>重み!D147</f>
        <v>0.4</v>
      </c>
      <c r="AB147" s="1654">
        <f>IF($Z$3=4,#REF!,X147)</f>
        <v>0</v>
      </c>
      <c r="AC147" s="1501">
        <f>重み!E147</f>
        <v>0</v>
      </c>
      <c r="AD147" s="417"/>
      <c r="AE147" s="405"/>
      <c r="AF147" s="412">
        <f>重み!M147</f>
        <v>0.4</v>
      </c>
      <c r="AG147" s="182"/>
      <c r="AH147" s="412">
        <f>重み!N147</f>
        <v>0</v>
      </c>
      <c r="AI147" s="2080"/>
      <c r="AJ147" s="2080"/>
      <c r="AK147" s="2081"/>
    </row>
    <row r="148" spans="2:37" ht="14.25" customHeight="1" thickBot="1">
      <c r="B148" s="2373"/>
      <c r="C148" s="1837">
        <v>1.2</v>
      </c>
      <c r="D148" s="1836" t="s">
        <v>1053</v>
      </c>
      <c r="E148" s="1826"/>
      <c r="F148" s="1826"/>
      <c r="G148" s="1826"/>
      <c r="H148" s="2349"/>
      <c r="I148" s="2935"/>
      <c r="J148" s="2984"/>
      <c r="K148" s="2985"/>
      <c r="L148" s="2937"/>
      <c r="M148" s="2330"/>
      <c r="N148" s="2331"/>
      <c r="O148" s="2331"/>
      <c r="P148" s="2332"/>
      <c r="Q148" s="2379">
        <f t="shared" si="14"/>
        <v>3</v>
      </c>
      <c r="R148" s="2334">
        <f>AA148</f>
        <v>0.6</v>
      </c>
      <c r="S148" s="2460">
        <f t="shared" si="15"/>
        <v>0</v>
      </c>
      <c r="T148" s="2335">
        <f>AC148</f>
        <v>0</v>
      </c>
      <c r="U148" s="2336"/>
      <c r="V148" s="2284"/>
      <c r="W148" s="431"/>
      <c r="X148" s="1659"/>
      <c r="Z148" s="420">
        <f>SUMPRODUCT(Z149:Z150,AA149:AA150)</f>
        <v>3</v>
      </c>
      <c r="AA148" s="1501">
        <f>重み!D148</f>
        <v>0.6</v>
      </c>
      <c r="AB148" s="420">
        <f>SUMPRODUCT(AB149:AB150,AC149:AC150)</f>
        <v>0</v>
      </c>
      <c r="AC148" s="1501">
        <f>重み!E148</f>
        <v>0</v>
      </c>
      <c r="AD148" s="417"/>
      <c r="AE148" s="405"/>
      <c r="AF148" s="412">
        <f>重み!M148</f>
        <v>0.6</v>
      </c>
      <c r="AG148" s="182"/>
      <c r="AH148" s="412">
        <f>重み!N148</f>
        <v>0</v>
      </c>
      <c r="AI148" s="2080"/>
      <c r="AJ148" s="2080"/>
      <c r="AK148" s="2081"/>
    </row>
    <row r="149" spans="2:37" ht="14.25" customHeight="1">
      <c r="B149" s="2373"/>
      <c r="C149" s="1835"/>
      <c r="D149" s="945">
        <v>1</v>
      </c>
      <c r="E149" s="1499" t="s">
        <v>1054</v>
      </c>
      <c r="F149" s="1499"/>
      <c r="G149" s="1499"/>
      <c r="H149" s="2362"/>
      <c r="I149" s="2935"/>
      <c r="J149" s="2984"/>
      <c r="K149" s="2985"/>
      <c r="L149" s="2937"/>
      <c r="M149" s="3301">
        <f>採点LR2!G31</f>
        <v>0</v>
      </c>
      <c r="N149" s="3302"/>
      <c r="O149" s="3302"/>
      <c r="P149" s="3303"/>
      <c r="Q149" s="1841">
        <f t="shared" si="14"/>
        <v>3</v>
      </c>
      <c r="R149" s="2400">
        <f t="shared" ref="R149:R187" si="16">AA149</f>
        <v>0.9</v>
      </c>
      <c r="S149" s="2461">
        <f t="shared" si="15"/>
        <v>0</v>
      </c>
      <c r="T149" s="2335">
        <f t="shared" ref="T149:T189" si="17">AC149</f>
        <v>0</v>
      </c>
      <c r="U149" s="2336"/>
      <c r="V149" s="2284"/>
      <c r="W149" s="426">
        <f>採点LR2!F25</f>
        <v>3</v>
      </c>
      <c r="X149" s="1667"/>
      <c r="Z149" s="423">
        <f>IF($Z$3=4,#REF!,W149)</f>
        <v>3</v>
      </c>
      <c r="AA149" s="1501">
        <f>重み!D149</f>
        <v>0.9</v>
      </c>
      <c r="AB149" s="423">
        <f>IF($Z$3=4,#REF!,X149)</f>
        <v>0</v>
      </c>
      <c r="AC149" s="1501">
        <f>重み!E149</f>
        <v>0</v>
      </c>
      <c r="AD149" s="417"/>
      <c r="AE149" s="405"/>
      <c r="AF149" s="412">
        <f>重み!M149</f>
        <v>0.89999999999999991</v>
      </c>
      <c r="AG149" s="182"/>
      <c r="AH149" s="412">
        <f>重み!N149</f>
        <v>0</v>
      </c>
      <c r="AI149" s="2080"/>
      <c r="AJ149" s="2080"/>
      <c r="AK149" s="2081"/>
    </row>
    <row r="150" spans="2:37" ht="14.25" customHeight="1" thickBot="1">
      <c r="B150" s="2462"/>
      <c r="C150" s="1834"/>
      <c r="D150" s="945">
        <v>2</v>
      </c>
      <c r="E150" s="3285" t="s">
        <v>1055</v>
      </c>
      <c r="F150" s="3277"/>
      <c r="G150" s="3277"/>
      <c r="H150" s="3279"/>
      <c r="I150" s="2942"/>
      <c r="J150" s="2987"/>
      <c r="K150" s="2988"/>
      <c r="L150" s="2944"/>
      <c r="M150" s="3304">
        <f>採点LR2!L31</f>
        <v>0</v>
      </c>
      <c r="N150" s="3305"/>
      <c r="O150" s="3305"/>
      <c r="P150" s="3306"/>
      <c r="Q150" s="1838">
        <f t="shared" si="14"/>
        <v>3</v>
      </c>
      <c r="R150" s="2400">
        <f t="shared" si="16"/>
        <v>0.1</v>
      </c>
      <c r="S150" s="2461">
        <f t="shared" si="15"/>
        <v>0</v>
      </c>
      <c r="T150" s="2335">
        <f t="shared" si="17"/>
        <v>0</v>
      </c>
      <c r="U150" s="2336"/>
      <c r="V150" s="2284"/>
      <c r="W150" s="426">
        <f>採点LR2!K25</f>
        <v>3</v>
      </c>
      <c r="X150" s="1667"/>
      <c r="Z150" s="423">
        <f>IF($Z$3=4,#REF!,W150)</f>
        <v>3</v>
      </c>
      <c r="AA150" s="1501">
        <f>重み!D150</f>
        <v>0.1</v>
      </c>
      <c r="AB150" s="423">
        <f>IF($Z$3=4,#REF!,X150)</f>
        <v>0</v>
      </c>
      <c r="AC150" s="1501">
        <f>重み!E150</f>
        <v>0</v>
      </c>
      <c r="AD150" s="417"/>
      <c r="AE150" s="405"/>
      <c r="AF150" s="412">
        <f>重み!M150</f>
        <v>9.9999999999999992E-2</v>
      </c>
      <c r="AG150" s="182"/>
      <c r="AH150" s="412">
        <f>重み!N150</f>
        <v>0</v>
      </c>
      <c r="AI150" s="2080"/>
      <c r="AJ150" s="2080"/>
      <c r="AK150" s="2081"/>
    </row>
    <row r="151" spans="2:37" ht="14.25" customHeight="1" thickBot="1">
      <c r="B151" s="2451">
        <v>2</v>
      </c>
      <c r="C151" s="1827" t="s">
        <v>1056</v>
      </c>
      <c r="D151" s="1827"/>
      <c r="E151" s="1827"/>
      <c r="F151" s="1827"/>
      <c r="G151" s="1827"/>
      <c r="H151" s="2349"/>
      <c r="I151" s="2942"/>
      <c r="J151" s="2987"/>
      <c r="K151" s="2988"/>
      <c r="L151" s="2944"/>
      <c r="M151" s="2350"/>
      <c r="N151" s="2351"/>
      <c r="O151" s="2351"/>
      <c r="P151" s="2352"/>
      <c r="Q151" s="2379">
        <f t="shared" si="14"/>
        <v>3.1</v>
      </c>
      <c r="R151" s="2354">
        <f>AA151</f>
        <v>0.6</v>
      </c>
      <c r="S151" s="2467">
        <f t="shared" si="15"/>
        <v>0</v>
      </c>
      <c r="T151" s="2356">
        <f t="shared" si="17"/>
        <v>0</v>
      </c>
      <c r="U151" s="2357">
        <f>ROUNDDOWN(AD151,1)</f>
        <v>3.1</v>
      </c>
      <c r="V151" s="2284"/>
      <c r="W151" s="431"/>
      <c r="X151" s="1659"/>
      <c r="Z151" s="1655">
        <f>SUMPRODUCT(Z152:Z158,AA152:AA158)+Z165*AA165</f>
        <v>3.1</v>
      </c>
      <c r="AA151" s="1501">
        <f>重み!D151</f>
        <v>0.6</v>
      </c>
      <c r="AB151" s="1655">
        <f>SUMPRODUCT(AB152:AB158,AC152:AC158)+AB165*AC165</f>
        <v>0</v>
      </c>
      <c r="AC151" s="421">
        <f>SUM(AC152:AC158)+AC165</f>
        <v>0</v>
      </c>
      <c r="AD151" s="417">
        <f>IF(AB151=0,Z151,IF(Z151=0,AB151,Z151*AF$6+AB151*AH$6))</f>
        <v>3.1</v>
      </c>
      <c r="AE151" s="405"/>
      <c r="AF151" s="412">
        <f>重み!M151</f>
        <v>0.6</v>
      </c>
      <c r="AG151" s="182"/>
      <c r="AH151" s="421">
        <f>SUM(AH152:AH158)+AH165</f>
        <v>0</v>
      </c>
      <c r="AI151" s="2080"/>
      <c r="AJ151" s="2080"/>
      <c r="AK151" s="2081"/>
    </row>
    <row r="152" spans="2:37" ht="14.25" customHeight="1">
      <c r="B152" s="2290"/>
      <c r="C152" s="1819">
        <v>2.1</v>
      </c>
      <c r="D152" s="1807" t="s">
        <v>1057</v>
      </c>
      <c r="E152" s="1499"/>
      <c r="F152" s="1499"/>
      <c r="G152" s="1499"/>
      <c r="H152" s="2362"/>
      <c r="I152" s="2935"/>
      <c r="J152" s="2941" t="s">
        <v>4176</v>
      </c>
      <c r="K152" s="2995" t="s">
        <v>4177</v>
      </c>
      <c r="L152" s="2937"/>
      <c r="M152" s="3298">
        <f>採点LR2!G50</f>
        <v>0</v>
      </c>
      <c r="N152" s="3299"/>
      <c r="O152" s="3299"/>
      <c r="P152" s="3300"/>
      <c r="Q152" s="1841">
        <f t="shared" si="14"/>
        <v>2</v>
      </c>
      <c r="R152" s="2400">
        <f t="shared" si="16"/>
        <v>0.1</v>
      </c>
      <c r="S152" s="2461">
        <f t="shared" si="15"/>
        <v>0</v>
      </c>
      <c r="T152" s="2335">
        <f t="shared" si="17"/>
        <v>0</v>
      </c>
      <c r="U152" s="2336"/>
      <c r="V152" s="2284"/>
      <c r="W152" s="1557">
        <f>採点LR2!F44</f>
        <v>2</v>
      </c>
      <c r="X152" s="1667"/>
      <c r="Z152" s="1654">
        <f>IF($Z$3=4,#REF!,W152)</f>
        <v>2</v>
      </c>
      <c r="AA152" s="1501">
        <f>重み!D152</f>
        <v>0.1</v>
      </c>
      <c r="AB152" s="1654">
        <f>IF($Z$3=4,#REF!,X152)</f>
        <v>0</v>
      </c>
      <c r="AC152" s="1501">
        <f>重み!E152</f>
        <v>0</v>
      </c>
      <c r="AD152" s="417"/>
      <c r="AE152" s="405"/>
      <c r="AF152" s="412">
        <f>重み!M152</f>
        <v>0.1</v>
      </c>
      <c r="AG152" s="182"/>
      <c r="AH152" s="412">
        <f>重み!N152</f>
        <v>0</v>
      </c>
      <c r="AI152" s="2080"/>
      <c r="AJ152" s="2080"/>
      <c r="AK152" s="2081"/>
    </row>
    <row r="153" spans="2:37" ht="14.25" customHeight="1">
      <c r="B153" s="2375"/>
      <c r="C153" s="1819">
        <v>2.2000000000000002</v>
      </c>
      <c r="D153" s="1807" t="s">
        <v>1058</v>
      </c>
      <c r="E153" s="1499"/>
      <c r="F153" s="1499"/>
      <c r="G153" s="1499"/>
      <c r="H153" s="2362"/>
      <c r="I153" s="2935"/>
      <c r="J153" s="2941" t="s">
        <v>4176</v>
      </c>
      <c r="K153" s="2995" t="s">
        <v>4177</v>
      </c>
      <c r="L153" s="2937"/>
      <c r="M153" s="3301">
        <f>採点LR2!G67</f>
        <v>0</v>
      </c>
      <c r="N153" s="3302"/>
      <c r="O153" s="3302"/>
      <c r="P153" s="3303"/>
      <c r="Q153" s="1814">
        <f t="shared" si="14"/>
        <v>3</v>
      </c>
      <c r="R153" s="2400">
        <f t="shared" si="16"/>
        <v>0.2</v>
      </c>
      <c r="S153" s="2461">
        <f t="shared" si="15"/>
        <v>0</v>
      </c>
      <c r="T153" s="2335">
        <f t="shared" si="17"/>
        <v>0</v>
      </c>
      <c r="U153" s="2336"/>
      <c r="V153" s="2284"/>
      <c r="W153" s="433">
        <f>採点LR2!F61</f>
        <v>3</v>
      </c>
      <c r="X153" s="1659"/>
      <c r="Z153" s="1654">
        <f>IF($Z$3=4,#REF!,W153)</f>
        <v>3</v>
      </c>
      <c r="AA153" s="1501">
        <f>重み!D153</f>
        <v>0.2</v>
      </c>
      <c r="AB153" s="1654">
        <f>IF($Z$3=4,#REF!,X153)</f>
        <v>0</v>
      </c>
      <c r="AC153" s="1501">
        <f>重み!E153</f>
        <v>0</v>
      </c>
      <c r="AD153" s="417"/>
      <c r="AE153" s="405"/>
      <c r="AF153" s="412">
        <f>重み!M153</f>
        <v>0.2</v>
      </c>
      <c r="AG153" s="182"/>
      <c r="AH153" s="412">
        <f>重み!N153</f>
        <v>0</v>
      </c>
      <c r="AI153" s="2080"/>
      <c r="AJ153" s="2080"/>
      <c r="AK153" s="2081"/>
    </row>
    <row r="154" spans="2:37" ht="14.25" customHeight="1">
      <c r="B154" s="2373"/>
      <c r="C154" s="1819">
        <v>2.2999999999999998</v>
      </c>
      <c r="D154" s="1499" t="s">
        <v>1059</v>
      </c>
      <c r="E154" s="1499"/>
      <c r="F154" s="1499"/>
      <c r="G154" s="1499"/>
      <c r="H154" s="2362"/>
      <c r="I154" s="2935"/>
      <c r="J154" s="2941" t="s">
        <v>4176</v>
      </c>
      <c r="K154" s="2995" t="s">
        <v>4177</v>
      </c>
      <c r="L154" s="2937"/>
      <c r="M154" s="3301">
        <f>採点LR2!G77</f>
        <v>0</v>
      </c>
      <c r="N154" s="3302"/>
      <c r="O154" s="3302"/>
      <c r="P154" s="3303"/>
      <c r="Q154" s="1814">
        <f t="shared" si="14"/>
        <v>3</v>
      </c>
      <c r="R154" s="2400">
        <f t="shared" si="16"/>
        <v>0.2</v>
      </c>
      <c r="S154" s="2461">
        <f t="shared" si="15"/>
        <v>0</v>
      </c>
      <c r="T154" s="2335">
        <f t="shared" si="17"/>
        <v>0</v>
      </c>
      <c r="U154" s="2336"/>
      <c r="V154" s="2284"/>
      <c r="W154" s="432">
        <f>採点LR2!F71</f>
        <v>3</v>
      </c>
      <c r="X154" s="1667"/>
      <c r="Z154" s="1654">
        <f>IF($Z$3=4,#REF!,W154)</f>
        <v>3</v>
      </c>
      <c r="AA154" s="1501">
        <f>重み!D154</f>
        <v>0.2</v>
      </c>
      <c r="AB154" s="1654">
        <f>IF($Z$3=4,#REF!,X154)</f>
        <v>0</v>
      </c>
      <c r="AC154" s="1501">
        <f>重み!E154</f>
        <v>0</v>
      </c>
      <c r="AD154" s="417"/>
      <c r="AE154" s="405"/>
      <c r="AF154" s="412">
        <f>重み!M154</f>
        <v>0.2</v>
      </c>
      <c r="AG154" s="182"/>
      <c r="AH154" s="412">
        <f>重み!N154</f>
        <v>0</v>
      </c>
      <c r="AI154" s="2080"/>
      <c r="AJ154" s="2080"/>
      <c r="AK154" s="2081"/>
    </row>
    <row r="155" spans="2:37" ht="14.25" customHeight="1">
      <c r="B155" s="2373"/>
      <c r="C155" s="1819">
        <v>2.4</v>
      </c>
      <c r="D155" s="3277" t="s">
        <v>51</v>
      </c>
      <c r="E155" s="3278"/>
      <c r="F155" s="3278"/>
      <c r="G155" s="3278"/>
      <c r="H155" s="3279"/>
      <c r="I155" s="2935"/>
      <c r="J155" s="2941" t="s">
        <v>4176</v>
      </c>
      <c r="K155" s="2995" t="s">
        <v>4177</v>
      </c>
      <c r="L155" s="2937"/>
      <c r="M155" s="3301">
        <f>採点LR2!G93</f>
        <v>0</v>
      </c>
      <c r="N155" s="3302"/>
      <c r="O155" s="3302"/>
      <c r="P155" s="3303"/>
      <c r="Q155" s="1814">
        <f t="shared" si="14"/>
        <v>4</v>
      </c>
      <c r="R155" s="2400">
        <f t="shared" si="16"/>
        <v>0.2</v>
      </c>
      <c r="S155" s="2461">
        <f t="shared" si="15"/>
        <v>0</v>
      </c>
      <c r="T155" s="2335">
        <f t="shared" si="17"/>
        <v>0</v>
      </c>
      <c r="U155" s="2336"/>
      <c r="V155" s="2284"/>
      <c r="W155" s="432">
        <f>採点LR2!F87</f>
        <v>4</v>
      </c>
      <c r="X155" s="1667"/>
      <c r="Z155" s="1654">
        <f>IF($Z$3=4,#REF!,W155)</f>
        <v>4</v>
      </c>
      <c r="AA155" s="1501">
        <f>重み!D155</f>
        <v>0.2</v>
      </c>
      <c r="AB155" s="1654">
        <f>IF($Z$3=4,#REF!,X155)</f>
        <v>0</v>
      </c>
      <c r="AC155" s="1501">
        <f>重み!E155</f>
        <v>0</v>
      </c>
      <c r="AD155" s="417"/>
      <c r="AE155" s="405"/>
      <c r="AF155" s="412">
        <f>重み!M155</f>
        <v>0.2</v>
      </c>
      <c r="AG155" s="182"/>
      <c r="AH155" s="412">
        <f>重み!N155</f>
        <v>0</v>
      </c>
      <c r="AI155" s="2080"/>
      <c r="AJ155" s="2080"/>
      <c r="AK155" s="2081"/>
    </row>
    <row r="156" spans="2:37" ht="14.25" customHeight="1">
      <c r="B156" s="2373"/>
      <c r="C156" s="1819">
        <v>2.5</v>
      </c>
      <c r="D156" s="1807" t="s">
        <v>1060</v>
      </c>
      <c r="E156" s="1499"/>
      <c r="F156" s="1499"/>
      <c r="G156" s="1499"/>
      <c r="H156" s="2362"/>
      <c r="I156" s="2935"/>
      <c r="J156" s="2941" t="s">
        <v>4176</v>
      </c>
      <c r="K156" s="2995" t="s">
        <v>4177</v>
      </c>
      <c r="L156" s="2937"/>
      <c r="M156" s="3301">
        <f>採点LR2!G107</f>
        <v>0</v>
      </c>
      <c r="N156" s="3302"/>
      <c r="O156" s="3302"/>
      <c r="P156" s="3303"/>
      <c r="Q156" s="1814">
        <f t="shared" si="14"/>
        <v>3</v>
      </c>
      <c r="R156" s="2400">
        <f t="shared" si="16"/>
        <v>0.1</v>
      </c>
      <c r="S156" s="2461">
        <f t="shared" si="15"/>
        <v>0</v>
      </c>
      <c r="T156" s="2335">
        <f t="shared" si="17"/>
        <v>0</v>
      </c>
      <c r="U156" s="2336"/>
      <c r="V156" s="2284"/>
      <c r="W156" s="432">
        <f>採点LR2!F101</f>
        <v>3</v>
      </c>
      <c r="X156" s="1667"/>
      <c r="Z156" s="1654">
        <f>IF($Z$3=4,#REF!,W156)</f>
        <v>3</v>
      </c>
      <c r="AA156" s="1501">
        <f>重み!D156</f>
        <v>0.1</v>
      </c>
      <c r="AB156" s="1654">
        <f>IF($Z$3=4,#REF!,X156)</f>
        <v>0</v>
      </c>
      <c r="AC156" s="1501">
        <f>重み!E156</f>
        <v>0</v>
      </c>
      <c r="AD156" s="417"/>
      <c r="AE156" s="405"/>
      <c r="AF156" s="412">
        <f>重み!M156</f>
        <v>0.1</v>
      </c>
      <c r="AG156" s="182"/>
      <c r="AH156" s="412">
        <f>重み!N156</f>
        <v>0</v>
      </c>
      <c r="AI156" s="2080"/>
      <c r="AJ156" s="2080"/>
      <c r="AK156" s="2081"/>
    </row>
    <row r="157" spans="2:37" thickBot="1">
      <c r="B157" s="2373"/>
      <c r="C157" s="1808">
        <v>2.6</v>
      </c>
      <c r="D157" s="1807" t="s">
        <v>1061</v>
      </c>
      <c r="E157" s="1499"/>
      <c r="F157" s="1499"/>
      <c r="G157" s="1499"/>
      <c r="H157" s="2362"/>
      <c r="I157" s="2942"/>
      <c r="J157" s="2996" t="s">
        <v>4176</v>
      </c>
      <c r="K157" s="2997" t="s">
        <v>4177</v>
      </c>
      <c r="L157" s="2944"/>
      <c r="M157" s="3301">
        <f>採点LR2!G119</f>
        <v>0</v>
      </c>
      <c r="N157" s="3302"/>
      <c r="O157" s="3302"/>
      <c r="P157" s="3303"/>
      <c r="Q157" s="1838">
        <f t="shared" si="14"/>
        <v>3</v>
      </c>
      <c r="R157" s="2400">
        <f t="shared" ref="R157:R165" si="18">AA157</f>
        <v>0.2</v>
      </c>
      <c r="S157" s="2461">
        <f t="shared" si="15"/>
        <v>0</v>
      </c>
      <c r="T157" s="2335">
        <f t="shared" ref="T157:T166" si="19">AC157</f>
        <v>0</v>
      </c>
      <c r="U157" s="2336"/>
      <c r="V157" s="2284"/>
      <c r="W157" s="1558">
        <f>採点LR2!F113</f>
        <v>3</v>
      </c>
      <c r="X157" s="1659"/>
      <c r="Z157" s="1654">
        <f>IF($Z$3=4,#REF!,W157)</f>
        <v>3</v>
      </c>
      <c r="AA157" s="1501">
        <f>重み!D157</f>
        <v>0.2</v>
      </c>
      <c r="AB157" s="1654">
        <f>IF($Z$3=4,#REF!,X157)</f>
        <v>0</v>
      </c>
      <c r="AC157" s="1501">
        <f>重み!E157</f>
        <v>0</v>
      </c>
      <c r="AD157" s="417"/>
      <c r="AE157" s="405"/>
      <c r="AF157" s="412">
        <f>重み!M157</f>
        <v>0.2</v>
      </c>
      <c r="AG157" s="182"/>
      <c r="AH157" s="412">
        <f>重み!N157</f>
        <v>0</v>
      </c>
      <c r="AI157" s="2080"/>
      <c r="AJ157" s="2080"/>
      <c r="AK157" s="2081"/>
    </row>
    <row r="158" spans="2:37" ht="14.25" hidden="1" customHeight="1" thickBot="1">
      <c r="B158" s="2373"/>
      <c r="C158" s="1833">
        <v>2.6</v>
      </c>
      <c r="D158" s="1829" t="s">
        <v>1061</v>
      </c>
      <c r="E158" s="1828"/>
      <c r="F158" s="1828"/>
      <c r="G158" s="1828"/>
      <c r="H158" s="2468"/>
      <c r="I158" s="2935"/>
      <c r="L158" s="2937"/>
      <c r="M158" s="2330"/>
      <c r="N158" s="2331"/>
      <c r="O158" s="2331"/>
      <c r="P158" s="2332"/>
      <c r="Q158" s="2346">
        <f t="shared" si="14"/>
        <v>0</v>
      </c>
      <c r="R158" s="2334">
        <f>AA158</f>
        <v>0</v>
      </c>
      <c r="S158" s="2460">
        <f t="shared" si="15"/>
        <v>0</v>
      </c>
      <c r="T158" s="2431">
        <f t="shared" si="19"/>
        <v>0</v>
      </c>
      <c r="U158" s="2336"/>
      <c r="V158" s="2284"/>
      <c r="W158" s="437"/>
      <c r="X158" s="1659"/>
      <c r="Z158" s="1657">
        <f>SUMPRODUCT(Z159:Z164,AA159:AA164)</f>
        <v>0</v>
      </c>
      <c r="AA158" s="1501">
        <f>重み!D158</f>
        <v>0</v>
      </c>
      <c r="AB158" s="420">
        <f>SUMPRODUCT(AB159:AB164,AC159:AC164)</f>
        <v>0</v>
      </c>
      <c r="AC158" s="1501">
        <f>重み!E158</f>
        <v>0</v>
      </c>
      <c r="AD158" s="417"/>
      <c r="AE158" s="405"/>
      <c r="AF158" s="412">
        <f>重み!M158</f>
        <v>0</v>
      </c>
      <c r="AG158" s="182"/>
      <c r="AH158" s="412">
        <f>重み!N159</f>
        <v>0</v>
      </c>
      <c r="AI158" s="2080"/>
      <c r="AJ158" s="2080"/>
      <c r="AK158" s="2081"/>
    </row>
    <row r="159" spans="2:37" ht="13.5" hidden="1" customHeight="1">
      <c r="B159" s="2373"/>
      <c r="C159" s="1832"/>
      <c r="D159" s="1831">
        <v>1</v>
      </c>
      <c r="E159" s="1828" t="s">
        <v>2649</v>
      </c>
      <c r="F159" s="1828"/>
      <c r="G159" s="1828"/>
      <c r="H159" s="2468"/>
      <c r="M159" s="2913"/>
      <c r="N159" s="2914"/>
      <c r="O159" s="2914"/>
      <c r="P159" s="2915"/>
      <c r="Q159" s="1841">
        <f t="shared" si="14"/>
        <v>5</v>
      </c>
      <c r="R159" s="2400">
        <f t="shared" si="18"/>
        <v>0</v>
      </c>
      <c r="S159" s="2461">
        <f t="shared" si="15"/>
        <v>0</v>
      </c>
      <c r="T159" s="2335">
        <f t="shared" si="19"/>
        <v>0</v>
      </c>
      <c r="U159" s="2336"/>
      <c r="V159" s="2284"/>
      <c r="W159" s="432">
        <f>採点LR2!F129</f>
        <v>5</v>
      </c>
      <c r="X159" s="1667"/>
      <c r="Z159" s="423">
        <f>IF($Z$3=4,#REF!,W159)</f>
        <v>5</v>
      </c>
      <c r="AA159" s="1501">
        <f>重み!D159</f>
        <v>0</v>
      </c>
      <c r="AB159" s="423">
        <f>IF($Z$3=4,#REF!,X159)</f>
        <v>0</v>
      </c>
      <c r="AC159" s="1501">
        <f>重み!E159</f>
        <v>0</v>
      </c>
      <c r="AD159" s="417"/>
      <c r="AE159" s="405"/>
      <c r="AF159" s="412">
        <f>重み!M159</f>
        <v>0</v>
      </c>
      <c r="AG159" s="182"/>
      <c r="AH159" s="412">
        <f>重み!N159</f>
        <v>0</v>
      </c>
      <c r="AI159" s="2080"/>
      <c r="AJ159" s="2080"/>
      <c r="AK159" s="2081"/>
    </row>
    <row r="160" spans="2:37" ht="13.5" hidden="1" customHeight="1">
      <c r="B160" s="2373"/>
      <c r="C160" s="1832"/>
      <c r="D160" s="1831">
        <v>2</v>
      </c>
      <c r="E160" s="1828" t="s">
        <v>2651</v>
      </c>
      <c r="F160" s="1828"/>
      <c r="G160" s="1828"/>
      <c r="H160" s="2468"/>
      <c r="M160" s="2913"/>
      <c r="N160" s="2914"/>
      <c r="O160" s="2914"/>
      <c r="P160" s="2915"/>
      <c r="Q160" s="1814">
        <f t="shared" si="14"/>
        <v>4</v>
      </c>
      <c r="R160" s="2400">
        <f t="shared" si="18"/>
        <v>0</v>
      </c>
      <c r="S160" s="2461">
        <f t="shared" si="15"/>
        <v>0</v>
      </c>
      <c r="T160" s="2335">
        <f t="shared" si="19"/>
        <v>0</v>
      </c>
      <c r="U160" s="2336"/>
      <c r="V160" s="2284"/>
      <c r="W160" s="432">
        <f>採点LR2!K129</f>
        <v>4</v>
      </c>
      <c r="X160" s="1667"/>
      <c r="Z160" s="423">
        <f>IF($Z$3=4,#REF!,W160)</f>
        <v>4</v>
      </c>
      <c r="AA160" s="1501">
        <f>重み!D160</f>
        <v>0</v>
      </c>
      <c r="AB160" s="423">
        <f>IF($Z$3=4,#REF!,X160)</f>
        <v>0</v>
      </c>
      <c r="AC160" s="1501">
        <f>重み!E160</f>
        <v>0</v>
      </c>
      <c r="AD160" s="417"/>
      <c r="AE160" s="405"/>
      <c r="AF160" s="412">
        <f>重み!M160</f>
        <v>0</v>
      </c>
      <c r="AG160" s="182"/>
      <c r="AH160" s="412">
        <f>重み!N160</f>
        <v>0</v>
      </c>
      <c r="AI160" s="2080"/>
      <c r="AJ160" s="2080"/>
      <c r="AK160" s="2081"/>
    </row>
    <row r="161" spans="2:37" ht="13.5" hidden="1" customHeight="1">
      <c r="B161" s="2375"/>
      <c r="C161" s="1832"/>
      <c r="D161" s="1831">
        <v>3</v>
      </c>
      <c r="E161" s="1828" t="s">
        <v>2653</v>
      </c>
      <c r="F161" s="1828"/>
      <c r="G161" s="1828"/>
      <c r="H161" s="2468"/>
      <c r="M161" s="2913"/>
      <c r="N161" s="2914"/>
      <c r="O161" s="2914"/>
      <c r="P161" s="2915"/>
      <c r="Q161" s="1814">
        <f t="shared" si="14"/>
        <v>4</v>
      </c>
      <c r="R161" s="2400">
        <f t="shared" si="18"/>
        <v>0</v>
      </c>
      <c r="S161" s="2461">
        <f t="shared" si="15"/>
        <v>0</v>
      </c>
      <c r="T161" s="2335">
        <f t="shared" si="19"/>
        <v>0</v>
      </c>
      <c r="U161" s="2336"/>
      <c r="V161" s="2284"/>
      <c r="W161" s="432">
        <f>採点LR2!F138</f>
        <v>4</v>
      </c>
      <c r="X161" s="1667"/>
      <c r="Z161" s="423">
        <f>IF($Z$3=4,#REF!,W161)</f>
        <v>4</v>
      </c>
      <c r="AA161" s="1501">
        <f>重み!D161</f>
        <v>0</v>
      </c>
      <c r="AB161" s="423">
        <f>IF($Z$3=4,#REF!,X161)</f>
        <v>0</v>
      </c>
      <c r="AC161" s="1501">
        <f>重み!E161</f>
        <v>0</v>
      </c>
      <c r="AD161" s="417"/>
      <c r="AE161" s="405"/>
      <c r="AF161" s="412">
        <f>重み!M161</f>
        <v>0</v>
      </c>
      <c r="AG161" s="182"/>
      <c r="AH161" s="412">
        <f>重み!N161</f>
        <v>0</v>
      </c>
      <c r="AI161" s="2080"/>
      <c r="AJ161" s="2080"/>
      <c r="AK161" s="2081"/>
    </row>
    <row r="162" spans="2:37" ht="13.5" hidden="1" customHeight="1">
      <c r="B162" s="2375"/>
      <c r="C162" s="1832"/>
      <c r="D162" s="1831">
        <v>4</v>
      </c>
      <c r="E162" s="1828" t="s">
        <v>2655</v>
      </c>
      <c r="F162" s="1828"/>
      <c r="G162" s="1828"/>
      <c r="H162" s="2468"/>
      <c r="M162" s="2913"/>
      <c r="N162" s="2914"/>
      <c r="O162" s="2914"/>
      <c r="P162" s="2915"/>
      <c r="Q162" s="1814">
        <f t="shared" si="14"/>
        <v>4</v>
      </c>
      <c r="R162" s="2400">
        <f t="shared" si="18"/>
        <v>0</v>
      </c>
      <c r="S162" s="2461">
        <f t="shared" si="15"/>
        <v>0</v>
      </c>
      <c r="T162" s="2335">
        <f t="shared" si="19"/>
        <v>0</v>
      </c>
      <c r="U162" s="2336"/>
      <c r="V162" s="2284"/>
      <c r="W162" s="432">
        <f>採点LR2!K138</f>
        <v>4</v>
      </c>
      <c r="X162" s="1667"/>
      <c r="Z162" s="423">
        <f>IF($Z$3=4,#REF!,W162)</f>
        <v>4</v>
      </c>
      <c r="AA162" s="1501">
        <f>重み!D162</f>
        <v>0</v>
      </c>
      <c r="AB162" s="423">
        <f>IF($Z$3=4,#REF!,X162)</f>
        <v>0</v>
      </c>
      <c r="AC162" s="1501">
        <f>重み!E162</f>
        <v>0</v>
      </c>
      <c r="AD162" s="417"/>
      <c r="AE162" s="405"/>
      <c r="AF162" s="412">
        <f>重み!M162</f>
        <v>0</v>
      </c>
      <c r="AG162" s="182"/>
      <c r="AH162" s="412">
        <f>重み!N162</f>
        <v>0</v>
      </c>
      <c r="AI162" s="2080"/>
      <c r="AJ162" s="2080"/>
      <c r="AK162" s="2081"/>
    </row>
    <row r="163" spans="2:37" ht="13.5" hidden="1" customHeight="1">
      <c r="B163" s="2375"/>
      <c r="C163" s="1832"/>
      <c r="D163" s="1831">
        <v>5</v>
      </c>
      <c r="E163" s="1828" t="s">
        <v>2657</v>
      </c>
      <c r="F163" s="1828"/>
      <c r="G163" s="1828"/>
      <c r="H163" s="2468"/>
      <c r="M163" s="2913"/>
      <c r="N163" s="2914"/>
      <c r="O163" s="2914"/>
      <c r="P163" s="2915"/>
      <c r="Q163" s="1814">
        <f t="shared" si="14"/>
        <v>5</v>
      </c>
      <c r="R163" s="2400">
        <f t="shared" si="18"/>
        <v>0</v>
      </c>
      <c r="S163" s="2461">
        <f t="shared" si="15"/>
        <v>0</v>
      </c>
      <c r="T163" s="2335">
        <f t="shared" si="19"/>
        <v>0</v>
      </c>
      <c r="U163" s="2336"/>
      <c r="V163" s="2284"/>
      <c r="W163" s="432">
        <f>採点LR2!F147</f>
        <v>5</v>
      </c>
      <c r="X163" s="1667"/>
      <c r="Z163" s="423">
        <f>IF($Z$3=4,#REF!,W163)</f>
        <v>5</v>
      </c>
      <c r="AA163" s="1501">
        <f>重み!D163</f>
        <v>0</v>
      </c>
      <c r="AB163" s="423">
        <f>IF($Z$3=4,#REF!,X163)</f>
        <v>0</v>
      </c>
      <c r="AC163" s="1501">
        <f>重み!E163</f>
        <v>0</v>
      </c>
      <c r="AD163" s="417"/>
      <c r="AE163" s="405"/>
      <c r="AF163" s="412">
        <f>重み!M163</f>
        <v>0</v>
      </c>
      <c r="AG163" s="182"/>
      <c r="AH163" s="412">
        <f>重み!N163</f>
        <v>0</v>
      </c>
      <c r="AI163" s="2080"/>
      <c r="AJ163" s="2080"/>
      <c r="AK163" s="2081"/>
    </row>
    <row r="164" spans="2:37" ht="13.5" hidden="1" customHeight="1">
      <c r="B164" s="2375"/>
      <c r="C164" s="1832"/>
      <c r="D164" s="1831">
        <v>6</v>
      </c>
      <c r="E164" s="1828" t="s">
        <v>2659</v>
      </c>
      <c r="F164" s="1828"/>
      <c r="G164" s="1828"/>
      <c r="H164" s="2468"/>
      <c r="M164" s="2913"/>
      <c r="N164" s="2914"/>
      <c r="O164" s="2914"/>
      <c r="P164" s="2915"/>
      <c r="Q164" s="1814">
        <f t="shared" si="14"/>
        <v>5</v>
      </c>
      <c r="R164" s="2400">
        <f t="shared" si="18"/>
        <v>0</v>
      </c>
      <c r="S164" s="2461">
        <f t="shared" si="15"/>
        <v>0</v>
      </c>
      <c r="T164" s="2335">
        <f t="shared" si="19"/>
        <v>0</v>
      </c>
      <c r="U164" s="2336"/>
      <c r="V164" s="2284"/>
      <c r="W164" s="432">
        <f>採点LR2!K147</f>
        <v>5</v>
      </c>
      <c r="X164" s="1667"/>
      <c r="Z164" s="423">
        <f>IF($Z$3=4,#REF!,W164)</f>
        <v>5</v>
      </c>
      <c r="AA164" s="1501">
        <f>重み!D164</f>
        <v>0</v>
      </c>
      <c r="AB164" s="423">
        <f>IF($Z$3=4,#REF!,X164)</f>
        <v>0</v>
      </c>
      <c r="AC164" s="1501">
        <f>重み!E164</f>
        <v>0</v>
      </c>
      <c r="AD164" s="417"/>
      <c r="AE164" s="405"/>
      <c r="AF164" s="412">
        <f>重み!M164</f>
        <v>0</v>
      </c>
      <c r="AG164" s="182"/>
      <c r="AH164" s="412">
        <f>重み!N164</f>
        <v>0</v>
      </c>
      <c r="AI164" s="2080"/>
      <c r="AJ164" s="2080"/>
      <c r="AK164" s="2081"/>
    </row>
    <row r="165" spans="2:37" ht="14.25" hidden="1" customHeight="1" thickBot="1">
      <c r="B165" s="2375"/>
      <c r="C165" s="1830">
        <v>2.7</v>
      </c>
      <c r="D165" s="1829" t="s">
        <v>2661</v>
      </c>
      <c r="E165" s="1828"/>
      <c r="F165" s="1828"/>
      <c r="G165" s="1828"/>
      <c r="H165" s="2468"/>
      <c r="M165" s="2913"/>
      <c r="N165" s="2914"/>
      <c r="O165" s="2914"/>
      <c r="P165" s="2915"/>
      <c r="Q165" s="1838">
        <f t="shared" si="14"/>
        <v>5</v>
      </c>
      <c r="R165" s="2400">
        <f t="shared" si="18"/>
        <v>0</v>
      </c>
      <c r="S165" s="2461">
        <f t="shared" si="15"/>
        <v>0</v>
      </c>
      <c r="T165" s="2335">
        <f t="shared" si="19"/>
        <v>0</v>
      </c>
      <c r="U165" s="2336"/>
      <c r="V165" s="2284"/>
      <c r="W165" s="1558">
        <f>採点LR2!F169</f>
        <v>5</v>
      </c>
      <c r="X165" s="1659"/>
      <c r="Z165" s="1654">
        <f>IF($Z$3=4,#REF!,W165)</f>
        <v>5</v>
      </c>
      <c r="AA165" s="1501">
        <f>重み!D165</f>
        <v>0</v>
      </c>
      <c r="AB165" s="1654">
        <f>IF($Z$3=4,#REF!,X165)</f>
        <v>0</v>
      </c>
      <c r="AC165" s="1501">
        <f>重み!E165</f>
        <v>0</v>
      </c>
      <c r="AD165" s="417"/>
      <c r="AE165" s="405"/>
      <c r="AF165" s="412">
        <f>重み!M165</f>
        <v>0</v>
      </c>
      <c r="AG165" s="182"/>
      <c r="AH165" s="412">
        <f>重み!N165</f>
        <v>0</v>
      </c>
      <c r="AI165" s="2080"/>
      <c r="AJ165" s="2080"/>
      <c r="AK165" s="2081"/>
    </row>
    <row r="166" spans="2:37" thickBot="1">
      <c r="B166" s="2451">
        <v>3</v>
      </c>
      <c r="C166" s="1827" t="s">
        <v>1062</v>
      </c>
      <c r="D166" s="1807"/>
      <c r="E166" s="1499"/>
      <c r="F166" s="1499"/>
      <c r="G166" s="1499"/>
      <c r="H166" s="2362"/>
      <c r="I166" s="2942"/>
      <c r="J166" s="2987"/>
      <c r="K166" s="2988"/>
      <c r="L166" s="2944"/>
      <c r="M166" s="2350"/>
      <c r="N166" s="2351"/>
      <c r="O166" s="2351"/>
      <c r="P166" s="2352"/>
      <c r="Q166" s="2379">
        <f t="shared" si="14"/>
        <v>3</v>
      </c>
      <c r="R166" s="2354">
        <f>AA166</f>
        <v>0.2</v>
      </c>
      <c r="S166" s="2467">
        <f t="shared" si="15"/>
        <v>0</v>
      </c>
      <c r="T166" s="2356">
        <f t="shared" si="19"/>
        <v>0</v>
      </c>
      <c r="U166" s="2357">
        <f>ROUNDDOWN(AD166,1)</f>
        <v>3</v>
      </c>
      <c r="V166" s="2284"/>
      <c r="W166" s="435"/>
      <c r="X166" s="1659"/>
      <c r="Z166" s="1655">
        <f>Z167*AA167+Z168*AA168</f>
        <v>2.9999999999999996</v>
      </c>
      <c r="AA166" s="1501">
        <f>重み!D166</f>
        <v>0.2</v>
      </c>
      <c r="AB166" s="1655">
        <f>AB167*AC167+AB168*AC168</f>
        <v>0</v>
      </c>
      <c r="AC166" s="421">
        <f>SUM(AC167,AC168)</f>
        <v>0</v>
      </c>
      <c r="AD166" s="1681">
        <f>IF(AB166=0,Z166,IF(Z166=0,AB166,Z166*AF$6+AB166*AH$6))</f>
        <v>2.9999999999999996</v>
      </c>
      <c r="AE166" s="405"/>
      <c r="AF166" s="412">
        <f>重み!M166</f>
        <v>0.2</v>
      </c>
      <c r="AG166" s="182"/>
      <c r="AH166" s="421">
        <f>SUM(AH167,AH168)</f>
        <v>0</v>
      </c>
      <c r="AI166" s="2080"/>
      <c r="AJ166" s="2080"/>
      <c r="AK166" s="2081"/>
    </row>
    <row r="167" spans="2:37" ht="14.25" customHeight="1" thickBot="1">
      <c r="B167" s="2375"/>
      <c r="C167" s="1819">
        <v>3.1</v>
      </c>
      <c r="D167" s="1807" t="s">
        <v>1063</v>
      </c>
      <c r="E167" s="1499"/>
      <c r="F167" s="1499"/>
      <c r="G167" s="1499"/>
      <c r="H167" s="2362"/>
      <c r="I167" s="2935"/>
      <c r="J167" s="2984"/>
      <c r="K167" s="2985"/>
      <c r="L167" s="2937"/>
      <c r="M167" s="3298">
        <f>採点LR2!G195</f>
        <v>0</v>
      </c>
      <c r="N167" s="3299"/>
      <c r="O167" s="3299"/>
      <c r="P167" s="3300"/>
      <c r="Q167" s="2449">
        <f t="shared" si="14"/>
        <v>3</v>
      </c>
      <c r="R167" s="2400">
        <f t="shared" si="16"/>
        <v>0.3</v>
      </c>
      <c r="S167" s="2461">
        <f t="shared" si="15"/>
        <v>0</v>
      </c>
      <c r="T167" s="2335">
        <f t="shared" si="17"/>
        <v>0</v>
      </c>
      <c r="U167" s="2336"/>
      <c r="V167" s="2284"/>
      <c r="W167" s="436">
        <f>採点LR2!F189</f>
        <v>3</v>
      </c>
      <c r="X167" s="1659"/>
      <c r="Z167" s="1654">
        <f>IF($Z$3=4,#REF!,W167)</f>
        <v>3</v>
      </c>
      <c r="AA167" s="1501">
        <f>重み!D167</f>
        <v>0.3</v>
      </c>
      <c r="AB167" s="1654">
        <f>IF($Z$3=4,#REF!,X167)</f>
        <v>0</v>
      </c>
      <c r="AC167" s="1501">
        <f>重み!E167</f>
        <v>0</v>
      </c>
      <c r="AD167" s="417"/>
      <c r="AE167" s="405"/>
      <c r="AF167" s="412">
        <f>重み!M167</f>
        <v>0.3</v>
      </c>
      <c r="AG167" s="182"/>
      <c r="AH167" s="412">
        <f>重み!N167</f>
        <v>0</v>
      </c>
      <c r="AI167" s="2080"/>
      <c r="AJ167" s="2080"/>
      <c r="AK167" s="2081"/>
    </row>
    <row r="168" spans="2:37" ht="14.25" customHeight="1" thickBot="1">
      <c r="B168" s="2375"/>
      <c r="C168" s="1808">
        <v>3.2</v>
      </c>
      <c r="D168" s="1807" t="s">
        <v>1064</v>
      </c>
      <c r="E168" s="1826"/>
      <c r="F168" s="1826"/>
      <c r="G168" s="1826"/>
      <c r="H168" s="2349"/>
      <c r="I168" s="2998"/>
      <c r="J168" s="2984"/>
      <c r="K168" s="2985"/>
      <c r="L168" s="2937"/>
      <c r="M168" s="2330"/>
      <c r="N168" s="2331"/>
      <c r="O168" s="2331"/>
      <c r="P168" s="2332"/>
      <c r="Q168" s="2379">
        <f t="shared" si="14"/>
        <v>3</v>
      </c>
      <c r="R168" s="2334">
        <f>AA168</f>
        <v>0.7</v>
      </c>
      <c r="S168" s="2460">
        <f t="shared" si="15"/>
        <v>0</v>
      </c>
      <c r="T168" s="2431">
        <f t="shared" si="17"/>
        <v>0</v>
      </c>
      <c r="U168" s="2336"/>
      <c r="V168" s="2284"/>
      <c r="W168" s="437"/>
      <c r="X168" s="1659"/>
      <c r="Z168" s="420">
        <f>SUMPRODUCT(Z169:Z171,AA169:AA171)</f>
        <v>3</v>
      </c>
      <c r="AA168" s="1501">
        <f>重み!D168</f>
        <v>0.7</v>
      </c>
      <c r="AB168" s="420">
        <f>SUMPRODUCT(AB169:AB171,AC169:AC171)</f>
        <v>0</v>
      </c>
      <c r="AC168" s="1501">
        <f>重み!E168</f>
        <v>0</v>
      </c>
      <c r="AD168" s="417"/>
      <c r="AE168" s="405"/>
      <c r="AF168" s="412">
        <f>重み!M168</f>
        <v>0.7</v>
      </c>
      <c r="AG168" s="182"/>
      <c r="AH168" s="412">
        <f>重み!N168</f>
        <v>0</v>
      </c>
      <c r="AI168" s="2080"/>
      <c r="AJ168" s="2080"/>
      <c r="AK168" s="2081"/>
    </row>
    <row r="169" spans="2:37" ht="14.25" customHeight="1">
      <c r="B169" s="2375"/>
      <c r="C169" s="1824"/>
      <c r="D169" s="945">
        <v>1</v>
      </c>
      <c r="E169" s="1499" t="s">
        <v>100</v>
      </c>
      <c r="F169" s="1499"/>
      <c r="G169" s="1499"/>
      <c r="H169" s="2362"/>
      <c r="I169" s="2998"/>
      <c r="J169" s="2941" t="s">
        <v>4176</v>
      </c>
      <c r="K169" s="2936"/>
      <c r="L169" s="2937"/>
      <c r="M169" s="3301">
        <f>採点LR2!G218</f>
        <v>0</v>
      </c>
      <c r="N169" s="3302"/>
      <c r="O169" s="3302"/>
      <c r="P169" s="3303"/>
      <c r="Q169" s="1841">
        <f t="shared" si="14"/>
        <v>0</v>
      </c>
      <c r="R169" s="2400">
        <f t="shared" si="16"/>
        <v>0</v>
      </c>
      <c r="S169" s="2461">
        <f t="shared" si="15"/>
        <v>0</v>
      </c>
      <c r="T169" s="2335">
        <f t="shared" si="17"/>
        <v>0</v>
      </c>
      <c r="U169" s="2336"/>
      <c r="V169" s="2284"/>
      <c r="W169" s="432">
        <f>採点LR2!F212</f>
        <v>0</v>
      </c>
      <c r="X169" s="1667"/>
      <c r="Z169" s="423">
        <f>IF($Z$3=4,#REF!,W169)</f>
        <v>0</v>
      </c>
      <c r="AA169" s="1501">
        <f>重み!D169</f>
        <v>0</v>
      </c>
      <c r="AB169" s="423">
        <f>IF($Z$3=4,#REF!,X169)</f>
        <v>0</v>
      </c>
      <c r="AC169" s="1501">
        <f>重み!E169</f>
        <v>0</v>
      </c>
      <c r="AD169" s="417"/>
      <c r="AE169" s="405"/>
      <c r="AF169" s="412">
        <f>重み!M169</f>
        <v>0.33333333333333331</v>
      </c>
      <c r="AG169" s="182"/>
      <c r="AH169" s="412">
        <f>重み!N169</f>
        <v>0</v>
      </c>
      <c r="AI169" s="2080"/>
      <c r="AJ169" s="2080"/>
      <c r="AK169" s="2081"/>
    </row>
    <row r="170" spans="2:37" ht="14.25" customHeight="1">
      <c r="B170" s="2375"/>
      <c r="C170" s="1824"/>
      <c r="D170" s="945">
        <v>2</v>
      </c>
      <c r="E170" s="1499" t="s">
        <v>101</v>
      </c>
      <c r="F170" s="1499"/>
      <c r="G170" s="1499"/>
      <c r="H170" s="2362"/>
      <c r="I170" s="2935"/>
      <c r="J170" s="2941" t="s">
        <v>4176</v>
      </c>
      <c r="K170" s="2936"/>
      <c r="L170" s="2937"/>
      <c r="M170" s="3301">
        <f>採点LR2!G229</f>
        <v>0</v>
      </c>
      <c r="N170" s="3302"/>
      <c r="O170" s="3302"/>
      <c r="P170" s="3303"/>
      <c r="Q170" s="1814">
        <f t="shared" si="14"/>
        <v>3</v>
      </c>
      <c r="R170" s="2400">
        <f t="shared" si="16"/>
        <v>0.5</v>
      </c>
      <c r="S170" s="2461">
        <f t="shared" si="15"/>
        <v>0</v>
      </c>
      <c r="T170" s="2335">
        <f t="shared" si="17"/>
        <v>0</v>
      </c>
      <c r="U170" s="2336"/>
      <c r="V170" s="2284"/>
      <c r="W170" s="432">
        <f>採点LR2!F223</f>
        <v>3</v>
      </c>
      <c r="X170" s="1667"/>
      <c r="Z170" s="423">
        <f>IF($Z$3=4,#REF!,W170)</f>
        <v>3</v>
      </c>
      <c r="AA170" s="1501">
        <f>重み!D170</f>
        <v>0.5</v>
      </c>
      <c r="AB170" s="423">
        <f>IF($Z$3=4,#REF!,X170)</f>
        <v>0</v>
      </c>
      <c r="AC170" s="1501">
        <f>重み!E170</f>
        <v>0</v>
      </c>
      <c r="AD170" s="417"/>
      <c r="AE170" s="405"/>
      <c r="AF170" s="412">
        <f>重み!M170</f>
        <v>0.33333333333333331</v>
      </c>
      <c r="AG170" s="182"/>
      <c r="AH170" s="412">
        <f>重み!N170</f>
        <v>0</v>
      </c>
      <c r="AI170" s="2080"/>
      <c r="AJ170" s="2080"/>
      <c r="AK170" s="2081"/>
    </row>
    <row r="171" spans="2:37" ht="14.25" customHeight="1" thickBot="1">
      <c r="B171" s="2469"/>
      <c r="C171" s="1823"/>
      <c r="D171" s="1822">
        <v>3</v>
      </c>
      <c r="E171" s="1821" t="s">
        <v>102</v>
      </c>
      <c r="F171" s="1821"/>
      <c r="G171" s="1821"/>
      <c r="H171" s="2412"/>
      <c r="J171" s="2941" t="s">
        <v>4176</v>
      </c>
      <c r="L171" s="2948"/>
      <c r="M171" s="3307" t="str">
        <f>採点LR2!G295</f>
        <v>記入例；CO2冷媒冷凍機</v>
      </c>
      <c r="N171" s="3308"/>
      <c r="O171" s="3308"/>
      <c r="P171" s="3309"/>
      <c r="Q171" s="1838">
        <f t="shared" si="14"/>
        <v>3</v>
      </c>
      <c r="R171" s="2413">
        <f t="shared" si="16"/>
        <v>0.5</v>
      </c>
      <c r="S171" s="2470">
        <f t="shared" si="15"/>
        <v>0</v>
      </c>
      <c r="T171" s="2415">
        <f t="shared" si="17"/>
        <v>0</v>
      </c>
      <c r="U171" s="2416"/>
      <c r="V171" s="2284"/>
      <c r="W171" s="434">
        <f>採点LR2!F289</f>
        <v>3</v>
      </c>
      <c r="X171" s="1659"/>
      <c r="Z171" s="423">
        <f>IF($Z$3=4,#REF!,W171)</f>
        <v>3</v>
      </c>
      <c r="AA171" s="1501">
        <f>重み!D171</f>
        <v>0.5</v>
      </c>
      <c r="AB171" s="423">
        <f>IF($Z$3=4,#REF!,X171)</f>
        <v>0</v>
      </c>
      <c r="AC171" s="1501">
        <f>重み!E171</f>
        <v>0</v>
      </c>
      <c r="AD171" s="417"/>
      <c r="AE171" s="405"/>
      <c r="AF171" s="412">
        <f>重み!M171</f>
        <v>0.33333333333333331</v>
      </c>
      <c r="AG171" s="182"/>
      <c r="AH171" s="412">
        <f>重み!N171</f>
        <v>0</v>
      </c>
      <c r="AI171" s="2080"/>
      <c r="AJ171" s="2080"/>
      <c r="AK171" s="2081"/>
    </row>
    <row r="172" spans="2:37" ht="14.25" customHeight="1" thickBot="1">
      <c r="B172" s="2381" t="s">
        <v>1589</v>
      </c>
      <c r="C172" s="1820" t="s">
        <v>1590</v>
      </c>
      <c r="D172" s="1820"/>
      <c r="E172" s="1820"/>
      <c r="F172" s="1820"/>
      <c r="G172" s="1820"/>
      <c r="H172" s="2417"/>
      <c r="I172" s="2949"/>
      <c r="J172" s="2950"/>
      <c r="K172" s="2950"/>
      <c r="L172" s="2950"/>
      <c r="M172" s="2418"/>
      <c r="N172" s="2419"/>
      <c r="O172" s="2419"/>
      <c r="P172" s="2420"/>
      <c r="Q172" s="2471">
        <f t="shared" si="14"/>
        <v>0</v>
      </c>
      <c r="R172" s="2385">
        <f t="shared" si="16"/>
        <v>0.3</v>
      </c>
      <c r="S172" s="2463">
        <f t="shared" si="15"/>
        <v>0</v>
      </c>
      <c r="T172" s="2387">
        <f t="shared" si="17"/>
        <v>0</v>
      </c>
      <c r="U172" s="2388">
        <f>ROUNDDOWN(AD172,1)</f>
        <v>3</v>
      </c>
      <c r="V172" s="2284"/>
      <c r="W172" s="437"/>
      <c r="X172" s="1659"/>
      <c r="Z172" s="424"/>
      <c r="AA172" s="418">
        <f>重み!D172</f>
        <v>0.3</v>
      </c>
      <c r="AB172" s="424"/>
      <c r="AC172" s="418"/>
      <c r="AD172" s="417">
        <f>AA173*AD173+AA174*AD174+AA183*AD183</f>
        <v>2.9999999999999996</v>
      </c>
      <c r="AE172" s="405"/>
      <c r="AF172" s="412">
        <f>重み!M172</f>
        <v>0.3</v>
      </c>
      <c r="AG172" s="182"/>
      <c r="AH172" s="412">
        <f>重み!N172</f>
        <v>0</v>
      </c>
      <c r="AI172" s="412" t="s">
        <v>2897</v>
      </c>
      <c r="AJ172" s="412" t="s">
        <v>2899</v>
      </c>
      <c r="AK172" s="182"/>
    </row>
    <row r="173" spans="2:37" ht="14.25" customHeight="1" thickBot="1">
      <c r="B173" s="2328">
        <v>1</v>
      </c>
      <c r="C173" s="1811" t="s">
        <v>552</v>
      </c>
      <c r="D173" s="1806"/>
      <c r="E173" s="1806"/>
      <c r="F173" s="1806"/>
      <c r="G173" s="1806"/>
      <c r="H173" s="2380"/>
      <c r="I173" s="2951"/>
      <c r="J173" s="2941" t="s">
        <v>4176</v>
      </c>
      <c r="K173" s="2952"/>
      <c r="L173" s="2953"/>
      <c r="M173" s="3310">
        <f>採点LR3!G19</f>
        <v>0</v>
      </c>
      <c r="N173" s="3311"/>
      <c r="O173" s="3311"/>
      <c r="P173" s="3312"/>
      <c r="Q173" s="2449">
        <f t="shared" si="14"/>
        <v>3</v>
      </c>
      <c r="R173" s="2400">
        <f>AA173</f>
        <v>0.33333333333333331</v>
      </c>
      <c r="S173" s="2460">
        <f t="shared" si="15"/>
        <v>0</v>
      </c>
      <c r="T173" s="2335">
        <f t="shared" si="17"/>
        <v>0</v>
      </c>
      <c r="U173" s="2336">
        <f>ROUNDDOWN(AD173,1)</f>
        <v>3</v>
      </c>
      <c r="V173" s="2284"/>
      <c r="W173" s="432">
        <f>採点LR3!F13</f>
        <v>3</v>
      </c>
      <c r="X173" s="1667"/>
      <c r="Z173" s="1656">
        <f>IF($Z$3=4,#REF!,W173)</f>
        <v>3</v>
      </c>
      <c r="AA173" s="1501">
        <f>重み!D173</f>
        <v>0.33333333333333331</v>
      </c>
      <c r="AB173" s="1656">
        <f>IF($Z$3=4,#REF!,X173)</f>
        <v>0</v>
      </c>
      <c r="AC173" s="1501">
        <f>重み!E173</f>
        <v>0</v>
      </c>
      <c r="AD173" s="417">
        <f>IF(AB173=0,Z173,IF(Z173=0,AB173,Z173*AF$6+AB173*AH$6))</f>
        <v>3</v>
      </c>
      <c r="AE173" s="405"/>
      <c r="AF173" s="412">
        <f>重み!M173</f>
        <v>0.33333333333333331</v>
      </c>
      <c r="AG173" s="182"/>
      <c r="AH173" s="412">
        <f>重み!N173</f>
        <v>0</v>
      </c>
      <c r="AI173" s="2080"/>
      <c r="AJ173" s="2080"/>
      <c r="AK173" s="2081"/>
    </row>
    <row r="174" spans="2:37" ht="14.25" customHeight="1" thickBot="1">
      <c r="B174" s="2348">
        <v>2</v>
      </c>
      <c r="C174" s="1813" t="s">
        <v>553</v>
      </c>
      <c r="D174" s="1813"/>
      <c r="E174" s="1813"/>
      <c r="F174" s="1813"/>
      <c r="G174" s="1813"/>
      <c r="H174" s="2362"/>
      <c r="I174" s="2979"/>
      <c r="J174" s="2981"/>
      <c r="K174" s="2981"/>
      <c r="L174" s="2999"/>
      <c r="M174" s="2350"/>
      <c r="N174" s="2351"/>
      <c r="O174" s="2351"/>
      <c r="P174" s="2352"/>
      <c r="Q174" s="2379">
        <f t="shared" si="14"/>
        <v>3</v>
      </c>
      <c r="R174" s="2354">
        <f>AA174</f>
        <v>0.33333333333333331</v>
      </c>
      <c r="S174" s="2427">
        <f t="shared" si="15"/>
        <v>0</v>
      </c>
      <c r="T174" s="2472">
        <f t="shared" si="17"/>
        <v>0</v>
      </c>
      <c r="U174" s="2357">
        <f>ROUNDDOWN(AD174,1)</f>
        <v>3</v>
      </c>
      <c r="V174" s="2284"/>
      <c r="W174" s="438"/>
      <c r="X174" s="1659"/>
      <c r="Z174" s="1655">
        <f>SUMPRODUCT(Z175:Z177,AA175:AA177)+Z182*AA182</f>
        <v>3</v>
      </c>
      <c r="AA174" s="1501">
        <f>重み!D174</f>
        <v>0.33333333333333331</v>
      </c>
      <c r="AB174" s="1655">
        <f>SUMPRODUCT(AB175:AB177,AC175:AC177)+AB182*AC182</f>
        <v>0</v>
      </c>
      <c r="AC174" s="421">
        <f>SUM(AC175,AC176:AC177)+AC182</f>
        <v>0</v>
      </c>
      <c r="AD174" s="417">
        <f>IF(AB174=0,Z174,IF(Z174=0,AB174,Z174*AF$6+AB174*AH$6))</f>
        <v>3</v>
      </c>
      <c r="AE174" s="405"/>
      <c r="AF174" s="412">
        <f>重み!M174</f>
        <v>0.33333333333333331</v>
      </c>
      <c r="AG174" s="182"/>
      <c r="AH174" s="421">
        <f>SUM(AH175,AH176:AH177)+AH182</f>
        <v>0</v>
      </c>
      <c r="AI174" s="2080"/>
      <c r="AJ174" s="2080"/>
      <c r="AK174" s="2081"/>
    </row>
    <row r="175" spans="2:37" ht="14.25" customHeight="1">
      <c r="B175" s="2328"/>
      <c r="C175" s="1819">
        <v>2.1</v>
      </c>
      <c r="D175" s="1812" t="s">
        <v>554</v>
      </c>
      <c r="E175" s="1806"/>
      <c r="F175" s="1806"/>
      <c r="G175" s="1806"/>
      <c r="H175" s="2380"/>
      <c r="I175" s="3000"/>
      <c r="J175" s="3001"/>
      <c r="K175" s="3001"/>
      <c r="L175" s="3002"/>
      <c r="M175" s="3298">
        <f>採点LR3!G34</f>
        <v>0</v>
      </c>
      <c r="N175" s="3299"/>
      <c r="O175" s="3299"/>
      <c r="P175" s="3300"/>
      <c r="Q175" s="1844">
        <f t="shared" si="14"/>
        <v>3</v>
      </c>
      <c r="R175" s="2400">
        <f t="shared" si="16"/>
        <v>0.25</v>
      </c>
      <c r="S175" s="2460">
        <f t="shared" si="15"/>
        <v>0</v>
      </c>
      <c r="T175" s="2335">
        <f t="shared" si="17"/>
        <v>0</v>
      </c>
      <c r="U175" s="2336"/>
      <c r="V175" s="2284"/>
      <c r="W175" s="432">
        <f>採点LR3!F28</f>
        <v>3</v>
      </c>
      <c r="X175" s="1667"/>
      <c r="Z175" s="1654">
        <f>IF($Z$3=4,#REF!,W175)</f>
        <v>3</v>
      </c>
      <c r="AA175" s="1501">
        <f>重み!D175</f>
        <v>0.25</v>
      </c>
      <c r="AB175" s="1654">
        <f>IF($Z$3=4,#REF!,X175)</f>
        <v>0</v>
      </c>
      <c r="AC175" s="1501">
        <f>重み!E175</f>
        <v>0</v>
      </c>
      <c r="AD175" s="417"/>
      <c r="AE175" s="405"/>
      <c r="AF175" s="412">
        <f>重み!M175</f>
        <v>0.25</v>
      </c>
      <c r="AG175" s="182"/>
      <c r="AH175" s="412">
        <f>重み!N175</f>
        <v>0</v>
      </c>
      <c r="AI175" s="2080"/>
      <c r="AJ175" s="2080"/>
      <c r="AK175" s="2081"/>
    </row>
    <row r="176" spans="2:37" ht="14.25" customHeight="1" thickBot="1">
      <c r="B176" s="2328"/>
      <c r="C176" s="1819">
        <v>2.2000000000000002</v>
      </c>
      <c r="D176" s="1812" t="s">
        <v>1591</v>
      </c>
      <c r="E176" s="1813"/>
      <c r="F176" s="1813"/>
      <c r="G176" s="1813"/>
      <c r="H176" s="2362"/>
      <c r="I176" s="3003" t="s">
        <v>4175</v>
      </c>
      <c r="J176" s="2941" t="s">
        <v>4176</v>
      </c>
      <c r="K176" s="3004"/>
      <c r="L176" s="3005" t="s">
        <v>4178</v>
      </c>
      <c r="M176" s="3301">
        <f>採点LR3!G44</f>
        <v>0</v>
      </c>
      <c r="N176" s="3302"/>
      <c r="O176" s="3302"/>
      <c r="P176" s="3303"/>
      <c r="Q176" s="1842">
        <f t="shared" si="14"/>
        <v>3</v>
      </c>
      <c r="R176" s="2400">
        <f t="shared" si="16"/>
        <v>0.5</v>
      </c>
      <c r="S176" s="2460">
        <f t="shared" si="15"/>
        <v>0</v>
      </c>
      <c r="T176" s="2431">
        <f t="shared" si="17"/>
        <v>0</v>
      </c>
      <c r="U176" s="2336"/>
      <c r="V176" s="2284"/>
      <c r="W176" s="434">
        <f>採点LR3!F38</f>
        <v>3</v>
      </c>
      <c r="X176" s="1659"/>
      <c r="Z176" s="1654">
        <f>IF($Z$3=4,#REF!,W176)</f>
        <v>3</v>
      </c>
      <c r="AA176" s="1501">
        <f>重み!D176</f>
        <v>0.5</v>
      </c>
      <c r="AB176" s="1654">
        <f>IF($Z$3=4,#REF!,X176)</f>
        <v>0</v>
      </c>
      <c r="AC176" s="1501">
        <f>重み!E176</f>
        <v>0</v>
      </c>
      <c r="AD176" s="417"/>
      <c r="AE176" s="405"/>
      <c r="AF176" s="412">
        <f>重み!M176</f>
        <v>0.5</v>
      </c>
      <c r="AG176" s="182"/>
      <c r="AH176" s="412">
        <f>重み!N176</f>
        <v>0</v>
      </c>
      <c r="AI176" s="2080"/>
      <c r="AJ176" s="2080"/>
      <c r="AK176" s="2081"/>
    </row>
    <row r="177" spans="2:37" ht="14.25" customHeight="1" thickBot="1">
      <c r="B177" s="2328"/>
      <c r="C177" s="1818">
        <v>2.2999999999999998</v>
      </c>
      <c r="D177" s="1257" t="s">
        <v>555</v>
      </c>
      <c r="E177" s="1811"/>
      <c r="F177" s="1811"/>
      <c r="G177" s="1811"/>
      <c r="H177" s="2329"/>
      <c r="I177" s="2935"/>
      <c r="J177" s="2936"/>
      <c r="K177" s="2936"/>
      <c r="L177" s="2937"/>
      <c r="M177" s="2330"/>
      <c r="N177" s="2331"/>
      <c r="O177" s="2331"/>
      <c r="P177" s="2332"/>
      <c r="Q177" s="2379">
        <f t="shared" si="14"/>
        <v>3</v>
      </c>
      <c r="R177" s="2473">
        <f>AA177</f>
        <v>0.25</v>
      </c>
      <c r="S177" s="2401">
        <f t="shared" si="15"/>
        <v>0</v>
      </c>
      <c r="T177" s="2335">
        <f t="shared" si="17"/>
        <v>0</v>
      </c>
      <c r="U177" s="2336"/>
      <c r="V177" s="2284"/>
      <c r="W177" s="438"/>
      <c r="X177" s="1659"/>
      <c r="Z177" s="420">
        <f>SUMPRODUCT(Z178:Z181,AA178:AA181)</f>
        <v>3</v>
      </c>
      <c r="AA177" s="1501">
        <f>重み!D177</f>
        <v>0.25</v>
      </c>
      <c r="AB177" s="420">
        <f>SUMPRODUCT(AB178:AB181,AC178:AC181)</f>
        <v>0</v>
      </c>
      <c r="AC177" s="1501">
        <f>重み!E177</f>
        <v>0</v>
      </c>
      <c r="AD177" s="417"/>
      <c r="AE177" s="405"/>
      <c r="AF177" s="412">
        <f>重み!M177</f>
        <v>0.25</v>
      </c>
      <c r="AG177" s="182"/>
      <c r="AH177" s="412">
        <f>重み!N177</f>
        <v>0</v>
      </c>
      <c r="AI177" s="2080"/>
      <c r="AJ177" s="2080"/>
      <c r="AK177" s="2081"/>
    </row>
    <row r="178" spans="2:37" ht="14.25" customHeight="1">
      <c r="B178" s="2328"/>
      <c r="C178" s="1805"/>
      <c r="D178" s="945">
        <v>1</v>
      </c>
      <c r="E178" s="1807" t="s">
        <v>1592</v>
      </c>
      <c r="F178" s="1807"/>
      <c r="G178" s="1807"/>
      <c r="H178" s="2362"/>
      <c r="I178" s="2935"/>
      <c r="J178" s="2936"/>
      <c r="K178" s="2995" t="s">
        <v>4177</v>
      </c>
      <c r="L178" s="2937"/>
      <c r="M178" s="3301">
        <f>採点LR3!G90</f>
        <v>0</v>
      </c>
      <c r="N178" s="3302"/>
      <c r="O178" s="3302"/>
      <c r="P178" s="3303"/>
      <c r="Q178" s="1841">
        <f t="shared" si="14"/>
        <v>3</v>
      </c>
      <c r="R178" s="2343">
        <f t="shared" si="16"/>
        <v>0.25</v>
      </c>
      <c r="S178" s="2401">
        <f t="shared" si="15"/>
        <v>0</v>
      </c>
      <c r="T178" s="2343">
        <f t="shared" si="17"/>
        <v>0</v>
      </c>
      <c r="U178" s="2336"/>
      <c r="V178" s="2284"/>
      <c r="W178" s="432">
        <f>採点LR3!F84</f>
        <v>3</v>
      </c>
      <c r="X178" s="1667"/>
      <c r="Z178" s="423">
        <f>IF($Z$3=4,#REF!,W178)</f>
        <v>3</v>
      </c>
      <c r="AA178" s="1501">
        <f>重み!D178</f>
        <v>0.25</v>
      </c>
      <c r="AB178" s="423">
        <f>IF($Z$3=4,#REF!,X178)</f>
        <v>0</v>
      </c>
      <c r="AC178" s="1501">
        <f>重み!E178</f>
        <v>0</v>
      </c>
      <c r="AD178" s="417"/>
      <c r="AE178" s="405"/>
      <c r="AF178" s="412">
        <f>重み!M178</f>
        <v>0.25</v>
      </c>
      <c r="AG178" s="182"/>
      <c r="AH178" s="412">
        <f>重み!N181</f>
        <v>0</v>
      </c>
      <c r="AI178" s="2080"/>
      <c r="AJ178" s="2080"/>
      <c r="AK178" s="2081"/>
    </row>
    <row r="179" spans="2:37" ht="14.25" customHeight="1">
      <c r="B179" s="2328"/>
      <c r="C179" s="1805"/>
      <c r="D179" s="1804">
        <v>2</v>
      </c>
      <c r="E179" s="1807" t="s">
        <v>1593</v>
      </c>
      <c r="F179" s="1807"/>
      <c r="G179" s="1807"/>
      <c r="H179" s="2362"/>
      <c r="I179" s="2935"/>
      <c r="J179" s="2936"/>
      <c r="K179" s="2995" t="s">
        <v>4177</v>
      </c>
      <c r="L179" s="2937"/>
      <c r="M179" s="3301">
        <f>採点LR3!G100</f>
        <v>0</v>
      </c>
      <c r="N179" s="3302"/>
      <c r="O179" s="3302"/>
      <c r="P179" s="3303"/>
      <c r="Q179" s="1814">
        <f t="shared" si="14"/>
        <v>3</v>
      </c>
      <c r="R179" s="2343">
        <f t="shared" si="16"/>
        <v>0.25</v>
      </c>
      <c r="S179" s="2399">
        <f t="shared" si="15"/>
        <v>0</v>
      </c>
      <c r="T179" s="2343">
        <f t="shared" si="17"/>
        <v>0</v>
      </c>
      <c r="U179" s="2336"/>
      <c r="V179" s="2284"/>
      <c r="W179" s="432">
        <f>採点LR3!F94</f>
        <v>3</v>
      </c>
      <c r="X179" s="1667"/>
      <c r="Z179" s="423">
        <f>IF($Z$3=4,#REF!,W179)</f>
        <v>3</v>
      </c>
      <c r="AA179" s="1501">
        <f>重み!D179</f>
        <v>0.25</v>
      </c>
      <c r="AB179" s="423">
        <f>IF($Z$3=4,#REF!,X179)</f>
        <v>0</v>
      </c>
      <c r="AC179" s="1501">
        <f>重み!E179</f>
        <v>0</v>
      </c>
      <c r="AD179" s="417"/>
      <c r="AE179" s="405"/>
      <c r="AF179" s="412">
        <f>重み!M179</f>
        <v>0.25</v>
      </c>
      <c r="AG179" s="182"/>
      <c r="AH179" s="412">
        <f>重み!N193</f>
        <v>0</v>
      </c>
      <c r="AI179" s="2080"/>
      <c r="AJ179" s="2080"/>
      <c r="AK179" s="2081"/>
    </row>
    <row r="180" spans="2:37" ht="14.25" customHeight="1">
      <c r="B180" s="2328"/>
      <c r="C180" s="1805"/>
      <c r="D180" s="945">
        <v>3</v>
      </c>
      <c r="E180" s="1807" t="s">
        <v>556</v>
      </c>
      <c r="F180" s="1807"/>
      <c r="G180" s="1807"/>
      <c r="H180" s="2362"/>
      <c r="I180" s="2935"/>
      <c r="J180" s="2936"/>
      <c r="K180" s="2995" t="s">
        <v>4177</v>
      </c>
      <c r="L180" s="2937"/>
      <c r="M180" s="3301">
        <f>採点LR3!G110</f>
        <v>0</v>
      </c>
      <c r="N180" s="3302"/>
      <c r="O180" s="3302"/>
      <c r="P180" s="3303"/>
      <c r="Q180" s="1814">
        <f t="shared" si="14"/>
        <v>3</v>
      </c>
      <c r="R180" s="2343">
        <f t="shared" si="16"/>
        <v>0.25</v>
      </c>
      <c r="S180" s="2399">
        <f t="shared" si="15"/>
        <v>0</v>
      </c>
      <c r="T180" s="2343">
        <f t="shared" si="17"/>
        <v>0</v>
      </c>
      <c r="U180" s="2336"/>
      <c r="V180" s="2284"/>
      <c r="W180" s="432">
        <f>採点LR3!F104</f>
        <v>3</v>
      </c>
      <c r="X180" s="1659"/>
      <c r="Z180" s="423">
        <f>IF($Z$3=4,#REF!,W180)</f>
        <v>3</v>
      </c>
      <c r="AA180" s="1501">
        <f>重み!D180</f>
        <v>0.25</v>
      </c>
      <c r="AB180" s="423">
        <f>IF($Z$3=4,#REF!,X180)</f>
        <v>0</v>
      </c>
      <c r="AC180" s="1501">
        <f>重み!E180</f>
        <v>0</v>
      </c>
      <c r="AD180" s="417"/>
      <c r="AE180" s="405"/>
      <c r="AF180" s="412">
        <f>重み!M180</f>
        <v>0.25</v>
      </c>
      <c r="AG180" s="182"/>
      <c r="AH180" s="412">
        <f>重み!N194</f>
        <v>0</v>
      </c>
      <c r="AI180" s="2080"/>
      <c r="AJ180" s="2080"/>
      <c r="AK180" s="2081"/>
    </row>
    <row r="181" spans="2:37" thickBot="1">
      <c r="B181" s="2328"/>
      <c r="C181" s="1817"/>
      <c r="D181" s="945">
        <v>4</v>
      </c>
      <c r="E181" s="1807" t="s">
        <v>827</v>
      </c>
      <c r="F181" s="1807"/>
      <c r="G181" s="1807"/>
      <c r="H181" s="2362"/>
      <c r="I181" s="3006"/>
      <c r="J181" s="3007"/>
      <c r="K181" s="3008" t="s">
        <v>4177</v>
      </c>
      <c r="L181" s="3009"/>
      <c r="M181" s="3304">
        <f>採点LR3!G129</f>
        <v>0</v>
      </c>
      <c r="N181" s="3305"/>
      <c r="O181" s="3305"/>
      <c r="P181" s="3306"/>
      <c r="Q181" s="1814">
        <f t="shared" si="14"/>
        <v>3</v>
      </c>
      <c r="R181" s="2474">
        <f t="shared" si="16"/>
        <v>0.25</v>
      </c>
      <c r="S181" s="2430">
        <f t="shared" si="15"/>
        <v>0</v>
      </c>
      <c r="T181" s="2474">
        <f t="shared" si="17"/>
        <v>0</v>
      </c>
      <c r="U181" s="2391"/>
      <c r="V181" s="2284"/>
      <c r="W181" s="1668">
        <f>採点LR3!F123</f>
        <v>3</v>
      </c>
      <c r="X181" s="1659"/>
      <c r="Z181" s="423">
        <f>IF($Z$3=4,#REF!,W181)</f>
        <v>3</v>
      </c>
      <c r="AA181" s="1501">
        <f>重み!D181</f>
        <v>0.25</v>
      </c>
      <c r="AB181" s="423">
        <f>IF($Z$3=4,#REF!,X181)</f>
        <v>0</v>
      </c>
      <c r="AC181" s="1501">
        <f>重み!E181</f>
        <v>0</v>
      </c>
      <c r="AD181" s="417"/>
      <c r="AE181" s="405"/>
      <c r="AF181" s="412">
        <f>重み!M181</f>
        <v>0.25</v>
      </c>
      <c r="AG181" s="182"/>
      <c r="AH181" s="412">
        <f>重み!N195</f>
        <v>0</v>
      </c>
      <c r="AI181" s="2080"/>
      <c r="AJ181" s="2080"/>
      <c r="AK181" s="2081"/>
    </row>
    <row r="182" spans="2:37" ht="14.25" hidden="1" customHeight="1" thickBot="1">
      <c r="B182" s="2328"/>
      <c r="C182" s="1816">
        <v>2.1</v>
      </c>
      <c r="D182" s="1815" t="s">
        <v>827</v>
      </c>
      <c r="E182" s="1807"/>
      <c r="F182" s="1807"/>
      <c r="G182" s="1807"/>
      <c r="H182" s="2362"/>
      <c r="M182" s="2910"/>
      <c r="N182" s="2911"/>
      <c r="O182" s="2911"/>
      <c r="P182" s="2912"/>
      <c r="Q182" s="1842">
        <f t="shared" si="14"/>
        <v>100</v>
      </c>
      <c r="R182" s="2400">
        <f>AA182</f>
        <v>0</v>
      </c>
      <c r="S182" s="2460">
        <f t="shared" si="15"/>
        <v>0</v>
      </c>
      <c r="T182" s="2335">
        <f>AC182</f>
        <v>0</v>
      </c>
      <c r="U182" s="2336"/>
      <c r="V182" s="2284"/>
      <c r="W182" s="1677">
        <v>100</v>
      </c>
      <c r="X182" s="1659"/>
      <c r="Z182" s="1654">
        <f>IF($Z$3=4,#REF!,W182)</f>
        <v>100</v>
      </c>
      <c r="AA182" s="1501">
        <f>重み!D182</f>
        <v>0</v>
      </c>
      <c r="AB182" s="1654">
        <f>IF($Z$3=4,#REF!,X182)</f>
        <v>0</v>
      </c>
      <c r="AC182" s="1501">
        <f>重み!E182</f>
        <v>0</v>
      </c>
      <c r="AD182" s="417"/>
      <c r="AE182" s="405"/>
      <c r="AF182" s="412">
        <f>重み!M182</f>
        <v>0</v>
      </c>
      <c r="AG182" s="182"/>
      <c r="AH182" s="412"/>
      <c r="AI182" s="2080"/>
      <c r="AJ182" s="2080"/>
      <c r="AK182" s="2081"/>
    </row>
    <row r="183" spans="2:37" ht="13.5">
      <c r="B183" s="2451">
        <v>3</v>
      </c>
      <c r="C183" s="1813" t="s">
        <v>828</v>
      </c>
      <c r="D183" s="1807"/>
      <c r="E183" s="1813"/>
      <c r="F183" s="1813"/>
      <c r="G183" s="1813"/>
      <c r="H183" s="2362"/>
      <c r="I183" s="2979"/>
      <c r="J183" s="2981"/>
      <c r="K183" s="2981"/>
      <c r="L183" s="2999"/>
      <c r="M183" s="2369"/>
      <c r="N183" s="2370"/>
      <c r="O183" s="2370"/>
      <c r="P183" s="2371"/>
      <c r="Q183" s="2372">
        <f t="shared" si="14"/>
        <v>3</v>
      </c>
      <c r="R183" s="2354">
        <f>AA183</f>
        <v>0.33333333333333331</v>
      </c>
      <c r="S183" s="2467">
        <f t="shared" si="15"/>
        <v>0</v>
      </c>
      <c r="T183" s="2356">
        <f>AC183</f>
        <v>0</v>
      </c>
      <c r="U183" s="2357">
        <f>ROUNDDOWN(AD183,1)</f>
        <v>3</v>
      </c>
      <c r="V183" s="2284"/>
      <c r="W183" s="1659"/>
      <c r="X183" s="1659"/>
      <c r="Z183" s="1655">
        <f>Z184*AA184+Z188*AA188+Z192*AA192</f>
        <v>2.9999999999999991</v>
      </c>
      <c r="AA183" s="1501">
        <f>重み!D183</f>
        <v>0.33333333333333331</v>
      </c>
      <c r="AB183" s="1655">
        <f>AB184*AC184+AB188*AC188+AB192*AC192</f>
        <v>0</v>
      </c>
      <c r="AC183" s="421">
        <f>SUM(AC184,AC188,AC192)</f>
        <v>0</v>
      </c>
      <c r="AD183" s="417">
        <f>IF(AB183=0,Z183,IF(Z183=0,AB183,Z183*AF$6+AB183*AH$6))</f>
        <v>2.9999999999999991</v>
      </c>
      <c r="AE183" s="405"/>
      <c r="AF183" s="412">
        <f>重み!M183</f>
        <v>0.33333333333333331</v>
      </c>
      <c r="AG183" s="182"/>
      <c r="AH183" s="421">
        <f>SUM(AH184,AH188,AH192)</f>
        <v>0</v>
      </c>
      <c r="AI183" s="2080"/>
      <c r="AJ183" s="2080"/>
      <c r="AK183" s="2081"/>
    </row>
    <row r="184" spans="2:37" ht="14.25" customHeight="1" thickBot="1">
      <c r="B184" s="2290"/>
      <c r="C184" s="1808">
        <v>3.1</v>
      </c>
      <c r="D184" s="1812" t="s">
        <v>829</v>
      </c>
      <c r="E184" s="1811"/>
      <c r="F184" s="1811"/>
      <c r="G184" s="1811"/>
      <c r="H184" s="2329"/>
      <c r="I184" s="2935"/>
      <c r="J184" s="2936"/>
      <c r="K184" s="2936"/>
      <c r="L184" s="2937"/>
      <c r="M184" s="2369"/>
      <c r="N184" s="2370"/>
      <c r="O184" s="2370"/>
      <c r="P184" s="2371"/>
      <c r="Q184" s="2392">
        <f>ROUNDDOWN(Z184,1)</f>
        <v>0</v>
      </c>
      <c r="R184" s="2334">
        <f>AA184</f>
        <v>0</v>
      </c>
      <c r="S184" s="2460">
        <f t="shared" si="15"/>
        <v>0</v>
      </c>
      <c r="T184" s="2335">
        <f>AC184</f>
        <v>0</v>
      </c>
      <c r="U184" s="2336"/>
      <c r="V184" s="2284"/>
      <c r="W184" s="1659"/>
      <c r="X184" s="1659"/>
      <c r="Z184" s="420">
        <f>SUMPRODUCT(Z185:Z187,AA185:AA187)</f>
        <v>0</v>
      </c>
      <c r="AA184" s="1501">
        <f>重み!D184</f>
        <v>0</v>
      </c>
      <c r="AB184" s="420">
        <f>SUMPRODUCT(AB185:AB187,AC185:AC187)</f>
        <v>0</v>
      </c>
      <c r="AC184" s="1501">
        <f>重み!E184</f>
        <v>0</v>
      </c>
      <c r="AD184" s="417"/>
      <c r="AE184" s="405"/>
      <c r="AF184" s="412">
        <f>重み!M184</f>
        <v>0.4</v>
      </c>
      <c r="AG184" s="182"/>
      <c r="AH184" s="412">
        <f>重み!N184</f>
        <v>0</v>
      </c>
      <c r="AI184" s="2080"/>
      <c r="AJ184" s="2080"/>
      <c r="AK184" s="2081"/>
    </row>
    <row r="185" spans="2:37" ht="14.25" customHeight="1">
      <c r="B185" s="2475"/>
      <c r="C185" s="1805"/>
      <c r="D185" s="945">
        <v>1</v>
      </c>
      <c r="E185" s="1807" t="s">
        <v>830</v>
      </c>
      <c r="F185" s="1807"/>
      <c r="G185" s="1807"/>
      <c r="H185" s="2362"/>
      <c r="I185" s="2935"/>
      <c r="J185" s="2936"/>
      <c r="K185" s="2936"/>
      <c r="L185" s="2937"/>
      <c r="M185" s="3301">
        <f>採点LR3!G151</f>
        <v>0</v>
      </c>
      <c r="N185" s="3302"/>
      <c r="O185" s="3302"/>
      <c r="P185" s="3303"/>
      <c r="Q185" s="2476">
        <f t="shared" si="14"/>
        <v>0</v>
      </c>
      <c r="R185" s="2400">
        <f t="shared" si="16"/>
        <v>0</v>
      </c>
      <c r="S185" s="2460">
        <f t="shared" si="15"/>
        <v>0</v>
      </c>
      <c r="T185" s="2335">
        <f t="shared" si="17"/>
        <v>0</v>
      </c>
      <c r="U185" s="2336"/>
      <c r="V185" s="2284"/>
      <c r="W185" s="1670">
        <f>採点LR3!F145</f>
        <v>0</v>
      </c>
      <c r="X185" s="1659"/>
      <c r="Z185" s="423">
        <f>IF($Z$3=4,#REF!,W185)</f>
        <v>0</v>
      </c>
      <c r="AA185" s="1501">
        <f>重み!D185</f>
        <v>0</v>
      </c>
      <c r="AB185" s="423">
        <f>IF($Z$3=4,#REF!,X185)</f>
        <v>0</v>
      </c>
      <c r="AC185" s="1501">
        <f>重み!E185</f>
        <v>0</v>
      </c>
      <c r="AD185" s="417"/>
      <c r="AE185" s="405"/>
      <c r="AF185" s="412">
        <f>重み!M185</f>
        <v>0.33333333333333331</v>
      </c>
      <c r="AG185" s="182"/>
      <c r="AH185" s="412">
        <f>重み!N185</f>
        <v>0</v>
      </c>
      <c r="AI185" s="2080"/>
      <c r="AJ185" s="2080"/>
      <c r="AK185" s="2081"/>
    </row>
    <row r="186" spans="2:37" ht="14.25" customHeight="1">
      <c r="B186" s="2475"/>
      <c r="C186" s="1805"/>
      <c r="D186" s="1804">
        <v>2</v>
      </c>
      <c r="E186" s="1807" t="s">
        <v>1594</v>
      </c>
      <c r="F186" s="1807"/>
      <c r="G186" s="1807"/>
      <c r="H186" s="2362"/>
      <c r="I186" s="2935"/>
      <c r="J186" s="2936"/>
      <c r="K186" s="2936"/>
      <c r="L186" s="2937"/>
      <c r="M186" s="3301">
        <f>採点LR3!G179</f>
        <v>0</v>
      </c>
      <c r="N186" s="3302"/>
      <c r="O186" s="3302"/>
      <c r="P186" s="3303"/>
      <c r="Q186" s="2477">
        <f t="shared" si="14"/>
        <v>0</v>
      </c>
      <c r="R186" s="2400">
        <f t="shared" si="16"/>
        <v>0</v>
      </c>
      <c r="S186" s="2460">
        <f t="shared" si="15"/>
        <v>0</v>
      </c>
      <c r="T186" s="2335">
        <f t="shared" si="17"/>
        <v>0</v>
      </c>
      <c r="U186" s="2336"/>
      <c r="V186" s="2284"/>
      <c r="W186" s="1668">
        <f>採点LR3!F173</f>
        <v>0</v>
      </c>
      <c r="X186" s="1659"/>
      <c r="Z186" s="423">
        <f>IF($Z$3=4,#REF!,W186)</f>
        <v>0</v>
      </c>
      <c r="AA186" s="1501">
        <f>重み!D186</f>
        <v>0</v>
      </c>
      <c r="AB186" s="423">
        <f>IF($Z$3=4,#REF!,X186)</f>
        <v>0</v>
      </c>
      <c r="AC186" s="1501">
        <f>重み!E186</f>
        <v>0</v>
      </c>
      <c r="AD186" s="417"/>
      <c r="AE186" s="405"/>
      <c r="AF186" s="412">
        <f>重み!M186</f>
        <v>0.33333333333333331</v>
      </c>
      <c r="AG186" s="182"/>
      <c r="AH186" s="412">
        <f>重み!N186</f>
        <v>0</v>
      </c>
      <c r="AI186" s="2080"/>
      <c r="AJ186" s="2080"/>
      <c r="AK186" s="2081"/>
    </row>
    <row r="187" spans="2:37" ht="14.25" customHeight="1" thickBot="1">
      <c r="B187" s="2475"/>
      <c r="C187" s="1805"/>
      <c r="D187" s="945">
        <v>3</v>
      </c>
      <c r="E187" s="1807" t="s">
        <v>1595</v>
      </c>
      <c r="F187" s="1807"/>
      <c r="G187" s="1807"/>
      <c r="H187" s="2362"/>
      <c r="I187" s="2935"/>
      <c r="J187" s="2936"/>
      <c r="K187" s="2936"/>
      <c r="L187" s="2937"/>
      <c r="M187" s="3301">
        <f>採点LR3!G200</f>
        <v>0</v>
      </c>
      <c r="N187" s="3302"/>
      <c r="O187" s="3302"/>
      <c r="P187" s="3303"/>
      <c r="Q187" s="2478">
        <f t="shared" si="14"/>
        <v>0</v>
      </c>
      <c r="R187" s="2400">
        <f t="shared" si="16"/>
        <v>0</v>
      </c>
      <c r="S187" s="2460">
        <f t="shared" si="15"/>
        <v>0</v>
      </c>
      <c r="T187" s="2335">
        <f t="shared" si="17"/>
        <v>0</v>
      </c>
      <c r="U187" s="2336"/>
      <c r="V187" s="2284"/>
      <c r="W187" s="1669">
        <f>採点LR3!F194</f>
        <v>0</v>
      </c>
      <c r="X187" s="1659"/>
      <c r="Z187" s="423">
        <f>IF($Z$3=4,#REF!,W187)</f>
        <v>0</v>
      </c>
      <c r="AA187" s="1501">
        <f>重み!D187</f>
        <v>0</v>
      </c>
      <c r="AB187" s="423">
        <f>IF($Z$3=4,#REF!,X187)</f>
        <v>0</v>
      </c>
      <c r="AC187" s="1501">
        <f>重み!E187</f>
        <v>0</v>
      </c>
      <c r="AD187" s="417"/>
      <c r="AE187" s="405"/>
      <c r="AF187" s="412">
        <f>重み!M187</f>
        <v>0.33333333333333331</v>
      </c>
      <c r="AG187" s="182"/>
      <c r="AH187" s="412">
        <f>重み!N187</f>
        <v>0</v>
      </c>
      <c r="AI187" s="2080"/>
      <c r="AJ187" s="2080"/>
      <c r="AK187" s="2081"/>
    </row>
    <row r="188" spans="2:37" ht="14.25" customHeight="1" thickBot="1">
      <c r="B188" s="2475"/>
      <c r="C188" s="1808">
        <v>3.2</v>
      </c>
      <c r="D188" s="1807" t="s">
        <v>2016</v>
      </c>
      <c r="E188" s="1806"/>
      <c r="F188" s="1806"/>
      <c r="G188" s="1806"/>
      <c r="H188" s="2380"/>
      <c r="I188" s="2935"/>
      <c r="J188" s="2936"/>
      <c r="K188" s="2936"/>
      <c r="L188" s="2937"/>
      <c r="M188" s="2330"/>
      <c r="N188" s="2331"/>
      <c r="O188" s="2331"/>
      <c r="P188" s="2332"/>
      <c r="Q188" s="2392">
        <f t="shared" si="14"/>
        <v>3</v>
      </c>
      <c r="R188" s="2400">
        <f>AA188</f>
        <v>0.66666666666666663</v>
      </c>
      <c r="S188" s="2460">
        <f t="shared" si="15"/>
        <v>0</v>
      </c>
      <c r="T188" s="2335">
        <f t="shared" si="17"/>
        <v>0</v>
      </c>
      <c r="U188" s="2336"/>
      <c r="V188" s="2284"/>
      <c r="W188" s="1671"/>
      <c r="X188" s="1659"/>
      <c r="Z188" s="420">
        <f>SUMPRODUCT(Z189:Z191,AA189:AA191)</f>
        <v>2.9999999999999996</v>
      </c>
      <c r="AA188" s="1501">
        <f>重み!D188</f>
        <v>0.66666666666666663</v>
      </c>
      <c r="AB188" s="420">
        <f>SUMPRODUCT(AB189:AB191,AC189:AC191)</f>
        <v>0</v>
      </c>
      <c r="AC188" s="1501">
        <f>重み!E188</f>
        <v>0</v>
      </c>
      <c r="AD188" s="417"/>
      <c r="AE188" s="405"/>
      <c r="AF188" s="412">
        <f>重み!M188</f>
        <v>0.4</v>
      </c>
      <c r="AG188" s="182"/>
      <c r="AH188" s="412">
        <f>重み!N188</f>
        <v>0</v>
      </c>
      <c r="AI188" s="2080"/>
      <c r="AJ188" s="2080"/>
      <c r="AK188" s="2081"/>
    </row>
    <row r="189" spans="2:37" ht="14.25" customHeight="1">
      <c r="B189" s="2475"/>
      <c r="C189" s="1805"/>
      <c r="D189" s="945">
        <v>1</v>
      </c>
      <c r="E189" s="1807" t="s">
        <v>1596</v>
      </c>
      <c r="F189" s="1807"/>
      <c r="G189" s="1807"/>
      <c r="H189" s="2362"/>
      <c r="I189" s="2935"/>
      <c r="J189" s="2936"/>
      <c r="K189" s="2936"/>
      <c r="L189" s="2937"/>
      <c r="M189" s="3301">
        <f>採点LR3!G211</f>
        <v>0</v>
      </c>
      <c r="N189" s="3302"/>
      <c r="O189" s="3302"/>
      <c r="P189" s="3303"/>
      <c r="Q189" s="1841">
        <f t="shared" si="14"/>
        <v>3</v>
      </c>
      <c r="R189" s="2400">
        <f t="shared" ref="R189:R194" si="20">AA189</f>
        <v>0.7</v>
      </c>
      <c r="S189" s="2460">
        <f t="shared" si="15"/>
        <v>0</v>
      </c>
      <c r="T189" s="2335">
        <f t="shared" si="17"/>
        <v>0</v>
      </c>
      <c r="U189" s="2336"/>
      <c r="V189" s="2284"/>
      <c r="W189" s="1670">
        <f>採点LR3!F205</f>
        <v>3</v>
      </c>
      <c r="X189" s="1659"/>
      <c r="Z189" s="423">
        <f>IF($Z$3=4,#REF!,W189)</f>
        <v>3</v>
      </c>
      <c r="AA189" s="1501">
        <f>重み!D189</f>
        <v>0.7</v>
      </c>
      <c r="AB189" s="423">
        <f>IF($Z$3=4,#REF!,X189)</f>
        <v>0</v>
      </c>
      <c r="AC189" s="1501">
        <f>重み!E189</f>
        <v>0</v>
      </c>
      <c r="AD189" s="417"/>
      <c r="AE189" s="405"/>
      <c r="AF189" s="412">
        <f>重み!M189</f>
        <v>0.7</v>
      </c>
      <c r="AG189" s="182"/>
      <c r="AH189" s="412">
        <f>重み!N189</f>
        <v>0</v>
      </c>
      <c r="AI189" s="2080"/>
      <c r="AJ189" s="2080"/>
      <c r="AK189" s="2081"/>
    </row>
    <row r="190" spans="2:37" ht="14.25" customHeight="1" thickBot="1">
      <c r="B190" s="2475"/>
      <c r="C190" s="1805"/>
      <c r="D190" s="945">
        <v>2</v>
      </c>
      <c r="E190" s="1807" t="s">
        <v>831</v>
      </c>
      <c r="F190" s="1807"/>
      <c r="G190" s="1807"/>
      <c r="H190" s="2362"/>
      <c r="I190" s="2935"/>
      <c r="J190" s="2936"/>
      <c r="K190" s="2936"/>
      <c r="L190" s="2937"/>
      <c r="M190" s="3301">
        <f>採点LR3!G221</f>
        <v>0</v>
      </c>
      <c r="N190" s="3302"/>
      <c r="O190" s="3302"/>
      <c r="P190" s="3303"/>
      <c r="Q190" s="1814">
        <f t="shared" si="14"/>
        <v>1</v>
      </c>
      <c r="R190" s="2479">
        <f t="shared" si="20"/>
        <v>0</v>
      </c>
      <c r="S190" s="2460">
        <f t="shared" si="15"/>
        <v>0</v>
      </c>
      <c r="T190" s="2335"/>
      <c r="U190" s="2336"/>
      <c r="V190" s="2284"/>
      <c r="W190" s="1669">
        <f>採点LR3!F215</f>
        <v>1</v>
      </c>
      <c r="X190" s="1659"/>
      <c r="Z190" s="423">
        <f>IF($Z$3=4,#REF!,W190)</f>
        <v>1</v>
      </c>
      <c r="AA190" s="1501">
        <f>重み!D190</f>
        <v>0</v>
      </c>
      <c r="AB190" s="423">
        <f>IF($Z$3=4,#REF!,X190)</f>
        <v>0</v>
      </c>
      <c r="AC190" s="1501">
        <f>重み!E190</f>
        <v>0</v>
      </c>
      <c r="AD190" s="417"/>
      <c r="AE190" s="405"/>
      <c r="AF190" s="412">
        <f>重み!M190</f>
        <v>0</v>
      </c>
      <c r="AG190" s="182"/>
      <c r="AH190" s="412">
        <f>重み!N190</f>
        <v>0</v>
      </c>
      <c r="AI190" s="2080"/>
      <c r="AJ190" s="2080"/>
      <c r="AK190" s="2081"/>
    </row>
    <row r="191" spans="2:37" ht="14.25" customHeight="1" thickBot="1">
      <c r="B191" s="2475"/>
      <c r="C191" s="1805"/>
      <c r="D191" s="1804">
        <v>3</v>
      </c>
      <c r="E191" s="1807" t="s">
        <v>1597</v>
      </c>
      <c r="F191" s="1807"/>
      <c r="G191" s="1807"/>
      <c r="H191" s="2362"/>
      <c r="I191" s="2935"/>
      <c r="J191" s="2936"/>
      <c r="K191" s="2936"/>
      <c r="L191" s="2937"/>
      <c r="M191" s="3301">
        <f>採点LR3!G239</f>
        <v>0</v>
      </c>
      <c r="N191" s="3302"/>
      <c r="O191" s="3302"/>
      <c r="P191" s="3303"/>
      <c r="Q191" s="1838">
        <f t="shared" si="14"/>
        <v>3</v>
      </c>
      <c r="R191" s="2479">
        <f t="shared" si="20"/>
        <v>0.3</v>
      </c>
      <c r="S191" s="2460">
        <f t="shared" si="15"/>
        <v>0</v>
      </c>
      <c r="T191" s="2335">
        <f>AC191</f>
        <v>0</v>
      </c>
      <c r="U191" s="2336"/>
      <c r="V191" s="2284"/>
      <c r="W191" s="1669">
        <f>採点LR3!F233</f>
        <v>3</v>
      </c>
      <c r="X191" s="1659"/>
      <c r="Z191" s="423">
        <f>IF($Z$3=4,#REF!,W191)</f>
        <v>3</v>
      </c>
      <c r="AA191" s="1501">
        <f>重み!D191</f>
        <v>0.3</v>
      </c>
      <c r="AB191" s="423">
        <f>IF($Z$3=4,#REF!,X191)</f>
        <v>0</v>
      </c>
      <c r="AC191" s="1501">
        <f>重み!E191</f>
        <v>0</v>
      </c>
      <c r="AD191" s="417"/>
      <c r="AE191" s="405"/>
      <c r="AF191" s="412">
        <f>重み!M191</f>
        <v>0.3</v>
      </c>
      <c r="AG191" s="182"/>
      <c r="AH191" s="412">
        <f>重み!N191</f>
        <v>0</v>
      </c>
      <c r="AI191" s="2080"/>
      <c r="AJ191" s="2080"/>
      <c r="AK191" s="2081"/>
    </row>
    <row r="192" spans="2:37" ht="14.25" customHeight="1" thickBot="1">
      <c r="B192" s="2475"/>
      <c r="C192" s="1808">
        <v>3.3</v>
      </c>
      <c r="D192" s="1807" t="s">
        <v>832</v>
      </c>
      <c r="E192" s="1806"/>
      <c r="F192" s="1806"/>
      <c r="G192" s="1806"/>
      <c r="H192" s="2380"/>
      <c r="I192" s="2935"/>
      <c r="J192" s="2936"/>
      <c r="K192" s="2936"/>
      <c r="L192" s="2937"/>
      <c r="M192" s="2330"/>
      <c r="N192" s="2331"/>
      <c r="O192" s="2331"/>
      <c r="P192" s="2332"/>
      <c r="Q192" s="2392">
        <f t="shared" si="14"/>
        <v>3</v>
      </c>
      <c r="R192" s="2400">
        <f>AA192</f>
        <v>0.33333333333333331</v>
      </c>
      <c r="S192" s="2460">
        <f t="shared" si="15"/>
        <v>0</v>
      </c>
      <c r="T192" s="2335">
        <f>AC192</f>
        <v>0</v>
      </c>
      <c r="U192" s="2336"/>
      <c r="V192" s="2284"/>
      <c r="W192" s="1671"/>
      <c r="X192" s="1659"/>
      <c r="Z192" s="420">
        <f>SUMPRODUCT(Z193:Z194,AA193:AA194)</f>
        <v>2.9999999999999996</v>
      </c>
      <c r="AA192" s="1501">
        <f>重み!D192</f>
        <v>0.33333333333333331</v>
      </c>
      <c r="AB192" s="420">
        <f>SUMPRODUCT(AB193:AB194,AC193:AC194)</f>
        <v>0</v>
      </c>
      <c r="AC192" s="1501">
        <f>重み!E192</f>
        <v>0</v>
      </c>
      <c r="AD192" s="417"/>
      <c r="AE192" s="405"/>
      <c r="AF192" s="412">
        <f>重み!M192</f>
        <v>0.2</v>
      </c>
      <c r="AG192" s="182"/>
      <c r="AH192" s="412">
        <f>重み!N192</f>
        <v>0</v>
      </c>
      <c r="AI192" s="2080"/>
      <c r="AJ192" s="2080"/>
      <c r="AK192" s="2081"/>
    </row>
    <row r="193" spans="2:37" ht="14.25" customHeight="1">
      <c r="B193" s="2475"/>
      <c r="C193" s="1805"/>
      <c r="D193" s="945">
        <v>1</v>
      </c>
      <c r="E193" s="3283" t="s">
        <v>833</v>
      </c>
      <c r="F193" s="3284"/>
      <c r="G193" s="3284"/>
      <c r="H193" s="3279"/>
      <c r="I193" s="2935"/>
      <c r="J193" s="2936"/>
      <c r="K193" s="2936"/>
      <c r="L193" s="2937"/>
      <c r="M193" s="3301">
        <f>採点LR3!G251</f>
        <v>0</v>
      </c>
      <c r="N193" s="3302"/>
      <c r="O193" s="3302"/>
      <c r="P193" s="3303"/>
      <c r="Q193" s="1841">
        <f t="shared" si="14"/>
        <v>3</v>
      </c>
      <c r="R193" s="2400">
        <f t="shared" si="20"/>
        <v>0.7</v>
      </c>
      <c r="S193" s="2460">
        <f t="shared" si="15"/>
        <v>0</v>
      </c>
      <c r="T193" s="2335">
        <f>AC193</f>
        <v>0</v>
      </c>
      <c r="U193" s="2336"/>
      <c r="V193" s="2284"/>
      <c r="W193" s="1670">
        <f>採点LR3!F245</f>
        <v>3</v>
      </c>
      <c r="X193" s="1659"/>
      <c r="Z193" s="423">
        <f>IF($Z$3=4,#REF!,W193)</f>
        <v>3</v>
      </c>
      <c r="AA193" s="1501">
        <f>重み!D193</f>
        <v>0.7</v>
      </c>
      <c r="AB193" s="423">
        <f>IF($Z$3=4,#REF!,X193)</f>
        <v>0</v>
      </c>
      <c r="AC193" s="1501">
        <f>重み!E193</f>
        <v>0</v>
      </c>
      <c r="AD193" s="417"/>
      <c r="AE193" s="405"/>
      <c r="AF193" s="412">
        <f>重み!M193</f>
        <v>0.7</v>
      </c>
      <c r="AG193" s="182"/>
      <c r="AH193" s="412">
        <f>重み!N193</f>
        <v>0</v>
      </c>
      <c r="AI193" s="2080"/>
      <c r="AJ193" s="2080"/>
      <c r="AK193" s="2081"/>
    </row>
    <row r="194" spans="2:37" ht="14.25" customHeight="1" thickBot="1">
      <c r="B194" s="2475"/>
      <c r="C194" s="1805"/>
      <c r="D194" s="1804">
        <v>2</v>
      </c>
      <c r="E194" s="3280" t="s">
        <v>1973</v>
      </c>
      <c r="F194" s="3281"/>
      <c r="G194" s="3281"/>
      <c r="H194" s="3282"/>
      <c r="I194" s="2946"/>
      <c r="J194" s="2947"/>
      <c r="K194" s="2947"/>
      <c r="L194" s="2948"/>
      <c r="M194" s="3307">
        <f>採点LR3!G270</f>
        <v>0</v>
      </c>
      <c r="N194" s="3308"/>
      <c r="O194" s="3308"/>
      <c r="P194" s="3309"/>
      <c r="Q194" s="1814">
        <f>ROUNDDOWN(Z194,1)</f>
        <v>3</v>
      </c>
      <c r="R194" s="2479">
        <f t="shared" si="20"/>
        <v>0.3</v>
      </c>
      <c r="S194" s="2480">
        <f t="shared" si="15"/>
        <v>0</v>
      </c>
      <c r="T194" s="2335">
        <f>AC194</f>
        <v>0</v>
      </c>
      <c r="U194" s="2336"/>
      <c r="V194" s="2284"/>
      <c r="W194" s="1668">
        <f>採点LR3!F264</f>
        <v>3</v>
      </c>
      <c r="X194" s="1659"/>
      <c r="Z194" s="423">
        <f>IF($Z$3=4,#REF!,W194)</f>
        <v>3</v>
      </c>
      <c r="AA194" s="1501">
        <f>重み!D194</f>
        <v>0.3</v>
      </c>
      <c r="AB194" s="423">
        <f>IF($Z$3=4,#REF!,X194)</f>
        <v>0</v>
      </c>
      <c r="AC194" s="1501">
        <f>重み!E194</f>
        <v>0</v>
      </c>
      <c r="AD194" s="417"/>
      <c r="AE194" s="405"/>
      <c r="AF194" s="419">
        <f>重み!M194</f>
        <v>0.3</v>
      </c>
      <c r="AG194" s="182"/>
      <c r="AH194" s="419">
        <f>重み!N194</f>
        <v>0</v>
      </c>
      <c r="AI194" s="2080"/>
      <c r="AJ194" s="2080"/>
      <c r="AK194" s="2081"/>
    </row>
    <row r="195" spans="2:37">
      <c r="B195" s="2481"/>
      <c r="C195" s="1432"/>
      <c r="D195" s="1432"/>
      <c r="E195" s="1432"/>
      <c r="F195" s="1432"/>
      <c r="G195" s="1432"/>
      <c r="H195" s="1432"/>
      <c r="I195" s="1432"/>
      <c r="J195" s="1432"/>
      <c r="K195" s="1432"/>
      <c r="L195" s="1432"/>
      <c r="M195" s="1432"/>
      <c r="N195" s="1432"/>
      <c r="O195" s="1432"/>
      <c r="P195" s="1432"/>
      <c r="Q195" s="1432"/>
      <c r="R195" s="1432"/>
      <c r="S195" s="1432"/>
      <c r="T195" s="1432"/>
      <c r="U195" s="1432"/>
      <c r="V195" s="2284"/>
      <c r="W195" s="1674"/>
      <c r="X195" s="1674"/>
      <c r="Y195" s="1432"/>
      <c r="Z195" s="1432"/>
      <c r="AA195" s="1432"/>
      <c r="AB195" s="1432"/>
      <c r="AC195" s="1432"/>
      <c r="AD195" s="1432"/>
      <c r="AE195" s="1432"/>
      <c r="AF195" s="1432"/>
      <c r="AG195" s="1432"/>
      <c r="AH195" s="1432"/>
    </row>
    <row r="196" spans="2:37" ht="15" thickBot="1">
      <c r="B196" s="1364" t="str">
        <f>B2</f>
        <v>CASBEE-川崎2025年版</v>
      </c>
      <c r="U196" s="1927" t="str">
        <f>B3</f>
        <v>○○ビル</v>
      </c>
    </row>
    <row r="197" spans="2:37">
      <c r="B197" s="2482" t="s">
        <v>3118</v>
      </c>
      <c r="C197" s="2483"/>
      <c r="D197" s="2483"/>
      <c r="E197" s="2483"/>
      <c r="F197" s="2484"/>
      <c r="G197" s="2485" t="s">
        <v>386</v>
      </c>
      <c r="H197" s="2485" t="s">
        <v>3115</v>
      </c>
      <c r="I197" s="2486" t="s">
        <v>2856</v>
      </c>
      <c r="J197" s="2486" t="s">
        <v>2857</v>
      </c>
      <c r="K197" s="2486" t="s">
        <v>2858</v>
      </c>
      <c r="L197" s="2486" t="s">
        <v>2859</v>
      </c>
      <c r="M197" s="2486" t="s">
        <v>2860</v>
      </c>
      <c r="N197" s="2486" t="s">
        <v>2861</v>
      </c>
      <c r="O197" s="2486" t="s">
        <v>2862</v>
      </c>
      <c r="P197" s="2486" t="s">
        <v>2863</v>
      </c>
      <c r="Q197" s="2486" t="s">
        <v>2864</v>
      </c>
      <c r="R197" s="2486" t="s">
        <v>2893</v>
      </c>
      <c r="S197" s="2486" t="s">
        <v>2894</v>
      </c>
      <c r="T197" s="2486" t="s">
        <v>2895</v>
      </c>
      <c r="U197" s="2487" t="s">
        <v>2896</v>
      </c>
    </row>
    <row r="198" spans="2:37" hidden="1">
      <c r="B198" s="2488" t="str">
        <f>重み!B9</f>
        <v>Q1</v>
      </c>
      <c r="C198" s="1773" t="str">
        <f>重み!C9</f>
        <v>室内環境</v>
      </c>
      <c r="D198" s="1773"/>
      <c r="E198" s="1773"/>
      <c r="F198" s="1773"/>
      <c r="G198" s="1449" t="s">
        <v>386</v>
      </c>
      <c r="H198" s="2489"/>
      <c r="I198" s="2490" t="s">
        <v>2856</v>
      </c>
      <c r="J198" s="2490" t="s">
        <v>2857</v>
      </c>
      <c r="K198" s="2490" t="s">
        <v>2858</v>
      </c>
      <c r="L198" s="2490" t="s">
        <v>2859</v>
      </c>
      <c r="M198" s="2490" t="s">
        <v>2860</v>
      </c>
      <c r="N198" s="2490" t="s">
        <v>2861</v>
      </c>
      <c r="O198" s="2490" t="s">
        <v>2862</v>
      </c>
      <c r="P198" s="2490" t="s">
        <v>2863</v>
      </c>
      <c r="Q198" s="2490" t="s">
        <v>2864</v>
      </c>
      <c r="R198" s="2490" t="s">
        <v>2893</v>
      </c>
      <c r="S198" s="2490" t="s">
        <v>2894</v>
      </c>
      <c r="T198" s="2490" t="s">
        <v>2895</v>
      </c>
      <c r="U198" s="2491" t="s">
        <v>2896</v>
      </c>
    </row>
    <row r="199" spans="2:37" hidden="1">
      <c r="B199" s="2488">
        <f>重み!B10</f>
        <v>1</v>
      </c>
      <c r="C199" s="1773" t="str">
        <f>重み!C10</f>
        <v>音環境</v>
      </c>
      <c r="D199" s="1773"/>
      <c r="E199" s="1773"/>
      <c r="F199" s="1773"/>
      <c r="G199" s="2492"/>
      <c r="H199" s="2489"/>
      <c r="I199" s="2492"/>
      <c r="J199" s="2492"/>
      <c r="K199" s="2492"/>
      <c r="L199" s="2492"/>
      <c r="M199" s="2492"/>
      <c r="N199" s="2492"/>
      <c r="O199" s="2492"/>
      <c r="P199" s="2492"/>
      <c r="Q199" s="2492"/>
      <c r="R199" s="2492"/>
      <c r="S199" s="2492"/>
      <c r="T199" s="2492"/>
      <c r="U199" s="2493"/>
    </row>
    <row r="200" spans="2:37" hidden="1">
      <c r="B200" s="2488">
        <f>重み!B11</f>
        <v>1.1000000000000001</v>
      </c>
      <c r="C200" s="1773" t="str">
        <f>重み!C11</f>
        <v>室内騒音レベル</v>
      </c>
      <c r="D200" s="1773"/>
      <c r="E200" s="1773"/>
      <c r="F200" s="1773"/>
      <c r="G200" s="2492"/>
      <c r="H200" s="2489"/>
      <c r="I200" s="2492"/>
      <c r="J200" s="2492"/>
      <c r="K200" s="2492"/>
      <c r="L200" s="2492"/>
      <c r="M200" s="2492"/>
      <c r="N200" s="2492"/>
      <c r="O200" s="2492"/>
      <c r="P200" s="2492"/>
      <c r="Q200" s="2492"/>
      <c r="R200" s="2492"/>
      <c r="S200" s="2492"/>
      <c r="T200" s="2492"/>
      <c r="U200" s="2493"/>
    </row>
    <row r="201" spans="2:37" hidden="1">
      <c r="B201" s="2488" t="str">
        <f>重み!B12</f>
        <v>1.1.1</v>
      </c>
      <c r="C201" s="1773">
        <f>重み!C12</f>
        <v>0</v>
      </c>
      <c r="D201" s="1773"/>
      <c r="E201" s="1773"/>
      <c r="F201" s="1773"/>
      <c r="G201" s="2492"/>
      <c r="H201" s="2489"/>
      <c r="I201" s="2492"/>
      <c r="J201" s="2492"/>
      <c r="K201" s="2492"/>
      <c r="L201" s="2492"/>
      <c r="M201" s="2492"/>
      <c r="N201" s="2492"/>
      <c r="O201" s="2492"/>
      <c r="P201" s="2492"/>
      <c r="Q201" s="2492"/>
      <c r="R201" s="2492"/>
      <c r="S201" s="2492"/>
      <c r="T201" s="2492"/>
      <c r="U201" s="2493"/>
    </row>
    <row r="202" spans="2:37" hidden="1">
      <c r="B202" s="2488" t="str">
        <f>重み!B13</f>
        <v>1.1.2</v>
      </c>
      <c r="C202" s="1773">
        <f>重み!C13</f>
        <v>0</v>
      </c>
      <c r="D202" s="1773"/>
      <c r="E202" s="1773"/>
      <c r="F202" s="1773"/>
      <c r="G202" s="2492"/>
      <c r="H202" s="2489"/>
      <c r="I202" s="2492"/>
      <c r="J202" s="2492"/>
      <c r="K202" s="2492"/>
      <c r="L202" s="2492"/>
      <c r="M202" s="2492"/>
      <c r="N202" s="2492"/>
      <c r="O202" s="2492"/>
      <c r="P202" s="2492"/>
      <c r="Q202" s="2492"/>
      <c r="R202" s="2492"/>
      <c r="S202" s="2492"/>
      <c r="T202" s="2492"/>
      <c r="U202" s="2493"/>
    </row>
    <row r="203" spans="2:37" hidden="1">
      <c r="B203" s="2488">
        <f>重み!B14</f>
        <v>1.2</v>
      </c>
      <c r="C203" s="1773" t="str">
        <f>重み!C14</f>
        <v>遮音</v>
      </c>
      <c r="D203" s="1773"/>
      <c r="E203" s="1773"/>
      <c r="F203" s="1773"/>
      <c r="G203" s="2489"/>
      <c r="H203" s="2489"/>
      <c r="I203" s="2489"/>
      <c r="J203" s="2489"/>
      <c r="K203" s="2489"/>
      <c r="L203" s="2489"/>
      <c r="M203" s="2489"/>
      <c r="N203" s="2489"/>
      <c r="O203" s="2489"/>
      <c r="P203" s="2489"/>
      <c r="Q203" s="2489"/>
      <c r="R203" s="2489"/>
      <c r="S203" s="2489"/>
      <c r="T203" s="2489"/>
      <c r="U203" s="2494"/>
    </row>
    <row r="204" spans="2:37" hidden="1">
      <c r="B204" s="2488" t="str">
        <f>重み!B15</f>
        <v>1.2.1</v>
      </c>
      <c r="C204" s="1773" t="str">
        <f>重み!C15</f>
        <v>開口部遮音性能</v>
      </c>
      <c r="D204" s="1773"/>
      <c r="E204" s="1773"/>
      <c r="F204" s="1773"/>
      <c r="G204" s="2492"/>
      <c r="H204" s="2492"/>
      <c r="I204" s="2492"/>
      <c r="J204" s="2492"/>
      <c r="K204" s="2492"/>
      <c r="L204" s="2492"/>
      <c r="M204" s="2492"/>
      <c r="N204" s="2492"/>
      <c r="O204" s="2492"/>
      <c r="P204" s="2492"/>
      <c r="Q204" s="2492"/>
      <c r="R204" s="2492"/>
      <c r="S204" s="2492"/>
      <c r="T204" s="2492"/>
      <c r="U204" s="2493"/>
    </row>
    <row r="205" spans="2:37" hidden="1">
      <c r="B205" s="2488" t="str">
        <f>重み!B16</f>
        <v>1.2.2</v>
      </c>
      <c r="C205" s="1773" t="str">
        <f>重み!C16</f>
        <v>界壁遮音性能</v>
      </c>
      <c r="D205" s="1773"/>
      <c r="E205" s="1773"/>
      <c r="F205" s="1773"/>
      <c r="G205" s="2492"/>
      <c r="H205" s="2492"/>
      <c r="I205" s="2492"/>
      <c r="J205" s="2492"/>
      <c r="K205" s="2492"/>
      <c r="L205" s="2492"/>
      <c r="M205" s="2492"/>
      <c r="N205" s="2492"/>
      <c r="O205" s="2492"/>
      <c r="P205" s="2492"/>
      <c r="Q205" s="2492"/>
      <c r="R205" s="2492"/>
      <c r="S205" s="2492"/>
      <c r="T205" s="2492"/>
      <c r="U205" s="2493"/>
    </row>
    <row r="206" spans="2:37" hidden="1">
      <c r="B206" s="2488" t="str">
        <f>重み!B17</f>
        <v>1.2.3</v>
      </c>
      <c r="C206" s="1773" t="str">
        <f>重み!C17</f>
        <v>界床遮音性能（軽量衝撃源）</v>
      </c>
      <c r="D206" s="1773"/>
      <c r="E206" s="1773"/>
      <c r="F206" s="1773"/>
      <c r="G206" s="2492"/>
      <c r="H206" s="2492"/>
      <c r="I206" s="2492"/>
      <c r="J206" s="2492"/>
      <c r="K206" s="2492"/>
      <c r="L206" s="2492"/>
      <c r="M206" s="2492"/>
      <c r="N206" s="2492"/>
      <c r="O206" s="2492"/>
      <c r="P206" s="2492"/>
      <c r="Q206" s="2492"/>
      <c r="R206" s="2492"/>
      <c r="S206" s="2492"/>
      <c r="T206" s="2492"/>
      <c r="U206" s="2493"/>
    </row>
    <row r="207" spans="2:37" hidden="1">
      <c r="B207" s="2488" t="str">
        <f>重み!B18</f>
        <v>1.2.4</v>
      </c>
      <c r="C207" s="1773" t="str">
        <f>重み!C18</f>
        <v>界床遮音性能（重量衝撃源）</v>
      </c>
      <c r="D207" s="1773"/>
      <c r="E207" s="1773"/>
      <c r="F207" s="1773"/>
      <c r="G207" s="2492"/>
      <c r="H207" s="2492"/>
      <c r="I207" s="2492"/>
      <c r="J207" s="2492"/>
      <c r="K207" s="2492"/>
      <c r="L207" s="2492"/>
      <c r="M207" s="2492"/>
      <c r="N207" s="2492"/>
      <c r="O207" s="2492"/>
      <c r="P207" s="2492"/>
      <c r="Q207" s="2492"/>
      <c r="R207" s="2492"/>
      <c r="S207" s="2492"/>
      <c r="T207" s="2492"/>
      <c r="U207" s="2493"/>
    </row>
    <row r="208" spans="2:37" hidden="1">
      <c r="B208" s="2488">
        <f>重み!B19</f>
        <v>1.3</v>
      </c>
      <c r="C208" s="1773" t="str">
        <f>重み!C19</f>
        <v>吸音</v>
      </c>
      <c r="D208" s="1773"/>
      <c r="E208" s="1773"/>
      <c r="F208" s="1773"/>
      <c r="G208" s="2489"/>
      <c r="H208" s="2489"/>
      <c r="I208" s="2489"/>
      <c r="J208" s="2489"/>
      <c r="K208" s="2489"/>
      <c r="L208" s="2489"/>
      <c r="M208" s="2489"/>
      <c r="N208" s="2489"/>
      <c r="O208" s="2489"/>
      <c r="P208" s="2489"/>
      <c r="Q208" s="2489"/>
      <c r="R208" s="2489"/>
      <c r="S208" s="2489"/>
      <c r="T208" s="2489"/>
      <c r="U208" s="2494"/>
    </row>
    <row r="209" spans="2:21" hidden="1">
      <c r="B209" s="2488">
        <f>重み!B20</f>
        <v>2</v>
      </c>
      <c r="C209" s="1773" t="str">
        <f>重み!C20</f>
        <v>温熱環境</v>
      </c>
      <c r="D209" s="1773"/>
      <c r="E209" s="1773"/>
      <c r="F209" s="1773"/>
      <c r="G209" s="2492"/>
      <c r="H209" s="2492"/>
      <c r="I209" s="2492"/>
      <c r="J209" s="2492"/>
      <c r="K209" s="2492"/>
      <c r="L209" s="2492"/>
      <c r="M209" s="2492"/>
      <c r="N209" s="2492"/>
      <c r="O209" s="2492"/>
      <c r="P209" s="2492"/>
      <c r="Q209" s="2492"/>
      <c r="R209" s="2492"/>
      <c r="S209" s="2492"/>
      <c r="T209" s="2492"/>
      <c r="U209" s="2493"/>
    </row>
    <row r="210" spans="2:21" hidden="1">
      <c r="B210" s="2488">
        <f>重み!B21</f>
        <v>2.1</v>
      </c>
      <c r="C210" s="1773" t="str">
        <f>重み!C21</f>
        <v>室温制御</v>
      </c>
      <c r="D210" s="1773"/>
      <c r="E210" s="1773"/>
      <c r="F210" s="1773"/>
      <c r="G210" s="2492"/>
      <c r="H210" s="2492"/>
      <c r="I210" s="2492"/>
      <c r="J210" s="2492"/>
      <c r="K210" s="2492"/>
      <c r="L210" s="2492"/>
      <c r="M210" s="2492"/>
      <c r="N210" s="2492"/>
      <c r="O210" s="2492"/>
      <c r="P210" s="2492"/>
      <c r="Q210" s="2492"/>
      <c r="R210" s="2492"/>
      <c r="S210" s="2492"/>
      <c r="T210" s="2492"/>
      <c r="U210" s="2493"/>
    </row>
    <row r="211" spans="2:21" hidden="1">
      <c r="B211" s="2488" t="str">
        <f>重み!B22</f>
        <v>2.1.1</v>
      </c>
      <c r="C211" s="1773" t="str">
        <f>重み!C22</f>
        <v>室温</v>
      </c>
      <c r="D211" s="1773"/>
      <c r="E211" s="1773"/>
      <c r="F211" s="1773"/>
      <c r="G211" s="2492"/>
      <c r="H211" s="2492"/>
      <c r="I211" s="2492"/>
      <c r="J211" s="2492"/>
      <c r="K211" s="2492"/>
      <c r="L211" s="2492"/>
      <c r="M211" s="2492"/>
      <c r="N211" s="2492"/>
      <c r="O211" s="2492"/>
      <c r="P211" s="2492"/>
      <c r="Q211" s="2492"/>
      <c r="R211" s="2492"/>
      <c r="S211" s="2492"/>
      <c r="T211" s="2492"/>
      <c r="U211" s="2493"/>
    </row>
    <row r="212" spans="2:21" hidden="1">
      <c r="B212" s="2488" t="str">
        <f>重み!B23</f>
        <v>2.1.2</v>
      </c>
      <c r="C212" s="1773">
        <f>重み!C23</f>
        <v>0</v>
      </c>
      <c r="D212" s="1773"/>
      <c r="E212" s="1773"/>
      <c r="F212" s="1773"/>
      <c r="G212" s="2492"/>
      <c r="H212" s="2492"/>
      <c r="I212" s="2492"/>
      <c r="J212" s="2492"/>
      <c r="K212" s="2492"/>
      <c r="L212" s="2492"/>
      <c r="M212" s="2492"/>
      <c r="N212" s="2492"/>
      <c r="O212" s="2492"/>
      <c r="P212" s="2492"/>
      <c r="Q212" s="2492"/>
      <c r="R212" s="2492"/>
      <c r="S212" s="2492"/>
      <c r="T212" s="2492"/>
      <c r="U212" s="2493"/>
    </row>
    <row r="213" spans="2:21" hidden="1">
      <c r="B213" s="2488" t="str">
        <f>重み!B24</f>
        <v>2.1.3</v>
      </c>
      <c r="C213" s="1773" t="str">
        <f>重み!C24</f>
        <v>外皮性能</v>
      </c>
      <c r="D213" s="1773"/>
      <c r="E213" s="1773"/>
      <c r="F213" s="1773"/>
      <c r="G213" s="2492"/>
      <c r="H213" s="2492"/>
      <c r="I213" s="2492"/>
      <c r="J213" s="2492"/>
      <c r="K213" s="2492"/>
      <c r="L213" s="2492"/>
      <c r="M213" s="2492"/>
      <c r="N213" s="2492"/>
      <c r="O213" s="2492"/>
      <c r="P213" s="2492"/>
      <c r="Q213" s="2492"/>
      <c r="R213" s="2492"/>
      <c r="S213" s="2492"/>
      <c r="T213" s="2492"/>
      <c r="U213" s="2493"/>
    </row>
    <row r="214" spans="2:21" hidden="1">
      <c r="B214" s="2488" t="str">
        <f>重み!B25</f>
        <v>2.1.4</v>
      </c>
      <c r="C214" s="1773" t="str">
        <f>重み!C25</f>
        <v>ゾーン別制御性</v>
      </c>
      <c r="D214" s="1773"/>
      <c r="E214" s="1773"/>
      <c r="F214" s="1773"/>
      <c r="G214" s="2492"/>
      <c r="H214" s="2492"/>
      <c r="I214" s="2492"/>
      <c r="J214" s="2492"/>
      <c r="K214" s="2492"/>
      <c r="L214" s="2492"/>
      <c r="M214" s="2492"/>
      <c r="N214" s="2492"/>
      <c r="O214" s="2492"/>
      <c r="P214" s="2492"/>
      <c r="Q214" s="2492"/>
      <c r="R214" s="2492"/>
      <c r="S214" s="2492"/>
      <c r="T214" s="2492"/>
      <c r="U214" s="2493"/>
    </row>
    <row r="215" spans="2:21" hidden="1">
      <c r="B215" s="2488" t="str">
        <f>重み!B26</f>
        <v>2.1.5</v>
      </c>
      <c r="C215" s="1773">
        <f>重み!C26</f>
        <v>0</v>
      </c>
      <c r="D215" s="1773"/>
      <c r="E215" s="1773"/>
      <c r="F215" s="1773"/>
      <c r="G215" s="2492"/>
      <c r="H215" s="2492"/>
      <c r="I215" s="2492"/>
      <c r="J215" s="2492"/>
      <c r="K215" s="2492"/>
      <c r="L215" s="2492"/>
      <c r="M215" s="2492"/>
      <c r="N215" s="2492"/>
      <c r="O215" s="2492"/>
      <c r="P215" s="2492"/>
      <c r="Q215" s="2492"/>
      <c r="R215" s="2492"/>
      <c r="S215" s="2492"/>
      <c r="T215" s="2492"/>
      <c r="U215" s="2493"/>
    </row>
    <row r="216" spans="2:21" hidden="1">
      <c r="B216" s="2488" t="str">
        <f>重み!B27</f>
        <v>2.1.6</v>
      </c>
      <c r="C216" s="1773">
        <f>重み!C27</f>
        <v>0</v>
      </c>
      <c r="D216" s="1773"/>
      <c r="E216" s="1773"/>
      <c r="F216" s="1773"/>
      <c r="G216" s="2492"/>
      <c r="H216" s="2492"/>
      <c r="I216" s="2492"/>
      <c r="J216" s="2492"/>
      <c r="K216" s="2492"/>
      <c r="L216" s="2492"/>
      <c r="M216" s="2492"/>
      <c r="N216" s="2492"/>
      <c r="O216" s="2492"/>
      <c r="P216" s="2492"/>
      <c r="Q216" s="2492"/>
      <c r="R216" s="2492"/>
      <c r="S216" s="2492"/>
      <c r="T216" s="2492"/>
      <c r="U216" s="2493"/>
    </row>
    <row r="217" spans="2:21" hidden="1">
      <c r="B217" s="2488" t="str">
        <f>重み!B28</f>
        <v>2.1.7</v>
      </c>
      <c r="C217" s="1773">
        <f>重み!C28</f>
        <v>0</v>
      </c>
      <c r="D217" s="1773"/>
      <c r="E217" s="1773"/>
      <c r="F217" s="1773"/>
      <c r="G217" s="2492"/>
      <c r="H217" s="2492"/>
      <c r="I217" s="2492"/>
      <c r="J217" s="2492"/>
      <c r="K217" s="2492"/>
      <c r="L217" s="2492"/>
      <c r="M217" s="2492"/>
      <c r="N217" s="2492"/>
      <c r="O217" s="2492"/>
      <c r="P217" s="2492"/>
      <c r="Q217" s="2492"/>
      <c r="R217" s="2492"/>
      <c r="S217" s="2492"/>
      <c r="T217" s="2492"/>
      <c r="U217" s="2493"/>
    </row>
    <row r="218" spans="2:21" hidden="1">
      <c r="B218" s="2488" t="str">
        <f>重み!B29</f>
        <v>2.1.8</v>
      </c>
      <c r="C218" s="1773">
        <f>重み!C29</f>
        <v>0</v>
      </c>
      <c r="D218" s="1773"/>
      <c r="E218" s="1773"/>
      <c r="F218" s="1773"/>
      <c r="G218" s="2492"/>
      <c r="H218" s="2492"/>
      <c r="I218" s="2492"/>
      <c r="J218" s="2492"/>
      <c r="K218" s="2492"/>
      <c r="L218" s="2492"/>
      <c r="M218" s="2492"/>
      <c r="N218" s="2492"/>
      <c r="O218" s="2492"/>
      <c r="P218" s="2492"/>
      <c r="Q218" s="2492"/>
      <c r="R218" s="2492"/>
      <c r="S218" s="2492"/>
      <c r="T218" s="2492"/>
      <c r="U218" s="2493"/>
    </row>
    <row r="219" spans="2:21" hidden="1">
      <c r="B219" s="2488">
        <f>重み!B30</f>
        <v>2.2000000000000002</v>
      </c>
      <c r="C219" s="1773" t="str">
        <f>重み!C30</f>
        <v>湿度制御</v>
      </c>
      <c r="D219" s="1773"/>
      <c r="E219" s="1773"/>
      <c r="F219" s="1773"/>
      <c r="G219" s="2492"/>
      <c r="H219" s="2492"/>
      <c r="I219" s="2492"/>
      <c r="J219" s="2492"/>
      <c r="K219" s="2492"/>
      <c r="L219" s="2492"/>
      <c r="M219" s="2492"/>
      <c r="N219" s="2492"/>
      <c r="O219" s="2492"/>
      <c r="P219" s="2492"/>
      <c r="Q219" s="2492"/>
      <c r="R219" s="2492"/>
      <c r="S219" s="2492"/>
      <c r="T219" s="2492"/>
      <c r="U219" s="2493"/>
    </row>
    <row r="220" spans="2:21" hidden="1">
      <c r="B220" s="2488">
        <f>重み!B31</f>
        <v>2.2999999999999998</v>
      </c>
      <c r="C220" s="1773" t="str">
        <f>重み!C31</f>
        <v>空調方式（新築）</v>
      </c>
      <c r="D220" s="1773"/>
      <c r="E220" s="1773"/>
      <c r="F220" s="1773"/>
      <c r="G220" s="2492"/>
      <c r="H220" s="2492"/>
      <c r="I220" s="2492"/>
      <c r="J220" s="2492"/>
      <c r="K220" s="2492"/>
      <c r="L220" s="2492"/>
      <c r="M220" s="2492"/>
      <c r="N220" s="2492"/>
      <c r="O220" s="2492"/>
      <c r="P220" s="2492"/>
      <c r="Q220" s="2492"/>
      <c r="R220" s="2492"/>
      <c r="S220" s="2492"/>
      <c r="T220" s="2492"/>
      <c r="U220" s="2493"/>
    </row>
    <row r="221" spans="2:21" hidden="1">
      <c r="B221" s="2488">
        <f>重み!B32</f>
        <v>2.2999999999999998</v>
      </c>
      <c r="C221" s="1773">
        <f>重み!C32</f>
        <v>0</v>
      </c>
      <c r="D221" s="1773"/>
      <c r="E221" s="1773"/>
      <c r="F221" s="1773"/>
      <c r="G221" s="2492"/>
      <c r="H221" s="2492"/>
      <c r="I221" s="2492"/>
      <c r="J221" s="2492"/>
      <c r="K221" s="2492"/>
      <c r="L221" s="2492"/>
      <c r="M221" s="2492"/>
      <c r="N221" s="2492"/>
      <c r="O221" s="2492"/>
      <c r="P221" s="2492"/>
      <c r="Q221" s="2492"/>
      <c r="R221" s="2492"/>
      <c r="S221" s="2492"/>
      <c r="T221" s="2492"/>
      <c r="U221" s="2493"/>
    </row>
    <row r="222" spans="2:21" hidden="1">
      <c r="B222" s="2488" t="str">
        <f>重み!B33</f>
        <v>2.3.1</v>
      </c>
      <c r="C222" s="1773">
        <f>重み!C33</f>
        <v>0</v>
      </c>
      <c r="D222" s="1773"/>
      <c r="E222" s="1773"/>
      <c r="F222" s="1773"/>
      <c r="G222" s="2492"/>
      <c r="H222" s="2492"/>
      <c r="I222" s="2492"/>
      <c r="J222" s="2492"/>
      <c r="K222" s="2492"/>
      <c r="L222" s="2492"/>
      <c r="M222" s="2492"/>
      <c r="N222" s="2492"/>
      <c r="O222" s="2492"/>
      <c r="P222" s="2492"/>
      <c r="Q222" s="2492"/>
      <c r="R222" s="2492"/>
      <c r="S222" s="2492"/>
      <c r="T222" s="2492"/>
      <c r="U222" s="2493"/>
    </row>
    <row r="223" spans="2:21" hidden="1">
      <c r="B223" s="2488" t="str">
        <f>重み!B34</f>
        <v>2.3.2</v>
      </c>
      <c r="C223" s="1773">
        <f>重み!C34</f>
        <v>0</v>
      </c>
      <c r="D223" s="1773"/>
      <c r="E223" s="1773"/>
      <c r="F223" s="1773"/>
      <c r="G223" s="2492"/>
      <c r="H223" s="2492"/>
      <c r="I223" s="2492"/>
      <c r="J223" s="2492"/>
      <c r="K223" s="2492"/>
      <c r="L223" s="2492"/>
      <c r="M223" s="2492"/>
      <c r="N223" s="2492"/>
      <c r="O223" s="2492"/>
      <c r="P223" s="2492"/>
      <c r="Q223" s="2492"/>
      <c r="R223" s="2492"/>
      <c r="S223" s="2492"/>
      <c r="T223" s="2492"/>
      <c r="U223" s="2493"/>
    </row>
    <row r="224" spans="2:21" hidden="1">
      <c r="B224" s="2488">
        <f>重み!B35</f>
        <v>3</v>
      </c>
      <c r="C224" s="1773" t="str">
        <f>重み!C35</f>
        <v>光・視環境</v>
      </c>
      <c r="D224" s="1773"/>
      <c r="E224" s="1773"/>
      <c r="F224" s="1773"/>
      <c r="G224" s="2492"/>
      <c r="H224" s="2492"/>
      <c r="I224" s="2492"/>
      <c r="J224" s="2492"/>
      <c r="K224" s="2492"/>
      <c r="L224" s="2492"/>
      <c r="M224" s="2492"/>
      <c r="N224" s="2492"/>
      <c r="O224" s="2492"/>
      <c r="P224" s="2492"/>
      <c r="Q224" s="2492"/>
      <c r="R224" s="2492"/>
      <c r="S224" s="2492"/>
      <c r="T224" s="2492"/>
      <c r="U224" s="2493"/>
    </row>
    <row r="225" spans="2:21" hidden="1">
      <c r="B225" s="2488">
        <f>重み!B36</f>
        <v>3.1</v>
      </c>
      <c r="C225" s="1773" t="str">
        <f>重み!C36</f>
        <v>昼光利用</v>
      </c>
      <c r="D225" s="1773"/>
      <c r="E225" s="1773"/>
      <c r="F225" s="1773"/>
      <c r="G225" s="2492"/>
      <c r="H225" s="2492"/>
      <c r="I225" s="2492"/>
      <c r="J225" s="2492"/>
      <c r="K225" s="2492"/>
      <c r="L225" s="2492"/>
      <c r="M225" s="2492"/>
      <c r="N225" s="2492"/>
      <c r="O225" s="2492"/>
      <c r="P225" s="2492"/>
      <c r="Q225" s="2492"/>
      <c r="R225" s="2492"/>
      <c r="S225" s="2492"/>
      <c r="T225" s="2492"/>
      <c r="U225" s="2493"/>
    </row>
    <row r="226" spans="2:21" hidden="1">
      <c r="B226" s="2488" t="str">
        <f>重み!B37</f>
        <v>3.1.1</v>
      </c>
      <c r="C226" s="1773" t="str">
        <f>重み!C37</f>
        <v>昼光率</v>
      </c>
      <c r="D226" s="1773"/>
      <c r="E226" s="1773"/>
      <c r="F226" s="1773"/>
      <c r="G226" s="2492"/>
      <c r="H226" s="2492"/>
      <c r="I226" s="2492"/>
      <c r="J226" s="2492"/>
      <c r="K226" s="2492"/>
      <c r="L226" s="2492"/>
      <c r="M226" s="2492"/>
      <c r="N226" s="2492"/>
      <c r="O226" s="2492"/>
      <c r="P226" s="2492"/>
      <c r="Q226" s="2492"/>
      <c r="R226" s="2492"/>
      <c r="S226" s="2492"/>
      <c r="T226" s="2492"/>
      <c r="U226" s="2493"/>
    </row>
    <row r="227" spans="2:21" hidden="1">
      <c r="B227" s="2488" t="str">
        <f>重み!B38</f>
        <v>3.1.2</v>
      </c>
      <c r="C227" s="1773" t="str">
        <f>重み!C38</f>
        <v>方位別開口</v>
      </c>
      <c r="D227" s="1773"/>
      <c r="E227" s="1773"/>
      <c r="F227" s="1773"/>
      <c r="G227" s="2492"/>
      <c r="H227" s="2492"/>
      <c r="I227" s="2492"/>
      <c r="J227" s="2492"/>
      <c r="K227" s="2492"/>
      <c r="L227" s="2492"/>
      <c r="M227" s="2492"/>
      <c r="N227" s="2492"/>
      <c r="O227" s="2492"/>
      <c r="P227" s="2492"/>
      <c r="Q227" s="2492"/>
      <c r="R227" s="2492"/>
      <c r="S227" s="2492"/>
      <c r="T227" s="2492"/>
      <c r="U227" s="2493"/>
    </row>
    <row r="228" spans="2:21" hidden="1">
      <c r="B228" s="2488" t="str">
        <f>重み!B39</f>
        <v>3.1.3</v>
      </c>
      <c r="C228" s="1773" t="str">
        <f>重み!C39</f>
        <v>昼光利用設備</v>
      </c>
      <c r="D228" s="1773"/>
      <c r="E228" s="1773"/>
      <c r="F228" s="1773"/>
      <c r="G228" s="2489"/>
      <c r="H228" s="2489"/>
      <c r="I228" s="2489"/>
      <c r="J228" s="2489"/>
      <c r="K228" s="2489"/>
      <c r="L228" s="2489"/>
      <c r="M228" s="2489"/>
      <c r="N228" s="2489"/>
      <c r="O228" s="2489"/>
      <c r="P228" s="2489"/>
      <c r="Q228" s="2489"/>
      <c r="R228" s="2489"/>
      <c r="S228" s="2489"/>
      <c r="T228" s="2489"/>
      <c r="U228" s="2494"/>
    </row>
    <row r="229" spans="2:21" hidden="1">
      <c r="B229" s="2488">
        <f>重み!B40</f>
        <v>3.2</v>
      </c>
      <c r="C229" s="1773" t="str">
        <f>重み!C40</f>
        <v>グレア対策</v>
      </c>
      <c r="D229" s="1773"/>
      <c r="E229" s="1773"/>
      <c r="F229" s="1773"/>
      <c r="G229" s="2492"/>
      <c r="H229" s="2492"/>
      <c r="I229" s="2492"/>
      <c r="J229" s="2492"/>
      <c r="K229" s="2492"/>
      <c r="L229" s="2492"/>
      <c r="M229" s="2492"/>
      <c r="N229" s="2492"/>
      <c r="O229" s="2492"/>
      <c r="P229" s="2492"/>
      <c r="Q229" s="2492"/>
      <c r="R229" s="2492"/>
      <c r="S229" s="2492"/>
      <c r="T229" s="2492"/>
      <c r="U229" s="2493"/>
    </row>
    <row r="230" spans="2:21" hidden="1">
      <c r="B230" s="2488" t="str">
        <f>重み!B41</f>
        <v>3.2.1</v>
      </c>
      <c r="C230" s="1773">
        <f>重み!C41</f>
        <v>0</v>
      </c>
      <c r="D230" s="1773"/>
      <c r="E230" s="1773"/>
      <c r="F230" s="1773"/>
      <c r="G230" s="2492"/>
      <c r="H230" s="2492"/>
      <c r="I230" s="2492"/>
      <c r="J230" s="2492"/>
      <c r="K230" s="2492"/>
      <c r="L230" s="2492"/>
      <c r="M230" s="2492"/>
      <c r="N230" s="2492"/>
      <c r="O230" s="2492"/>
      <c r="P230" s="2492"/>
      <c r="Q230" s="2492"/>
      <c r="R230" s="2492"/>
      <c r="S230" s="2492"/>
      <c r="T230" s="2492"/>
      <c r="U230" s="2493"/>
    </row>
    <row r="231" spans="2:21" hidden="1">
      <c r="B231" s="2488" t="str">
        <f>重み!B42</f>
        <v>3.2.2</v>
      </c>
      <c r="C231" s="1773" t="str">
        <f>重み!C42</f>
        <v>昼光制御</v>
      </c>
      <c r="D231" s="1773"/>
      <c r="E231" s="1773"/>
      <c r="F231" s="1773"/>
      <c r="G231" s="2492"/>
      <c r="H231" s="2492"/>
      <c r="I231" s="2492"/>
      <c r="J231" s="2492"/>
      <c r="K231" s="2492"/>
      <c r="L231" s="2492"/>
      <c r="M231" s="2492"/>
      <c r="N231" s="2492"/>
      <c r="O231" s="2492"/>
      <c r="P231" s="2492"/>
      <c r="Q231" s="2492"/>
      <c r="R231" s="2492"/>
      <c r="S231" s="2492"/>
      <c r="T231" s="2492"/>
      <c r="U231" s="2493"/>
    </row>
    <row r="232" spans="2:21" hidden="1">
      <c r="B232" s="2488" t="str">
        <f>重み!B43</f>
        <v>3.2.3</v>
      </c>
      <c r="C232" s="1773">
        <f>重み!C43</f>
        <v>0</v>
      </c>
      <c r="D232" s="1773"/>
      <c r="E232" s="1773"/>
      <c r="F232" s="1773"/>
      <c r="G232" s="2492"/>
      <c r="H232" s="2492"/>
      <c r="I232" s="2492"/>
      <c r="J232" s="2492"/>
      <c r="K232" s="2492"/>
      <c r="L232" s="2492"/>
      <c r="M232" s="2492"/>
      <c r="N232" s="2492"/>
      <c r="O232" s="2492"/>
      <c r="P232" s="2492"/>
      <c r="Q232" s="2492"/>
      <c r="R232" s="2492"/>
      <c r="S232" s="2492"/>
      <c r="T232" s="2492"/>
      <c r="U232" s="2493"/>
    </row>
    <row r="233" spans="2:21" hidden="1">
      <c r="B233" s="2488">
        <f>重み!B44</f>
        <v>3.3</v>
      </c>
      <c r="C233" s="1773" t="str">
        <f>重み!C44</f>
        <v>照度</v>
      </c>
      <c r="D233" s="1773"/>
      <c r="E233" s="1773"/>
      <c r="F233" s="1773"/>
      <c r="G233" s="2492"/>
      <c r="H233" s="2492"/>
      <c r="I233" s="2492"/>
      <c r="J233" s="2492"/>
      <c r="K233" s="2492"/>
      <c r="L233" s="2492"/>
      <c r="M233" s="2492"/>
      <c r="N233" s="2492"/>
      <c r="O233" s="2492"/>
      <c r="P233" s="2492"/>
      <c r="Q233" s="2492"/>
      <c r="R233" s="2492"/>
      <c r="S233" s="2492"/>
      <c r="T233" s="2492"/>
      <c r="U233" s="2493"/>
    </row>
    <row r="234" spans="2:21" hidden="1">
      <c r="B234" s="2488" t="str">
        <f>重み!B45</f>
        <v>3.3.1</v>
      </c>
      <c r="C234" s="1773" t="str">
        <f>重み!C45</f>
        <v>照度</v>
      </c>
      <c r="D234" s="1773"/>
      <c r="E234" s="1773"/>
      <c r="F234" s="1773"/>
      <c r="G234" s="2492"/>
      <c r="H234" s="2492"/>
      <c r="I234" s="2492"/>
      <c r="J234" s="2492"/>
      <c r="K234" s="2492"/>
      <c r="L234" s="2492"/>
      <c r="M234" s="2492"/>
      <c r="N234" s="2492"/>
      <c r="O234" s="2492"/>
      <c r="P234" s="2492"/>
      <c r="Q234" s="2492"/>
      <c r="R234" s="2492"/>
      <c r="S234" s="2492"/>
      <c r="T234" s="2492"/>
      <c r="U234" s="2493"/>
    </row>
    <row r="235" spans="2:21" hidden="1">
      <c r="B235" s="2488" t="str">
        <f>重み!B46</f>
        <v>3.3.2</v>
      </c>
      <c r="C235" s="1773" t="str">
        <f>重み!C46</f>
        <v>照度均斉度</v>
      </c>
      <c r="D235" s="1773"/>
      <c r="E235" s="1773"/>
      <c r="F235" s="1773"/>
      <c r="G235" s="2492"/>
      <c r="H235" s="2492"/>
      <c r="I235" s="2492"/>
      <c r="J235" s="2492"/>
      <c r="K235" s="2492"/>
      <c r="L235" s="2492"/>
      <c r="M235" s="2492"/>
      <c r="N235" s="2492"/>
      <c r="O235" s="2492"/>
      <c r="P235" s="2492"/>
      <c r="Q235" s="2492"/>
      <c r="R235" s="2492"/>
      <c r="S235" s="2492"/>
      <c r="T235" s="2492"/>
      <c r="U235" s="2493"/>
    </row>
    <row r="236" spans="2:21" hidden="1">
      <c r="B236" s="2488">
        <f>重み!B47</f>
        <v>3.4</v>
      </c>
      <c r="C236" s="1773" t="str">
        <f>重み!C47</f>
        <v>照明制御</v>
      </c>
      <c r="D236" s="1773"/>
      <c r="E236" s="1773"/>
      <c r="F236" s="1773"/>
      <c r="G236" s="2492"/>
      <c r="H236" s="2492"/>
      <c r="I236" s="2492"/>
      <c r="J236" s="2492"/>
      <c r="K236" s="2492"/>
      <c r="L236" s="2492"/>
      <c r="M236" s="2492"/>
      <c r="N236" s="2492"/>
      <c r="O236" s="2492"/>
      <c r="P236" s="2492"/>
      <c r="Q236" s="2492"/>
      <c r="R236" s="2492"/>
      <c r="S236" s="2492"/>
      <c r="T236" s="2492"/>
      <c r="U236" s="2493"/>
    </row>
    <row r="237" spans="2:21" hidden="1">
      <c r="B237" s="2488">
        <f>重み!B48</f>
        <v>4</v>
      </c>
      <c r="C237" s="1773" t="str">
        <f>重み!C48</f>
        <v>空気質環境</v>
      </c>
      <c r="D237" s="1773"/>
      <c r="E237" s="1773"/>
      <c r="F237" s="1773"/>
      <c r="G237" s="2492"/>
      <c r="H237" s="2492"/>
      <c r="I237" s="2492"/>
      <c r="J237" s="2492"/>
      <c r="K237" s="2492"/>
      <c r="L237" s="2492"/>
      <c r="M237" s="2492"/>
      <c r="N237" s="2492"/>
      <c r="O237" s="2492"/>
      <c r="P237" s="2492"/>
      <c r="Q237" s="2492"/>
      <c r="R237" s="2492"/>
      <c r="S237" s="2492"/>
      <c r="T237" s="2492"/>
      <c r="U237" s="2493"/>
    </row>
    <row r="238" spans="2:21" hidden="1">
      <c r="B238" s="2488">
        <f>重み!B49</f>
        <v>4.0999999999999996</v>
      </c>
      <c r="C238" s="1773" t="str">
        <f>重み!C49</f>
        <v>発生源対策</v>
      </c>
      <c r="D238" s="1773"/>
      <c r="E238" s="1773"/>
      <c r="F238" s="1773"/>
      <c r="G238" s="2492"/>
      <c r="H238" s="2492"/>
      <c r="I238" s="2492"/>
      <c r="J238" s="2492"/>
      <c r="K238" s="2492"/>
      <c r="L238" s="2492"/>
      <c r="M238" s="2492"/>
      <c r="N238" s="2492"/>
      <c r="O238" s="2492"/>
      <c r="P238" s="2492"/>
      <c r="Q238" s="2492"/>
      <c r="R238" s="2492"/>
      <c r="S238" s="2492"/>
      <c r="T238" s="2492"/>
      <c r="U238" s="2493"/>
    </row>
    <row r="239" spans="2:21" hidden="1">
      <c r="B239" s="2488" t="str">
        <f>重み!B50</f>
        <v>4.1.1</v>
      </c>
      <c r="C239" s="1773" t="str">
        <f>重み!C50</f>
        <v xml:space="preserve"> 化学汚染物質</v>
      </c>
      <c r="D239" s="1773"/>
      <c r="E239" s="1773"/>
      <c r="F239" s="1773"/>
      <c r="G239" s="2492"/>
      <c r="H239" s="2492"/>
      <c r="I239" s="2492"/>
      <c r="J239" s="2492"/>
      <c r="K239" s="2492"/>
      <c r="L239" s="2492"/>
      <c r="M239" s="2492"/>
      <c r="N239" s="2492"/>
      <c r="O239" s="2492"/>
      <c r="P239" s="2492"/>
      <c r="Q239" s="2492"/>
      <c r="R239" s="2492"/>
      <c r="S239" s="2492"/>
      <c r="T239" s="2492"/>
      <c r="U239" s="2493"/>
    </row>
    <row r="240" spans="2:21" hidden="1">
      <c r="B240" s="2488" t="str">
        <f>重み!B51</f>
        <v>4.1.2</v>
      </c>
      <c r="C240" s="1773">
        <f>重み!C51</f>
        <v>0</v>
      </c>
      <c r="D240" s="1773"/>
      <c r="E240" s="1773"/>
      <c r="F240" s="1773"/>
      <c r="G240" s="2492"/>
      <c r="H240" s="2492"/>
      <c r="I240" s="2492"/>
      <c r="J240" s="2492"/>
      <c r="K240" s="2492"/>
      <c r="L240" s="2492"/>
      <c r="M240" s="2492"/>
      <c r="N240" s="2492"/>
      <c r="O240" s="2492"/>
      <c r="P240" s="2492"/>
      <c r="Q240" s="2492"/>
      <c r="R240" s="2492"/>
      <c r="S240" s="2492"/>
      <c r="T240" s="2492"/>
      <c r="U240" s="2493"/>
    </row>
    <row r="241" spans="2:24" hidden="1">
      <c r="B241" s="2488" t="str">
        <f>重み!B52</f>
        <v>4.1.3</v>
      </c>
      <c r="C241" s="1773">
        <f>重み!C52</f>
        <v>0</v>
      </c>
      <c r="D241" s="1773"/>
      <c r="E241" s="1773"/>
      <c r="F241" s="1773"/>
      <c r="G241" s="2492"/>
      <c r="H241" s="2492"/>
      <c r="I241" s="2492"/>
      <c r="J241" s="2492"/>
      <c r="K241" s="2492"/>
      <c r="L241" s="2492"/>
      <c r="M241" s="2492"/>
      <c r="N241" s="2492"/>
      <c r="O241" s="2492"/>
      <c r="P241" s="2492"/>
      <c r="Q241" s="2492"/>
      <c r="R241" s="2492"/>
      <c r="S241" s="2492"/>
      <c r="T241" s="2492"/>
      <c r="U241" s="2493"/>
    </row>
    <row r="242" spans="2:24" hidden="1">
      <c r="B242" s="2488" t="str">
        <f>重み!B53</f>
        <v>4.1.4</v>
      </c>
      <c r="C242" s="1773">
        <f>重み!C53</f>
        <v>0</v>
      </c>
      <c r="D242" s="1773"/>
      <c r="E242" s="1773"/>
      <c r="F242" s="1773"/>
      <c r="G242" s="2492"/>
      <c r="H242" s="2492"/>
      <c r="I242" s="2492"/>
      <c r="J242" s="2492"/>
      <c r="K242" s="2492"/>
      <c r="L242" s="2492"/>
      <c r="M242" s="2492"/>
      <c r="N242" s="2492"/>
      <c r="O242" s="2492"/>
      <c r="P242" s="2492"/>
      <c r="Q242" s="2492"/>
      <c r="R242" s="2492"/>
      <c r="S242" s="2492"/>
      <c r="T242" s="2492"/>
      <c r="U242" s="2493"/>
    </row>
    <row r="243" spans="2:24" hidden="1">
      <c r="B243" s="2488">
        <f>重み!B54</f>
        <v>4.2</v>
      </c>
      <c r="C243" s="1773" t="str">
        <f>重み!C54</f>
        <v>換気</v>
      </c>
      <c r="D243" s="1773"/>
      <c r="E243" s="1773"/>
      <c r="F243" s="1773"/>
      <c r="G243" s="2492"/>
      <c r="H243" s="2492"/>
      <c r="I243" s="2492"/>
      <c r="J243" s="2492"/>
      <c r="K243" s="2492"/>
      <c r="L243" s="2492"/>
      <c r="M243" s="2492"/>
      <c r="N243" s="2492"/>
      <c r="O243" s="2492"/>
      <c r="P243" s="2492"/>
      <c r="Q243" s="2492"/>
      <c r="R243" s="2492"/>
      <c r="S243" s="2492"/>
      <c r="T243" s="2492"/>
      <c r="U243" s="2493"/>
    </row>
    <row r="244" spans="2:24" hidden="1">
      <c r="B244" s="2488" t="str">
        <f>重み!B55</f>
        <v>4.2.1</v>
      </c>
      <c r="C244" s="1773" t="str">
        <f>重み!C55</f>
        <v>換気量</v>
      </c>
      <c r="D244" s="1773"/>
      <c r="E244" s="1773"/>
      <c r="F244" s="1773"/>
      <c r="G244" s="2489"/>
      <c r="H244" s="2489"/>
      <c r="I244" s="2489"/>
      <c r="J244" s="2489"/>
      <c r="K244" s="2489"/>
      <c r="L244" s="2489"/>
      <c r="M244" s="2489"/>
      <c r="N244" s="2489"/>
      <c r="O244" s="2489"/>
      <c r="P244" s="2489"/>
      <c r="Q244" s="2489"/>
      <c r="R244" s="2489"/>
      <c r="S244" s="2489"/>
      <c r="T244" s="2489"/>
      <c r="U244" s="2494"/>
    </row>
    <row r="245" spans="2:24" hidden="1">
      <c r="B245" s="2488" t="str">
        <f>重み!B56</f>
        <v>4.2.2</v>
      </c>
      <c r="C245" s="1773" t="str">
        <f>重み!C56</f>
        <v>自然換気性能</v>
      </c>
      <c r="D245" s="1773"/>
      <c r="E245" s="1773"/>
      <c r="F245" s="1773"/>
      <c r="G245" s="2492"/>
      <c r="H245" s="2492"/>
      <c r="I245" s="2492"/>
      <c r="J245" s="2492"/>
      <c r="K245" s="2492"/>
      <c r="L245" s="2492"/>
      <c r="M245" s="2492"/>
      <c r="N245" s="2492"/>
      <c r="O245" s="2492"/>
      <c r="P245" s="2492"/>
      <c r="Q245" s="2492"/>
      <c r="R245" s="2492"/>
      <c r="S245" s="2492"/>
      <c r="T245" s="2492"/>
      <c r="U245" s="2493"/>
    </row>
    <row r="246" spans="2:24" hidden="1">
      <c r="B246" s="2488" t="str">
        <f>重み!B57</f>
        <v>4.2.3</v>
      </c>
      <c r="C246" s="1773" t="str">
        <f>重み!C57</f>
        <v>取り入れ外気への配慮</v>
      </c>
      <c r="D246" s="1773"/>
      <c r="E246" s="1773"/>
      <c r="F246" s="1773"/>
      <c r="G246" s="2492"/>
      <c r="H246" s="2492"/>
      <c r="I246" s="2492"/>
      <c r="J246" s="2492"/>
      <c r="K246" s="2492"/>
      <c r="L246" s="2492"/>
      <c r="M246" s="2492"/>
      <c r="N246" s="2492"/>
      <c r="O246" s="2492"/>
      <c r="P246" s="2492"/>
      <c r="Q246" s="2492"/>
      <c r="R246" s="2492"/>
      <c r="S246" s="2492"/>
      <c r="T246" s="2492"/>
      <c r="U246" s="2493"/>
    </row>
    <row r="247" spans="2:24" hidden="1">
      <c r="B247" s="2488" t="str">
        <f>重み!B58</f>
        <v>4.2.4</v>
      </c>
      <c r="C247" s="1773">
        <f>重み!C58</f>
        <v>0</v>
      </c>
      <c r="D247" s="1773"/>
      <c r="E247" s="1773"/>
      <c r="F247" s="1773"/>
      <c r="G247" s="2492"/>
      <c r="H247" s="2492"/>
      <c r="I247" s="2492"/>
      <c r="J247" s="2492"/>
      <c r="K247" s="2492"/>
      <c r="L247" s="2492"/>
      <c r="M247" s="2492"/>
      <c r="N247" s="2492"/>
      <c r="O247" s="2492"/>
      <c r="P247" s="2492"/>
      <c r="Q247" s="2492"/>
      <c r="R247" s="2492"/>
      <c r="S247" s="2492"/>
      <c r="T247" s="2492"/>
      <c r="U247" s="2493"/>
    </row>
    <row r="248" spans="2:24" hidden="1">
      <c r="B248" s="2488">
        <f>重み!B59</f>
        <v>4.3</v>
      </c>
      <c r="C248" s="1773" t="str">
        <f>重み!C59</f>
        <v>運用管理</v>
      </c>
      <c r="D248" s="1773"/>
      <c r="E248" s="1773"/>
      <c r="F248" s="1773"/>
      <c r="G248" s="2492"/>
      <c r="H248" s="2492"/>
      <c r="I248" s="2492"/>
      <c r="J248" s="2492"/>
      <c r="K248" s="2492"/>
      <c r="L248" s="2492"/>
      <c r="M248" s="2492"/>
      <c r="N248" s="2492"/>
      <c r="O248" s="2492"/>
      <c r="P248" s="2492"/>
      <c r="Q248" s="2492"/>
      <c r="R248" s="2492"/>
      <c r="S248" s="2492"/>
      <c r="T248" s="2492"/>
      <c r="U248" s="2493"/>
    </row>
    <row r="249" spans="2:24" hidden="1">
      <c r="B249" s="2488" t="str">
        <f>重み!B60</f>
        <v>4.3.1</v>
      </c>
      <c r="C249" s="1773" t="str">
        <f>重み!C60</f>
        <v>CO2の監視</v>
      </c>
      <c r="D249" s="1773"/>
      <c r="E249" s="1773"/>
      <c r="F249" s="1773"/>
      <c r="G249" s="2492"/>
      <c r="H249" s="2492"/>
      <c r="I249" s="2492"/>
      <c r="J249" s="2492"/>
      <c r="K249" s="2492"/>
      <c r="L249" s="2492"/>
      <c r="M249" s="2492"/>
      <c r="N249" s="2492"/>
      <c r="O249" s="2492"/>
      <c r="P249" s="2492"/>
      <c r="Q249" s="2492"/>
      <c r="R249" s="2492"/>
      <c r="S249" s="2492"/>
      <c r="T249" s="2492"/>
      <c r="U249" s="2493"/>
    </row>
    <row r="250" spans="2:24" hidden="1">
      <c r="B250" s="2488" t="str">
        <f>重み!B61</f>
        <v>4.3.2</v>
      </c>
      <c r="C250" s="1773" t="str">
        <f>重み!C61</f>
        <v>喫煙の制御</v>
      </c>
      <c r="D250" s="1773"/>
      <c r="E250" s="1773"/>
      <c r="F250" s="1773"/>
      <c r="G250" s="2495"/>
      <c r="H250" s="2495"/>
      <c r="I250" s="2495"/>
      <c r="J250" s="2495"/>
      <c r="K250" s="2495"/>
      <c r="L250" s="2495"/>
      <c r="M250" s="2495"/>
      <c r="N250" s="2495"/>
      <c r="O250" s="2495"/>
      <c r="P250" s="2495"/>
      <c r="Q250" s="2495"/>
      <c r="R250" s="2495"/>
      <c r="S250" s="2495"/>
      <c r="T250" s="2495"/>
      <c r="U250" s="2496"/>
    </row>
    <row r="251" spans="2:24" ht="15">
      <c r="B251" s="2497" t="str">
        <f>重み!B62</f>
        <v>Q2</v>
      </c>
      <c r="C251" s="2498" t="str">
        <f>重み!C62</f>
        <v>サービス性能</v>
      </c>
      <c r="D251" s="2498"/>
      <c r="E251" s="2498"/>
      <c r="F251" s="2498"/>
      <c r="G251" s="2498"/>
      <c r="H251" s="2499"/>
      <c r="I251" s="2500"/>
      <c r="J251" s="2500"/>
      <c r="K251" s="2500"/>
      <c r="L251" s="2500"/>
      <c r="M251" s="2500"/>
      <c r="N251" s="2500"/>
      <c r="O251" s="2500"/>
      <c r="P251" s="2501"/>
      <c r="Q251" s="2501"/>
      <c r="R251" s="2502"/>
      <c r="S251" s="2503"/>
      <c r="T251" s="2502"/>
      <c r="U251" s="2504"/>
      <c r="W251"/>
      <c r="X251"/>
    </row>
    <row r="252" spans="2:24" ht="13.5" hidden="1">
      <c r="B252" s="2505">
        <f>重み!B63</f>
        <v>1</v>
      </c>
      <c r="C252" s="2506" t="str">
        <f>重み!C63</f>
        <v>機能性</v>
      </c>
      <c r="D252" s="2506"/>
      <c r="E252" s="2506"/>
      <c r="F252" s="2506"/>
      <c r="G252" s="2507"/>
      <c r="H252" s="2507"/>
      <c r="I252" s="2507"/>
      <c r="J252" s="2507"/>
      <c r="K252" s="2507"/>
      <c r="L252" s="2507"/>
      <c r="M252" s="2507"/>
      <c r="N252" s="2507"/>
      <c r="O252" s="2507"/>
      <c r="P252" s="2507"/>
      <c r="Q252" s="1773"/>
      <c r="R252" s="1773"/>
      <c r="S252" s="1773"/>
      <c r="T252" s="1773"/>
      <c r="U252" s="2508"/>
      <c r="W252"/>
      <c r="X252"/>
    </row>
    <row r="253" spans="2:24" ht="13.5" hidden="1">
      <c r="B253" s="2505">
        <f>重み!B64</f>
        <v>1.1000000000000001</v>
      </c>
      <c r="C253" s="2506" t="str">
        <f>重み!C64</f>
        <v>機能性・使いやすさ</v>
      </c>
      <c r="D253" s="2506"/>
      <c r="E253" s="2506"/>
      <c r="F253" s="2506"/>
      <c r="G253" s="2489"/>
      <c r="H253" s="2489"/>
      <c r="I253" s="2489"/>
      <c r="J253" s="2489"/>
      <c r="K253" s="2489"/>
      <c r="L253" s="2489"/>
      <c r="M253" s="2489"/>
      <c r="N253" s="2489"/>
      <c r="O253" s="2489"/>
      <c r="P253" s="2489"/>
      <c r="Q253" s="1773"/>
      <c r="R253" s="1773"/>
      <c r="S253" s="1773"/>
      <c r="T253" s="1773"/>
      <c r="U253" s="2508"/>
      <c r="W253"/>
      <c r="X253"/>
    </row>
    <row r="254" spans="2:24" ht="13.5" hidden="1">
      <c r="B254" s="2505" t="str">
        <f>重み!B65</f>
        <v>1.1.1</v>
      </c>
      <c r="C254" s="2506" t="str">
        <f>重み!C65</f>
        <v>広さ・収納性</v>
      </c>
      <c r="D254" s="2506"/>
      <c r="E254" s="2506"/>
      <c r="F254" s="2506"/>
      <c r="G254" s="2492"/>
      <c r="H254" s="2492"/>
      <c r="I254" s="2492"/>
      <c r="J254" s="2492"/>
      <c r="K254" s="2492"/>
      <c r="L254" s="2492"/>
      <c r="M254" s="2492"/>
      <c r="N254" s="2492"/>
      <c r="O254" s="2492"/>
      <c r="P254" s="2492"/>
      <c r="Q254" s="1773"/>
      <c r="R254" s="1773"/>
      <c r="S254" s="1773"/>
      <c r="T254" s="1773"/>
      <c r="U254" s="2508"/>
      <c r="W254"/>
      <c r="X254"/>
    </row>
    <row r="255" spans="2:24" ht="13.5" hidden="1">
      <c r="B255" s="2505" t="str">
        <f>重み!B66</f>
        <v>1.1.2</v>
      </c>
      <c r="C255" s="2506" t="str">
        <f>重み!C66</f>
        <v>高度情報通信設備対応</v>
      </c>
      <c r="D255" s="2506"/>
      <c r="E255" s="2506"/>
      <c r="F255" s="2506"/>
      <c r="G255" s="2492"/>
      <c r="H255" s="2492"/>
      <c r="I255" s="2492"/>
      <c r="J255" s="2492"/>
      <c r="K255" s="2492"/>
      <c r="L255" s="2492"/>
      <c r="M255" s="2492"/>
      <c r="N255" s="2492"/>
      <c r="O255" s="2492"/>
      <c r="P255" s="2492"/>
      <c r="Q255" s="1773"/>
      <c r="R255" s="1773"/>
      <c r="S255" s="1773"/>
      <c r="T255" s="1773"/>
      <c r="U255" s="2508"/>
      <c r="W255"/>
      <c r="X255"/>
    </row>
    <row r="256" spans="2:24" ht="13.5" hidden="1">
      <c r="B256" s="2505" t="str">
        <f>重み!B67</f>
        <v>1.1.3</v>
      </c>
      <c r="C256" s="2506" t="str">
        <f>重み!C67</f>
        <v>バリアフリー計画</v>
      </c>
      <c r="D256" s="2506"/>
      <c r="E256" s="2506"/>
      <c r="F256" s="2506"/>
      <c r="G256" s="2489"/>
      <c r="H256" s="2489"/>
      <c r="I256" s="2489"/>
      <c r="J256" s="2489"/>
      <c r="K256" s="2489"/>
      <c r="L256" s="2489"/>
      <c r="M256" s="2489"/>
      <c r="N256" s="2489"/>
      <c r="O256" s="2489"/>
      <c r="P256" s="2489"/>
      <c r="Q256" s="1773"/>
      <c r="R256" s="1773"/>
      <c r="S256" s="1773"/>
      <c r="T256" s="1773"/>
      <c r="U256" s="2508"/>
      <c r="W256"/>
      <c r="X256"/>
    </row>
    <row r="257" spans="2:24" ht="13.5" hidden="1">
      <c r="B257" s="2505">
        <f>重み!B68</f>
        <v>1.2</v>
      </c>
      <c r="C257" s="2506" t="str">
        <f>重み!C68</f>
        <v>心理性・快適性</v>
      </c>
      <c r="D257" s="2506"/>
      <c r="E257" s="2506"/>
      <c r="F257" s="2506"/>
      <c r="G257" s="2492"/>
      <c r="H257" s="2492"/>
      <c r="I257" s="2492"/>
      <c r="J257" s="2492"/>
      <c r="K257" s="2492"/>
      <c r="L257" s="2492"/>
      <c r="M257" s="2492"/>
      <c r="N257" s="2492"/>
      <c r="O257" s="2492"/>
      <c r="P257" s="2492"/>
      <c r="Q257" s="1773"/>
      <c r="R257" s="1773"/>
      <c r="S257" s="1773"/>
      <c r="T257" s="1773"/>
      <c r="U257" s="2508"/>
      <c r="W257"/>
      <c r="X257"/>
    </row>
    <row r="258" spans="2:24" ht="13.5" hidden="1">
      <c r="B258" s="2505" t="str">
        <f>重み!B69</f>
        <v>1.2.1</v>
      </c>
      <c r="C258" s="2506" t="str">
        <f>重み!C69</f>
        <v>広さ感・景観</v>
      </c>
      <c r="D258" s="2506"/>
      <c r="E258" s="2506"/>
      <c r="F258" s="2506"/>
      <c r="G258" s="2492"/>
      <c r="H258" s="2492"/>
      <c r="I258" s="2492"/>
      <c r="J258" s="2492"/>
      <c r="K258" s="2492"/>
      <c r="L258" s="2492"/>
      <c r="M258" s="2492"/>
      <c r="N258" s="2492"/>
      <c r="O258" s="2492"/>
      <c r="P258" s="2492"/>
      <c r="Q258" s="1773"/>
      <c r="R258" s="1773"/>
      <c r="S258" s="1773"/>
      <c r="T258" s="1773"/>
      <c r="U258" s="2508"/>
      <c r="W258"/>
      <c r="X258"/>
    </row>
    <row r="259" spans="2:24" ht="13.5" hidden="1">
      <c r="B259" s="2505">
        <f>重み!B70</f>
        <v>0</v>
      </c>
      <c r="C259" s="2506">
        <f>重み!C70</f>
        <v>0</v>
      </c>
      <c r="D259" s="2506"/>
      <c r="E259" s="2506"/>
      <c r="F259" s="2506"/>
      <c r="G259" s="2492"/>
      <c r="H259" s="2492"/>
      <c r="I259" s="2492"/>
      <c r="J259" s="2492"/>
      <c r="K259" s="2492"/>
      <c r="L259" s="2492"/>
      <c r="M259" s="2492"/>
      <c r="N259" s="2492"/>
      <c r="O259" s="2492"/>
      <c r="P259" s="2492"/>
      <c r="Q259" s="1773"/>
      <c r="R259" s="1773"/>
      <c r="S259" s="1773"/>
      <c r="T259" s="1773"/>
      <c r="U259" s="2508"/>
      <c r="W259"/>
      <c r="X259"/>
    </row>
    <row r="260" spans="2:24" ht="13.5" hidden="1">
      <c r="B260" s="2505" t="str">
        <f>重み!B71</f>
        <v>1.2.2</v>
      </c>
      <c r="C260" s="2506" t="str">
        <f>重み!C71</f>
        <v>リフレッシュスペース</v>
      </c>
      <c r="D260" s="2506"/>
      <c r="E260" s="2506"/>
      <c r="F260" s="2506"/>
      <c r="G260" s="2495"/>
      <c r="H260" s="2495"/>
      <c r="I260" s="2495"/>
      <c r="J260" s="2495"/>
      <c r="K260" s="2495"/>
      <c r="L260" s="2495"/>
      <c r="M260" s="2495"/>
      <c r="N260" s="2495"/>
      <c r="O260" s="2495"/>
      <c r="P260" s="2495"/>
      <c r="Q260" s="1773"/>
      <c r="R260" s="1773"/>
      <c r="S260" s="1773"/>
      <c r="T260" s="1773"/>
      <c r="U260" s="2508"/>
      <c r="W260"/>
      <c r="X260"/>
    </row>
    <row r="261" spans="2:24" ht="13.5">
      <c r="B261" s="2505" t="str">
        <f>重み!B72</f>
        <v>1.2.3</v>
      </c>
      <c r="C261" s="2506" t="str">
        <f>重み!C72</f>
        <v>内装計画</v>
      </c>
      <c r="D261" s="2506"/>
      <c r="E261" s="2506"/>
      <c r="F261" s="2506"/>
      <c r="G261" s="2492">
        <f>採点Q2!G81</f>
        <v>2</v>
      </c>
      <c r="H261" s="2492">
        <f>採点Q2!L81</f>
        <v>2</v>
      </c>
      <c r="I261" s="2492" t="str">
        <f>採点Q2!G77</f>
        <v>○</v>
      </c>
      <c r="J261" s="2492" t="str">
        <f>採点Q2!G78</f>
        <v>○</v>
      </c>
      <c r="K261" s="2492">
        <f>採点Q2!G79</f>
        <v>0</v>
      </c>
      <c r="L261" s="2492">
        <f>採点Q2!G80</f>
        <v>0</v>
      </c>
      <c r="M261" s="2492">
        <f>採点Q2!L77</f>
        <v>0</v>
      </c>
      <c r="N261" s="2492" t="str">
        <f>採点Q2!L78</f>
        <v>○</v>
      </c>
      <c r="O261" s="2492">
        <f>採点Q2!L79</f>
        <v>0</v>
      </c>
      <c r="P261" s="2492" t="str">
        <f>採点Q2!L80</f>
        <v>○</v>
      </c>
      <c r="Q261" s="2509"/>
      <c r="R261" s="2509"/>
      <c r="S261" s="2509"/>
      <c r="T261" s="2509"/>
      <c r="U261" s="2510"/>
      <c r="W261"/>
      <c r="X261"/>
    </row>
    <row r="262" spans="2:24" hidden="1">
      <c r="B262" s="2505">
        <f>重み!B73</f>
        <v>0</v>
      </c>
      <c r="C262" s="2506">
        <f>重み!C73</f>
        <v>0</v>
      </c>
      <c r="D262" s="2506"/>
      <c r="E262" s="2506"/>
      <c r="F262" s="2506"/>
      <c r="G262" s="2492"/>
      <c r="H262" s="2492"/>
      <c r="I262" s="2492"/>
      <c r="J262" s="2492"/>
      <c r="K262" s="2492"/>
      <c r="L262" s="2492"/>
      <c r="M262" s="2492"/>
      <c r="N262" s="2492"/>
      <c r="O262" s="2492"/>
      <c r="P262" s="2492"/>
      <c r="Q262" s="2492"/>
      <c r="R262" s="2492"/>
      <c r="S262" s="2492"/>
      <c r="T262" s="2492"/>
      <c r="U262" s="2494"/>
    </row>
    <row r="263" spans="2:24" hidden="1">
      <c r="B263" s="2505">
        <f>重み!B74</f>
        <v>1.3</v>
      </c>
      <c r="C263" s="2506" t="str">
        <f>重み!C74</f>
        <v>維持管理</v>
      </c>
      <c r="D263" s="2506"/>
      <c r="E263" s="2506"/>
      <c r="F263" s="2506"/>
      <c r="G263" s="2492"/>
      <c r="H263" s="2492"/>
      <c r="I263" s="2492"/>
      <c r="J263" s="2492"/>
      <c r="K263" s="2492"/>
      <c r="L263" s="2492"/>
      <c r="M263" s="2492"/>
      <c r="N263" s="2492"/>
      <c r="O263" s="2492"/>
      <c r="P263" s="2492"/>
      <c r="Q263" s="2492"/>
      <c r="R263" s="2492"/>
      <c r="S263" s="2492"/>
      <c r="T263" s="2492"/>
      <c r="U263" s="2494"/>
    </row>
    <row r="264" spans="2:24">
      <c r="B264" s="2505" t="str">
        <f>重み!B75</f>
        <v>1.3.1</v>
      </c>
      <c r="C264" s="2506" t="str">
        <f>重み!C75</f>
        <v>維持管理に配慮した設計</v>
      </c>
      <c r="D264" s="2506"/>
      <c r="E264" s="2506"/>
      <c r="F264" s="2506"/>
      <c r="G264" s="2492">
        <f>採点Q2!G108</f>
        <v>3</v>
      </c>
      <c r="H264" s="2509"/>
      <c r="I264" s="2492" t="str">
        <f>採点Q2!G95</f>
        <v>○</v>
      </c>
      <c r="J264" s="2492">
        <f>採点Q2!G96</f>
        <v>0</v>
      </c>
      <c r="K264" s="2492">
        <f>採点Q2!G97</f>
        <v>0</v>
      </c>
      <c r="L264" s="2492">
        <f>採点Q2!G98</f>
        <v>0</v>
      </c>
      <c r="M264" s="2492">
        <f>採点Q2!G99</f>
        <v>0</v>
      </c>
      <c r="N264" s="2492" t="str">
        <f>採点Q2!G100</f>
        <v>○</v>
      </c>
      <c r="O264" s="2492">
        <f>採点Q2!G101</f>
        <v>0</v>
      </c>
      <c r="P264" s="2492" t="str">
        <f>採点Q2!G102</f>
        <v>○</v>
      </c>
      <c r="Q264" s="2492">
        <f>採点Q2!G103</f>
        <v>0</v>
      </c>
      <c r="R264" s="2492">
        <f>採点Q2!G104</f>
        <v>0</v>
      </c>
      <c r="S264" s="2492">
        <f>採点Q2!G105</f>
        <v>0</v>
      </c>
      <c r="T264" s="2751">
        <f>採点Q2!G106</f>
        <v>0</v>
      </c>
      <c r="U264" s="2771">
        <f>採点Q2!G107</f>
        <v>0</v>
      </c>
    </row>
    <row r="265" spans="2:24">
      <c r="B265" s="2505" t="str">
        <f>重み!B76</f>
        <v>1.3.2</v>
      </c>
      <c r="C265" s="2506" t="str">
        <f>重み!C76</f>
        <v>維持管理用機能の確保</v>
      </c>
      <c r="D265" s="2506"/>
      <c r="E265" s="2506"/>
      <c r="F265" s="2506"/>
      <c r="G265" s="2492">
        <f>採点Q2!G154</f>
        <v>3</v>
      </c>
      <c r="H265" s="2509"/>
      <c r="I265" s="2492">
        <f>採点Q2!G141</f>
        <v>0</v>
      </c>
      <c r="J265" s="2492">
        <f>採点Q2!G142</f>
        <v>0</v>
      </c>
      <c r="K265" s="2492">
        <f>採点Q2!G143</f>
        <v>0</v>
      </c>
      <c r="L265" s="2492">
        <f>採点Q2!G144</f>
        <v>0</v>
      </c>
      <c r="M265" s="2492" t="str">
        <f>採点Q2!G145</f>
        <v>○</v>
      </c>
      <c r="N265" s="2492">
        <f>採点Q2!G146</f>
        <v>0</v>
      </c>
      <c r="O265" s="2492" t="str">
        <f>採点Q2!G147</f>
        <v>○</v>
      </c>
      <c r="P265" s="2492">
        <f>採点Q2!G148</f>
        <v>0</v>
      </c>
      <c r="Q265" s="2492">
        <f>採点Q2!G149</f>
        <v>0</v>
      </c>
      <c r="R265" s="2492">
        <f>採点Q2!G150</f>
        <v>0</v>
      </c>
      <c r="S265" s="2492">
        <f>採点Q2!G151</f>
        <v>0</v>
      </c>
      <c r="T265" s="2492" t="str">
        <f>採点Q2!G152</f>
        <v>○</v>
      </c>
      <c r="U265" s="2493">
        <f>採点Q2!G153</f>
        <v>0</v>
      </c>
    </row>
    <row r="266" spans="2:24" hidden="1">
      <c r="B266" s="2505">
        <f>重み!B77</f>
        <v>0</v>
      </c>
      <c r="C266" s="2506">
        <f>重み!C77</f>
        <v>0</v>
      </c>
      <c r="D266" s="2506"/>
      <c r="E266" s="2506"/>
      <c r="F266" s="2506"/>
      <c r="G266" s="2492">
        <f>採点Q2!G202</f>
        <v>0</v>
      </c>
      <c r="H266" s="2509"/>
      <c r="I266" s="2492">
        <f>採点Q2!G193</f>
        <v>0</v>
      </c>
      <c r="J266" s="2492">
        <f>採点Q2!G194</f>
        <v>0</v>
      </c>
      <c r="K266" s="2492">
        <f>採点Q2!G195</f>
        <v>0</v>
      </c>
      <c r="L266" s="2492">
        <f>採点Q2!G196</f>
        <v>0</v>
      </c>
      <c r="M266" s="2492">
        <f>採点Q2!G197</f>
        <v>0</v>
      </c>
      <c r="N266" s="2492">
        <f>採点Q2!G198</f>
        <v>0</v>
      </c>
      <c r="O266" s="2492">
        <f>採点Q2!G199</f>
        <v>0</v>
      </c>
      <c r="P266" s="2492">
        <f>採点Q2!G200</f>
        <v>0</v>
      </c>
      <c r="Q266" s="2492">
        <f>採点Q2!G201</f>
        <v>0</v>
      </c>
      <c r="R266" s="2492"/>
      <c r="S266" s="2492"/>
      <c r="T266" s="2492"/>
      <c r="U266" s="2493"/>
    </row>
    <row r="267" spans="2:24" hidden="1">
      <c r="B267" s="2505">
        <f>重み!B78</f>
        <v>2</v>
      </c>
      <c r="C267" s="2506" t="str">
        <f>重み!C78</f>
        <v>耐用性・信頼性</v>
      </c>
      <c r="D267" s="2506"/>
      <c r="E267" s="2506"/>
      <c r="F267" s="2506"/>
      <c r="G267" s="2492"/>
      <c r="H267" s="2509"/>
      <c r="I267" s="2489"/>
      <c r="J267" s="2492"/>
      <c r="K267" s="2492"/>
      <c r="L267" s="2489"/>
      <c r="M267" s="2492"/>
      <c r="N267" s="2492"/>
      <c r="O267" s="2492"/>
      <c r="P267" s="2489"/>
      <c r="Q267" s="2489"/>
      <c r="R267" s="2492"/>
      <c r="S267" s="2492"/>
      <c r="T267" s="2492"/>
      <c r="U267" s="2493"/>
    </row>
    <row r="268" spans="2:24" hidden="1">
      <c r="B268" s="2505">
        <f>重み!B79</f>
        <v>2.1</v>
      </c>
      <c r="C268" s="2506" t="str">
        <f>重み!C79</f>
        <v>耐震･免震・制震・制振</v>
      </c>
      <c r="D268" s="2506"/>
      <c r="E268" s="2506"/>
      <c r="F268" s="2506"/>
      <c r="G268" s="2492"/>
      <c r="H268" s="2509"/>
      <c r="I268" s="2489"/>
      <c r="J268" s="2492"/>
      <c r="K268" s="2492"/>
      <c r="L268" s="2492"/>
      <c r="M268" s="2492"/>
      <c r="N268" s="2492"/>
      <c r="O268" s="2492"/>
      <c r="P268" s="2492"/>
      <c r="Q268" s="2489"/>
      <c r="R268" s="2492"/>
      <c r="S268" s="2492"/>
      <c r="T268" s="2492"/>
      <c r="U268" s="2493"/>
    </row>
    <row r="269" spans="2:24" hidden="1">
      <c r="B269" s="2505" t="str">
        <f>重み!B80</f>
        <v>2.1.1</v>
      </c>
      <c r="C269" s="2506" t="str">
        <f>重み!C80</f>
        <v>耐震性</v>
      </c>
      <c r="D269" s="2506"/>
      <c r="E269" s="2506"/>
      <c r="F269" s="2506"/>
      <c r="G269" s="2492"/>
      <c r="H269" s="2509"/>
      <c r="I269" s="2489"/>
      <c r="J269" s="2492"/>
      <c r="K269" s="2492"/>
      <c r="L269" s="2492"/>
      <c r="M269" s="2492"/>
      <c r="N269" s="2492"/>
      <c r="O269" s="2492"/>
      <c r="P269" s="2492"/>
      <c r="Q269" s="2489"/>
      <c r="R269" s="2492"/>
      <c r="S269" s="2492"/>
      <c r="T269" s="2492"/>
      <c r="U269" s="2493"/>
    </row>
    <row r="270" spans="2:24" hidden="1">
      <c r="B270" s="2505" t="str">
        <f>重み!B81</f>
        <v>2.1.2</v>
      </c>
      <c r="C270" s="2506" t="str">
        <f>重み!C81</f>
        <v>免震・制震・制振性能</v>
      </c>
      <c r="D270" s="2506"/>
      <c r="E270" s="2506"/>
      <c r="F270" s="2506"/>
      <c r="G270" s="2492"/>
      <c r="H270" s="2509"/>
      <c r="I270" s="2489"/>
      <c r="J270" s="2492"/>
      <c r="K270" s="2492"/>
      <c r="L270" s="2492"/>
      <c r="M270" s="2492"/>
      <c r="N270" s="2492"/>
      <c r="O270" s="2492"/>
      <c r="P270" s="2492"/>
      <c r="Q270" s="2489"/>
      <c r="R270" s="2492"/>
      <c r="S270" s="2492"/>
      <c r="T270" s="2492"/>
      <c r="U270" s="2493"/>
    </row>
    <row r="271" spans="2:24" hidden="1">
      <c r="B271" s="2505">
        <f>重み!B82</f>
        <v>2.2000000000000002</v>
      </c>
      <c r="C271" s="2506" t="str">
        <f>重み!C82</f>
        <v>部品・部材の耐用年数</v>
      </c>
      <c r="D271" s="2506"/>
      <c r="E271" s="2506"/>
      <c r="F271" s="2506"/>
      <c r="G271" s="2492"/>
      <c r="H271" s="2509"/>
      <c r="I271" s="2489"/>
      <c r="J271" s="2492"/>
      <c r="K271" s="2492"/>
      <c r="L271" s="2492"/>
      <c r="M271" s="2492"/>
      <c r="N271" s="2492"/>
      <c r="O271" s="2492"/>
      <c r="P271" s="2492"/>
      <c r="Q271" s="2489"/>
      <c r="R271" s="2492"/>
      <c r="S271" s="2492"/>
      <c r="T271" s="2492"/>
      <c r="U271" s="2493"/>
    </row>
    <row r="272" spans="2:24" hidden="1">
      <c r="B272" s="2505" t="str">
        <f>重み!B83</f>
        <v>2.2.1</v>
      </c>
      <c r="C272" s="2506" t="str">
        <f>重み!C83</f>
        <v>躯体材料の耐用年数</v>
      </c>
      <c r="D272" s="2506"/>
      <c r="E272" s="2506"/>
      <c r="F272" s="2506"/>
      <c r="G272" s="2492"/>
      <c r="H272" s="2509"/>
      <c r="I272" s="2489"/>
      <c r="J272" s="2492"/>
      <c r="K272" s="2492"/>
      <c r="L272" s="2492"/>
      <c r="M272" s="2492"/>
      <c r="N272" s="2492"/>
      <c r="O272" s="2492"/>
      <c r="P272" s="2492"/>
      <c r="Q272" s="2489"/>
      <c r="R272" s="2492"/>
      <c r="S272" s="2492"/>
      <c r="T272" s="2492"/>
      <c r="U272" s="2493"/>
    </row>
    <row r="273" spans="2:21" hidden="1">
      <c r="B273" s="2505" t="str">
        <f>重み!B84</f>
        <v>2.2.2</v>
      </c>
      <c r="C273" s="2506" t="str">
        <f>重み!C84</f>
        <v>外壁仕上げ材の補修必要間隔</v>
      </c>
      <c r="D273" s="2506"/>
      <c r="E273" s="2506"/>
      <c r="F273" s="2506"/>
      <c r="G273" s="2492"/>
      <c r="H273" s="2509"/>
      <c r="I273" s="2489"/>
      <c r="J273" s="2492"/>
      <c r="K273" s="2492"/>
      <c r="L273" s="2492"/>
      <c r="M273" s="2492"/>
      <c r="N273" s="2492"/>
      <c r="O273" s="2492"/>
      <c r="P273" s="2492"/>
      <c r="Q273" s="2492"/>
      <c r="R273" s="2492"/>
      <c r="S273" s="2492"/>
      <c r="T273" s="2492"/>
      <c r="U273" s="2493"/>
    </row>
    <row r="274" spans="2:21" hidden="1">
      <c r="B274" s="2505" t="str">
        <f>重み!B85</f>
        <v>2.2.3</v>
      </c>
      <c r="C274" s="2506" t="str">
        <f>重み!C85</f>
        <v>主要内装仕上げ材の更新必要間隔</v>
      </c>
      <c r="D274" s="2506"/>
      <c r="E274" s="2506"/>
      <c r="F274" s="2506"/>
      <c r="G274" s="2492"/>
      <c r="H274" s="2509"/>
      <c r="I274" s="2489"/>
      <c r="J274" s="2492"/>
      <c r="K274" s="2492"/>
      <c r="L274" s="2492"/>
      <c r="M274" s="2492"/>
      <c r="N274" s="2492"/>
      <c r="O274" s="2492"/>
      <c r="P274" s="2492"/>
      <c r="Q274" s="2492"/>
      <c r="R274" s="2492"/>
      <c r="S274" s="2492"/>
      <c r="T274" s="2492"/>
      <c r="U274" s="2493"/>
    </row>
    <row r="275" spans="2:21" hidden="1">
      <c r="B275" s="2505" t="str">
        <f>重み!B86</f>
        <v>2.2.4</v>
      </c>
      <c r="C275" s="2506" t="str">
        <f>重み!C86</f>
        <v>空調換気ダクトの更新必要間隔</v>
      </c>
      <c r="D275" s="2506"/>
      <c r="E275" s="2506"/>
      <c r="F275" s="2506"/>
      <c r="G275" s="2492"/>
      <c r="H275" s="2509"/>
      <c r="I275" s="2489"/>
      <c r="J275" s="2492"/>
      <c r="K275" s="2492"/>
      <c r="L275" s="2492"/>
      <c r="M275" s="2492"/>
      <c r="N275" s="2492"/>
      <c r="O275" s="2492"/>
      <c r="P275" s="2492"/>
      <c r="Q275" s="2492"/>
      <c r="R275" s="2492"/>
      <c r="S275" s="2492"/>
      <c r="T275" s="2492"/>
      <c r="U275" s="2493"/>
    </row>
    <row r="276" spans="2:21" hidden="1">
      <c r="B276" s="2505" t="str">
        <f>重み!B87</f>
        <v>2.2.5</v>
      </c>
      <c r="C276" s="2506" t="str">
        <f>重み!C87</f>
        <v>空調・給排水配管の更新必要間隔</v>
      </c>
      <c r="D276" s="2506"/>
      <c r="E276" s="2506"/>
      <c r="F276" s="2506"/>
      <c r="G276" s="2492"/>
      <c r="H276" s="2509"/>
      <c r="I276" s="2492"/>
      <c r="J276" s="2492"/>
      <c r="K276" s="2492"/>
      <c r="L276" s="2492"/>
      <c r="M276" s="2492"/>
      <c r="N276" s="2492"/>
      <c r="O276" s="2492"/>
      <c r="P276" s="2492"/>
      <c r="Q276" s="2492"/>
      <c r="R276" s="2492"/>
      <c r="S276" s="2492"/>
      <c r="T276" s="2492"/>
      <c r="U276" s="2493"/>
    </row>
    <row r="277" spans="2:21" hidden="1">
      <c r="B277" s="2505" t="str">
        <f>重み!B88</f>
        <v>2.2.6</v>
      </c>
      <c r="C277" s="2506" t="str">
        <f>重み!C88</f>
        <v>主要設備機器の更新必要間隔</v>
      </c>
      <c r="D277" s="2506"/>
      <c r="E277" s="2506"/>
      <c r="F277" s="2506"/>
      <c r="G277" s="2492"/>
      <c r="H277" s="2509"/>
      <c r="I277" s="2492"/>
      <c r="J277" s="2492"/>
      <c r="K277" s="2492"/>
      <c r="L277" s="2492"/>
      <c r="M277" s="2492"/>
      <c r="N277" s="2492"/>
      <c r="O277" s="2492"/>
      <c r="P277" s="2492"/>
      <c r="Q277" s="2492"/>
      <c r="R277" s="2492"/>
      <c r="S277" s="2492"/>
      <c r="T277" s="2492"/>
      <c r="U277" s="2493"/>
    </row>
    <row r="278" spans="2:21" hidden="1">
      <c r="B278" s="2505">
        <f>重み!B89</f>
        <v>2.2999999999999998</v>
      </c>
      <c r="C278" s="2506" t="str">
        <f>重み!C89</f>
        <v>適切な更新</v>
      </c>
      <c r="D278" s="2506"/>
      <c r="E278" s="2506"/>
      <c r="F278" s="2506"/>
      <c r="G278" s="2492"/>
      <c r="H278" s="2509"/>
      <c r="I278" s="2492"/>
      <c r="J278" s="2492"/>
      <c r="K278" s="2492"/>
      <c r="L278" s="2492"/>
      <c r="M278" s="2492"/>
      <c r="N278" s="2492"/>
      <c r="O278" s="2492"/>
      <c r="P278" s="2492"/>
      <c r="Q278" s="2492"/>
      <c r="R278" s="2492"/>
      <c r="S278" s="2492"/>
      <c r="T278" s="2492"/>
      <c r="U278" s="2493"/>
    </row>
    <row r="279" spans="2:21" hidden="1">
      <c r="B279" s="2505" t="str">
        <f>重み!B90</f>
        <v>2.3.1</v>
      </c>
      <c r="C279" s="2506">
        <f>重み!C90</f>
        <v>0</v>
      </c>
      <c r="D279" s="2506"/>
      <c r="E279" s="2506"/>
      <c r="F279" s="2506"/>
      <c r="G279" s="2492"/>
      <c r="H279" s="2509"/>
      <c r="I279" s="2492"/>
      <c r="J279" s="2492"/>
      <c r="K279" s="2492"/>
      <c r="L279" s="2492"/>
      <c r="M279" s="2492"/>
      <c r="N279" s="2492"/>
      <c r="O279" s="2492"/>
      <c r="P279" s="2492"/>
      <c r="Q279" s="2492"/>
      <c r="R279" s="2492"/>
      <c r="S279" s="2492"/>
      <c r="T279" s="2492"/>
      <c r="U279" s="2493"/>
    </row>
    <row r="280" spans="2:21" hidden="1">
      <c r="B280" s="2505" t="str">
        <f>重み!B91</f>
        <v>2.3.2</v>
      </c>
      <c r="C280" s="2506">
        <f>重み!C91</f>
        <v>0</v>
      </c>
      <c r="D280" s="2506"/>
      <c r="E280" s="2506"/>
      <c r="F280" s="2506"/>
      <c r="G280" s="2492"/>
      <c r="H280" s="2509"/>
      <c r="I280" s="2492"/>
      <c r="J280" s="2492"/>
      <c r="K280" s="2492"/>
      <c r="L280" s="2492"/>
      <c r="M280" s="2492"/>
      <c r="N280" s="2492"/>
      <c r="O280" s="2492"/>
      <c r="P280" s="2492"/>
      <c r="Q280" s="2492"/>
      <c r="R280" s="2492"/>
      <c r="S280" s="2492"/>
      <c r="T280" s="2492"/>
      <c r="U280" s="2493"/>
    </row>
    <row r="281" spans="2:21" hidden="1">
      <c r="B281" s="2505" t="str">
        <f>重み!B92</f>
        <v>2.3.3</v>
      </c>
      <c r="C281" s="2506">
        <f>重み!C92</f>
        <v>0</v>
      </c>
      <c r="D281" s="2506"/>
      <c r="E281" s="2506"/>
      <c r="F281" s="2506"/>
      <c r="G281" s="2492"/>
      <c r="H281" s="2509"/>
      <c r="I281" s="2492"/>
      <c r="J281" s="2492"/>
      <c r="K281" s="2492"/>
      <c r="L281" s="2492"/>
      <c r="M281" s="2492"/>
      <c r="N281" s="2492"/>
      <c r="O281" s="2492"/>
      <c r="P281" s="2492"/>
      <c r="Q281" s="2492"/>
      <c r="R281" s="2492"/>
      <c r="S281" s="2492"/>
      <c r="T281" s="2492"/>
      <c r="U281" s="2493"/>
    </row>
    <row r="282" spans="2:21" hidden="1">
      <c r="B282" s="2505">
        <f>重み!B93</f>
        <v>2.4</v>
      </c>
      <c r="C282" s="2506" t="str">
        <f>重み!C93</f>
        <v>信頼性</v>
      </c>
      <c r="D282" s="2506"/>
      <c r="E282" s="2506"/>
      <c r="F282" s="2506"/>
      <c r="G282" s="2489"/>
      <c r="H282" s="2509"/>
      <c r="I282" s="2489"/>
      <c r="J282" s="2489"/>
      <c r="K282" s="2489"/>
      <c r="L282" s="2489"/>
      <c r="M282" s="2489"/>
      <c r="N282" s="2489"/>
      <c r="O282" s="2489"/>
      <c r="P282" s="2489"/>
      <c r="Q282" s="2489"/>
      <c r="R282" s="2489"/>
      <c r="S282" s="2489"/>
      <c r="T282" s="2489"/>
      <c r="U282" s="2494"/>
    </row>
    <row r="283" spans="2:21">
      <c r="B283" s="2505" t="str">
        <f>重み!B94</f>
        <v>2.4.1</v>
      </c>
      <c r="C283" s="2506" t="str">
        <f>重み!C94</f>
        <v>空調・換気設備</v>
      </c>
      <c r="D283" s="2506"/>
      <c r="E283" s="2506"/>
      <c r="F283" s="2506"/>
      <c r="G283" s="2492">
        <f>採点Q2!G288</f>
        <v>0</v>
      </c>
      <c r="H283" s="2509"/>
      <c r="I283" s="2492" t="str">
        <f>採点Q2!G283</f>
        <v>○</v>
      </c>
      <c r="J283" s="2492">
        <f>採点Q2!G284</f>
        <v>0</v>
      </c>
      <c r="K283" s="2492">
        <f>採点Q2!G285</f>
        <v>0</v>
      </c>
      <c r="L283" s="2492">
        <f>採点Q2!G286</f>
        <v>0</v>
      </c>
      <c r="M283" s="2492">
        <f>採点Q2!G287</f>
        <v>0</v>
      </c>
      <c r="N283" s="2509"/>
      <c r="O283" s="2509"/>
      <c r="P283" s="2509"/>
      <c r="Q283" s="2509"/>
      <c r="R283" s="2509"/>
      <c r="S283" s="2509"/>
      <c r="T283" s="2509"/>
      <c r="U283" s="2510"/>
    </row>
    <row r="284" spans="2:21">
      <c r="B284" s="2505" t="str">
        <f>重み!B95</f>
        <v>2.4.2</v>
      </c>
      <c r="C284" s="2506" t="str">
        <f>重み!C95</f>
        <v>給排水・衛生設備</v>
      </c>
      <c r="D284" s="2506"/>
      <c r="E284" s="2506"/>
      <c r="F284" s="2506"/>
      <c r="G284" s="2492">
        <f>採点Q2!I308</f>
        <v>1</v>
      </c>
      <c r="H284" s="2492">
        <f>採点Q2!M308</f>
        <v>1</v>
      </c>
      <c r="I284" s="2492" t="str">
        <f>採点Q2!G301</f>
        <v>○</v>
      </c>
      <c r="J284" s="2492">
        <f>採点Q2!G302</f>
        <v>0</v>
      </c>
      <c r="K284" s="2492">
        <f>採点Q2!G303</f>
        <v>0</v>
      </c>
      <c r="L284" s="2492">
        <f>採点Q2!G304</f>
        <v>0</v>
      </c>
      <c r="M284" s="2492">
        <f>採点Q2!G305</f>
        <v>0</v>
      </c>
      <c r="N284" s="2492">
        <f>採点Q2!G306</f>
        <v>0</v>
      </c>
      <c r="O284" s="2492">
        <f>採点Q2!G307</f>
        <v>0</v>
      </c>
      <c r="P284" s="2509"/>
      <c r="Q284" s="2509"/>
      <c r="R284" s="2509"/>
      <c r="S284" s="2509"/>
      <c r="T284" s="2509"/>
      <c r="U284" s="2510"/>
    </row>
    <row r="285" spans="2:21">
      <c r="B285" s="2505" t="str">
        <f>重み!B96</f>
        <v>2.4.3</v>
      </c>
      <c r="C285" s="2506" t="str">
        <f>重み!C96</f>
        <v>電気設備</v>
      </c>
      <c r="D285" s="2506"/>
      <c r="E285" s="2506"/>
      <c r="F285" s="2506"/>
      <c r="G285" s="2492">
        <f>採点Q2!I327</f>
        <v>1</v>
      </c>
      <c r="H285" s="2492">
        <f>採点Q2!M327</f>
        <v>0</v>
      </c>
      <c r="I285" s="2492">
        <f>採点Q2!G321</f>
        <v>0</v>
      </c>
      <c r="J285" s="2492">
        <f>採点Q2!G322</f>
        <v>0</v>
      </c>
      <c r="K285" s="2492">
        <f>採点Q2!G323</f>
        <v>0</v>
      </c>
      <c r="L285" s="2492" t="str">
        <f>採点Q2!G324</f>
        <v>○</v>
      </c>
      <c r="M285" s="2492">
        <f>採点Q2!G325</f>
        <v>0</v>
      </c>
      <c r="N285" s="2492">
        <f>採点Q2!G326</f>
        <v>0</v>
      </c>
      <c r="O285" s="2509"/>
      <c r="P285" s="2509"/>
      <c r="Q285" s="2509"/>
      <c r="R285" s="2509"/>
      <c r="S285" s="2509"/>
      <c r="T285" s="2509"/>
      <c r="U285" s="2510"/>
    </row>
    <row r="286" spans="2:21" hidden="1">
      <c r="B286" s="2505" t="str">
        <f>重み!B97</f>
        <v>2.4.4</v>
      </c>
      <c r="C286" s="2506" t="str">
        <f>重み!C97</f>
        <v>機械・配管支持方法</v>
      </c>
      <c r="D286" s="2506"/>
      <c r="E286" s="2506"/>
      <c r="F286" s="2506"/>
      <c r="G286" s="2492"/>
      <c r="H286" s="2492"/>
      <c r="I286" s="2489"/>
      <c r="J286" s="2492"/>
      <c r="K286" s="2492"/>
      <c r="L286" s="2492"/>
      <c r="M286" s="2492"/>
      <c r="N286" s="2492"/>
      <c r="O286" s="2509"/>
      <c r="P286" s="2509"/>
      <c r="Q286" s="2509"/>
      <c r="R286" s="2509"/>
      <c r="S286" s="2509"/>
      <c r="T286" s="2509"/>
      <c r="U286" s="2510"/>
    </row>
    <row r="287" spans="2:21">
      <c r="B287" s="2505" t="str">
        <f>重み!B98</f>
        <v>2.4.5</v>
      </c>
      <c r="C287" s="2506" t="str">
        <f>重み!C98</f>
        <v>通信・情報設備</v>
      </c>
      <c r="D287" s="2506"/>
      <c r="E287" s="2506"/>
      <c r="F287" s="2506"/>
      <c r="G287" s="2492">
        <f>採点Q2!G356</f>
        <v>0</v>
      </c>
      <c r="H287" s="2509"/>
      <c r="I287" s="2492">
        <f>採点Q2!G350</f>
        <v>0</v>
      </c>
      <c r="J287" s="2492">
        <f>採点Q2!G351</f>
        <v>0</v>
      </c>
      <c r="K287" s="2492">
        <f>採点Q2!G352</f>
        <v>0</v>
      </c>
      <c r="L287" s="2492">
        <f>採点Q2!G353</f>
        <v>0</v>
      </c>
      <c r="M287" s="2492">
        <f>採点Q2!G354</f>
        <v>0</v>
      </c>
      <c r="N287" s="2492">
        <f>採点Q2!G355</f>
        <v>0</v>
      </c>
      <c r="O287" s="2509"/>
      <c r="P287" s="2509"/>
      <c r="Q287" s="2509"/>
      <c r="R287" s="2509"/>
      <c r="S287" s="2509"/>
      <c r="T287" s="2509"/>
      <c r="U287" s="2510"/>
    </row>
    <row r="288" spans="2:21" hidden="1">
      <c r="B288" s="2505">
        <f>重み!B99</f>
        <v>0</v>
      </c>
      <c r="C288" s="2506">
        <f>重み!C99</f>
        <v>0</v>
      </c>
      <c r="D288" s="2506"/>
      <c r="E288" s="2506"/>
      <c r="F288" s="2506"/>
      <c r="G288" s="2492"/>
      <c r="H288" s="2492"/>
      <c r="I288" s="2489"/>
      <c r="J288" s="2492"/>
      <c r="K288" s="2492"/>
      <c r="L288" s="2492"/>
      <c r="M288" s="2492"/>
      <c r="N288" s="2492"/>
      <c r="O288" s="2492"/>
      <c r="P288" s="2492"/>
      <c r="Q288" s="2492"/>
      <c r="R288" s="2492"/>
      <c r="S288" s="2492"/>
      <c r="T288" s="2492"/>
      <c r="U288" s="2493"/>
    </row>
    <row r="289" spans="2:24" hidden="1">
      <c r="B289" s="2505">
        <f>重み!B100</f>
        <v>3</v>
      </c>
      <c r="C289" s="2506" t="str">
        <f>重み!C100</f>
        <v>対応性・更新性</v>
      </c>
      <c r="D289" s="2506"/>
      <c r="E289" s="2506"/>
      <c r="F289" s="2506"/>
      <c r="G289" s="2492"/>
      <c r="H289" s="2492"/>
      <c r="I289" s="2489"/>
      <c r="J289" s="2492"/>
      <c r="K289" s="2492"/>
      <c r="L289" s="2492"/>
      <c r="M289" s="2492"/>
      <c r="N289" s="2492"/>
      <c r="O289" s="2492"/>
      <c r="P289" s="2492"/>
      <c r="Q289" s="2492"/>
      <c r="R289" s="2492"/>
      <c r="S289" s="2492"/>
      <c r="T289" s="2492"/>
      <c r="U289" s="2493"/>
    </row>
    <row r="290" spans="2:24" hidden="1">
      <c r="B290" s="2505">
        <f>重み!B101</f>
        <v>3.1</v>
      </c>
      <c r="C290" s="2506" t="str">
        <f>重み!C101</f>
        <v>空間のゆとり</v>
      </c>
      <c r="D290" s="2506"/>
      <c r="E290" s="2506"/>
      <c r="F290" s="2506"/>
      <c r="G290" s="2492"/>
      <c r="H290" s="2492"/>
      <c r="I290" s="2489"/>
      <c r="J290" s="2492"/>
      <c r="K290" s="2492"/>
      <c r="L290" s="2492"/>
      <c r="M290" s="2492"/>
      <c r="N290" s="2492"/>
      <c r="O290" s="2492"/>
      <c r="P290" s="2492"/>
      <c r="Q290" s="2492"/>
      <c r="R290" s="2492"/>
      <c r="S290" s="2492"/>
      <c r="T290" s="2492"/>
      <c r="U290" s="2493"/>
    </row>
    <row r="291" spans="2:24" hidden="1">
      <c r="B291" s="2505" t="str">
        <f>重み!B102</f>
        <v>3.1.1</v>
      </c>
      <c r="C291" s="2506" t="str">
        <f>重み!C102</f>
        <v>階高のゆとり</v>
      </c>
      <c r="D291" s="2506"/>
      <c r="E291" s="2506"/>
      <c r="F291" s="2506"/>
      <c r="G291" s="2492"/>
      <c r="H291" s="2492"/>
      <c r="I291" s="2489"/>
      <c r="J291" s="2492"/>
      <c r="K291" s="2492"/>
      <c r="L291" s="2492"/>
      <c r="M291" s="2492"/>
      <c r="N291" s="2492"/>
      <c r="O291" s="2492"/>
      <c r="P291" s="2492"/>
      <c r="Q291" s="2492"/>
      <c r="R291" s="2492"/>
      <c r="S291" s="2492"/>
      <c r="T291" s="2492"/>
      <c r="U291" s="2493"/>
    </row>
    <row r="292" spans="2:24" hidden="1">
      <c r="B292" s="2505" t="str">
        <f>重み!B103</f>
        <v>3.1.2</v>
      </c>
      <c r="C292" s="2506" t="str">
        <f>重み!C103</f>
        <v>空間の形状・自由さ</v>
      </c>
      <c r="D292" s="2506"/>
      <c r="E292" s="2506"/>
      <c r="F292" s="2506"/>
      <c r="G292" s="2492"/>
      <c r="H292" s="2492"/>
      <c r="I292" s="2489"/>
      <c r="J292" s="2492"/>
      <c r="K292" s="2492"/>
      <c r="L292" s="2492"/>
      <c r="M292" s="2492"/>
      <c r="N292" s="2492"/>
      <c r="O292" s="2492"/>
      <c r="P292" s="2492"/>
      <c r="Q292" s="2492"/>
      <c r="R292" s="2492"/>
      <c r="S292" s="2492"/>
      <c r="T292" s="2492"/>
      <c r="U292" s="2493"/>
    </row>
    <row r="293" spans="2:24" hidden="1">
      <c r="B293" s="2505">
        <f>重み!B104</f>
        <v>3.2</v>
      </c>
      <c r="C293" s="2506" t="str">
        <f>重み!C104</f>
        <v>荷重のゆとり</v>
      </c>
      <c r="D293" s="2506"/>
      <c r="E293" s="2506"/>
      <c r="F293" s="2506"/>
      <c r="G293" s="2492"/>
      <c r="H293" s="2492"/>
      <c r="I293" s="2489"/>
      <c r="J293" s="2492"/>
      <c r="K293" s="2492"/>
      <c r="L293" s="2492"/>
      <c r="M293" s="2492"/>
      <c r="N293" s="2492"/>
      <c r="O293" s="2492"/>
      <c r="P293" s="2492"/>
      <c r="Q293" s="2492"/>
      <c r="R293" s="2492"/>
      <c r="S293" s="2492"/>
      <c r="T293" s="2492"/>
      <c r="U293" s="2493"/>
    </row>
    <row r="294" spans="2:24" hidden="1">
      <c r="B294" s="2505">
        <f>重み!B105</f>
        <v>3.3</v>
      </c>
      <c r="C294" s="2506" t="str">
        <f>重み!C105</f>
        <v>設備の更新性</v>
      </c>
      <c r="D294" s="2506"/>
      <c r="E294" s="2506"/>
      <c r="F294" s="2506"/>
      <c r="G294" s="2492"/>
      <c r="H294" s="2492"/>
      <c r="I294" s="2492"/>
      <c r="J294" s="2492"/>
      <c r="K294" s="2492"/>
      <c r="L294" s="2492"/>
      <c r="M294" s="2492"/>
      <c r="N294" s="2492"/>
      <c r="O294" s="2492"/>
      <c r="P294" s="2492"/>
      <c r="Q294" s="2492"/>
      <c r="R294" s="2492"/>
      <c r="S294" s="2492"/>
      <c r="T294" s="2492"/>
      <c r="U294" s="2493"/>
    </row>
    <row r="295" spans="2:24" hidden="1">
      <c r="B295" s="2505" t="str">
        <f>重み!B106</f>
        <v>3.3.1</v>
      </c>
      <c r="C295" s="2506" t="str">
        <f>重み!C106</f>
        <v>空調配管の更新性</v>
      </c>
      <c r="D295" s="2506"/>
      <c r="E295" s="2506"/>
      <c r="F295" s="2506"/>
      <c r="G295" s="2492"/>
      <c r="H295" s="2492"/>
      <c r="I295" s="2492"/>
      <c r="J295" s="2492"/>
      <c r="K295" s="2492"/>
      <c r="L295" s="2492"/>
      <c r="M295" s="2492"/>
      <c r="N295" s="2492"/>
      <c r="O295" s="2492"/>
      <c r="P295" s="2492"/>
      <c r="Q295" s="2492"/>
      <c r="R295" s="2492"/>
      <c r="S295" s="2492"/>
      <c r="T295" s="2492"/>
      <c r="U295" s="2493"/>
    </row>
    <row r="296" spans="2:24" hidden="1">
      <c r="B296" s="2505" t="str">
        <f>重み!B107</f>
        <v>3.3.2</v>
      </c>
      <c r="C296" s="2506" t="str">
        <f>重み!C107</f>
        <v>給排水管の更新性</v>
      </c>
      <c r="D296" s="2506"/>
      <c r="E296" s="2506"/>
      <c r="F296" s="2506"/>
      <c r="G296" s="2492"/>
      <c r="H296" s="2492"/>
      <c r="I296" s="2492"/>
      <c r="J296" s="2492"/>
      <c r="K296" s="2492"/>
      <c r="L296" s="2492"/>
      <c r="M296" s="2492"/>
      <c r="N296" s="2492"/>
      <c r="O296" s="2492"/>
      <c r="P296" s="2492"/>
      <c r="Q296" s="2492"/>
      <c r="R296" s="2492"/>
      <c r="S296" s="2492"/>
      <c r="T296" s="2492"/>
      <c r="U296" s="2493"/>
    </row>
    <row r="297" spans="2:24" hidden="1">
      <c r="B297" s="2505" t="str">
        <f>重み!B108</f>
        <v>3.3.3</v>
      </c>
      <c r="C297" s="2506" t="str">
        <f>重み!C108</f>
        <v>電気配線の更新性</v>
      </c>
      <c r="D297" s="2506"/>
      <c r="E297" s="2506"/>
      <c r="F297" s="2506"/>
      <c r="G297" s="2492"/>
      <c r="H297" s="2492"/>
      <c r="I297" s="2492"/>
      <c r="J297" s="2492"/>
      <c r="K297" s="2492"/>
      <c r="L297" s="2492"/>
      <c r="M297" s="2492"/>
      <c r="N297" s="2492"/>
      <c r="O297" s="2492"/>
      <c r="P297" s="2492"/>
      <c r="Q297" s="2492"/>
      <c r="R297" s="2492"/>
      <c r="S297" s="2492"/>
      <c r="T297" s="2492"/>
      <c r="U297" s="2493"/>
    </row>
    <row r="298" spans="2:24" hidden="1">
      <c r="B298" s="2505" t="str">
        <f>重み!B109</f>
        <v>3.3.4</v>
      </c>
      <c r="C298" s="2506" t="str">
        <f>重み!C109</f>
        <v>通信配線の更新性</v>
      </c>
      <c r="D298" s="2506"/>
      <c r="E298" s="2506"/>
      <c r="F298" s="2506"/>
      <c r="G298" s="2492"/>
      <c r="H298" s="2492"/>
      <c r="I298" s="2492"/>
      <c r="J298" s="2492"/>
      <c r="K298" s="2492"/>
      <c r="L298" s="2492"/>
      <c r="M298" s="2492"/>
      <c r="N298" s="2492"/>
      <c r="O298" s="2492"/>
      <c r="P298" s="2492"/>
      <c r="Q298" s="2492"/>
      <c r="R298" s="2492"/>
      <c r="S298" s="2492"/>
      <c r="T298" s="2492"/>
      <c r="U298" s="2493"/>
    </row>
    <row r="299" spans="2:24" hidden="1">
      <c r="B299" s="2505" t="str">
        <f>重み!B110</f>
        <v>3.3.5</v>
      </c>
      <c r="C299" s="2506" t="str">
        <f>重み!C110</f>
        <v>設備機器の更新性</v>
      </c>
      <c r="D299" s="2506"/>
      <c r="E299" s="2506"/>
      <c r="F299" s="2506"/>
      <c r="G299" s="2492"/>
      <c r="H299" s="2492"/>
      <c r="I299" s="2492"/>
      <c r="J299" s="2492"/>
      <c r="K299" s="2492"/>
      <c r="L299" s="2492"/>
      <c r="M299" s="2492"/>
      <c r="N299" s="2492"/>
      <c r="O299" s="2492"/>
      <c r="P299" s="2492"/>
      <c r="Q299" s="2492"/>
      <c r="R299" s="2492"/>
      <c r="S299" s="2492"/>
      <c r="T299" s="2492"/>
      <c r="U299" s="2493"/>
    </row>
    <row r="300" spans="2:24" hidden="1">
      <c r="B300" s="2505" t="str">
        <f>重み!B111</f>
        <v>3.3.6</v>
      </c>
      <c r="C300" s="2506" t="str">
        <f>重み!C111</f>
        <v>バックアップスペースの確保</v>
      </c>
      <c r="D300" s="2506"/>
      <c r="E300" s="2506"/>
      <c r="F300" s="2506"/>
      <c r="G300" s="2492"/>
      <c r="H300" s="2492"/>
      <c r="I300" s="2492"/>
      <c r="J300" s="2492"/>
      <c r="K300" s="2492"/>
      <c r="L300" s="2492"/>
      <c r="M300" s="2492"/>
      <c r="N300" s="2492"/>
      <c r="O300" s="2492"/>
      <c r="P300" s="2492"/>
      <c r="Q300" s="2492"/>
      <c r="R300" s="2492"/>
      <c r="S300" s="2492"/>
      <c r="T300" s="2492"/>
      <c r="U300" s="2493"/>
    </row>
    <row r="301" spans="2:24" ht="15">
      <c r="B301" s="2497" t="str">
        <f>重み!B112</f>
        <v>Q3</v>
      </c>
      <c r="C301" s="2498" t="str">
        <f>重み!C112</f>
        <v>室外環境（敷地内）</v>
      </c>
      <c r="D301" s="2498"/>
      <c r="E301" s="2498"/>
      <c r="F301" s="2498"/>
      <c r="G301" s="2498"/>
      <c r="H301" s="2499"/>
      <c r="I301" s="2500"/>
      <c r="J301" s="2500"/>
      <c r="K301" s="2500"/>
      <c r="L301" s="2500"/>
      <c r="M301" s="2500"/>
      <c r="N301" s="2500"/>
      <c r="O301" s="2500"/>
      <c r="P301" s="2501"/>
      <c r="Q301" s="2501"/>
      <c r="R301" s="2502"/>
      <c r="S301" s="2503"/>
      <c r="T301" s="2502"/>
      <c r="U301" s="2504"/>
      <c r="W301"/>
      <c r="X301"/>
    </row>
    <row r="302" spans="2:24">
      <c r="B302" s="2505">
        <f>重み!B113</f>
        <v>1</v>
      </c>
      <c r="C302" s="2506" t="str">
        <f>重み!C113</f>
        <v>生物資源の保全と創出</v>
      </c>
      <c r="D302" s="2506"/>
      <c r="E302" s="2506"/>
      <c r="F302" s="2506"/>
      <c r="G302" s="2492">
        <f>採点Q3!G41</f>
        <v>3</v>
      </c>
      <c r="H302" s="2511"/>
      <c r="I302" s="2492">
        <f>採点Q3!G25</f>
        <v>0</v>
      </c>
      <c r="J302" s="2492">
        <f>採点Q3!G26</f>
        <v>0</v>
      </c>
      <c r="K302" s="2492">
        <f>採点Q3!G28</f>
        <v>1</v>
      </c>
      <c r="L302" s="2492">
        <f>採点Q3!G30</f>
        <v>0</v>
      </c>
      <c r="M302" s="2492">
        <f>採点Q3!G32</f>
        <v>0</v>
      </c>
      <c r="N302" s="2492">
        <f>採点Q3!G33</f>
        <v>1</v>
      </c>
      <c r="O302" s="2492">
        <f>採点Q3!G34</f>
        <v>1</v>
      </c>
      <c r="P302" s="2492">
        <f>採点Q3!G35</f>
        <v>0</v>
      </c>
      <c r="Q302" s="2492">
        <f>採点Q3!G36</f>
        <v>0</v>
      </c>
      <c r="R302" s="2492">
        <f>採点Q3!G39</f>
        <v>0</v>
      </c>
      <c r="S302" s="2492">
        <f>採点Q3!G40</f>
        <v>0</v>
      </c>
      <c r="T302" s="2511"/>
      <c r="U302" s="2512"/>
    </row>
    <row r="303" spans="2:24" hidden="1">
      <c r="B303" s="2505">
        <f>重み!B114</f>
        <v>1</v>
      </c>
      <c r="C303" s="2506">
        <f>重み!C114</f>
        <v>0</v>
      </c>
      <c r="D303" s="2506"/>
      <c r="E303" s="2506"/>
      <c r="F303" s="2506"/>
      <c r="G303" s="2489"/>
      <c r="H303" s="2509"/>
      <c r="I303" s="2489"/>
      <c r="J303" s="2489"/>
      <c r="K303" s="2489"/>
      <c r="L303" s="2489"/>
      <c r="M303" s="2489"/>
      <c r="N303" s="2489"/>
      <c r="O303" s="2492"/>
      <c r="P303" s="2492"/>
      <c r="Q303" s="2492"/>
      <c r="R303" s="2492"/>
      <c r="S303" s="2492"/>
      <c r="T303" s="2511"/>
      <c r="U303" s="2512"/>
    </row>
    <row r="304" spans="2:24" hidden="1">
      <c r="B304" s="2505">
        <f>重み!B115</f>
        <v>1.1000000000000001</v>
      </c>
      <c r="C304" s="2506">
        <f>重み!C115</f>
        <v>0</v>
      </c>
      <c r="D304" s="2506"/>
      <c r="E304" s="2506"/>
      <c r="F304" s="2506"/>
      <c r="G304" s="2492"/>
      <c r="H304" s="2511"/>
      <c r="I304" s="2489"/>
      <c r="J304" s="2492"/>
      <c r="K304" s="2492"/>
      <c r="L304" s="2492"/>
      <c r="M304" s="2492"/>
      <c r="N304" s="2492"/>
      <c r="O304" s="2492"/>
      <c r="P304" s="2492"/>
      <c r="Q304" s="2492"/>
      <c r="R304" s="2492"/>
      <c r="S304" s="2492"/>
      <c r="T304" s="2511"/>
      <c r="U304" s="2512"/>
    </row>
    <row r="305" spans="2:21">
      <c r="B305" s="2505">
        <f>重み!B116</f>
        <v>2</v>
      </c>
      <c r="C305" s="2506" t="str">
        <f>重み!C116</f>
        <v>まちなみ・景観への配慮</v>
      </c>
      <c r="D305" s="2506"/>
      <c r="E305" s="2506"/>
      <c r="F305" s="2506"/>
      <c r="G305" s="2492">
        <f>採点Q3!G61</f>
        <v>1</v>
      </c>
      <c r="H305" s="2511"/>
      <c r="I305" s="2492">
        <f>採点Q3!G55</f>
        <v>0</v>
      </c>
      <c r="J305" s="2492">
        <f>採点Q3!G56</f>
        <v>1</v>
      </c>
      <c r="K305" s="2492">
        <f>採点Q3!G57</f>
        <v>0</v>
      </c>
      <c r="L305" s="2492">
        <f>採点Q3!G58</f>
        <v>0</v>
      </c>
      <c r="M305" s="2492">
        <f>採点Q3!G59</f>
        <v>0</v>
      </c>
      <c r="N305" s="2492">
        <f>採点Q3!G60</f>
        <v>0</v>
      </c>
      <c r="O305" s="2511"/>
      <c r="P305" s="2511"/>
      <c r="Q305" s="2511"/>
      <c r="R305" s="2511"/>
      <c r="S305" s="2511"/>
      <c r="T305" s="2511"/>
      <c r="U305" s="2512"/>
    </row>
    <row r="306" spans="2:21" hidden="1">
      <c r="B306" s="2505">
        <f>重み!B117</f>
        <v>3</v>
      </c>
      <c r="C306" s="2506" t="str">
        <f>重み!C117</f>
        <v>地域性・アメニティへの配慮</v>
      </c>
      <c r="D306" s="2506"/>
      <c r="E306" s="2506"/>
      <c r="F306" s="2506"/>
      <c r="G306" s="2492"/>
      <c r="H306" s="2511"/>
      <c r="I306" s="2489"/>
      <c r="J306" s="2492"/>
      <c r="K306" s="2492"/>
      <c r="L306" s="2492"/>
      <c r="M306" s="2492"/>
      <c r="N306" s="2492"/>
      <c r="O306" s="2492"/>
      <c r="P306" s="2492"/>
      <c r="Q306" s="2492"/>
      <c r="R306" s="2492"/>
      <c r="S306" s="2492"/>
      <c r="T306" s="2511"/>
      <c r="U306" s="2512"/>
    </row>
    <row r="307" spans="2:21">
      <c r="B307" s="2505" t="str">
        <f>重み!B118</f>
        <v>3.1</v>
      </c>
      <c r="C307" s="2513" t="str">
        <f>重み!C118</f>
        <v>地域性への配慮、快適性の向上</v>
      </c>
      <c r="D307" s="2506"/>
      <c r="E307" s="2506"/>
      <c r="F307" s="2506"/>
      <c r="G307" s="2492">
        <f>採点Q3!G96</f>
        <v>1</v>
      </c>
      <c r="H307" s="2511"/>
      <c r="I307" s="2492">
        <f>採点Q3!G75</f>
        <v>0</v>
      </c>
      <c r="J307" s="2492">
        <f>採点Q3!G77</f>
        <v>0</v>
      </c>
      <c r="K307" s="2492">
        <f>採点Q3!G79</f>
        <v>0</v>
      </c>
      <c r="L307" s="2492">
        <f>採点Q3!G82</f>
        <v>0</v>
      </c>
      <c r="M307" s="2492">
        <f>採点Q3!G84</f>
        <v>0</v>
      </c>
      <c r="N307" s="2492">
        <f>採点Q3!G87</f>
        <v>1</v>
      </c>
      <c r="O307" s="2492">
        <f>採点Q3!G92</f>
        <v>0</v>
      </c>
      <c r="P307" s="2492">
        <f>採点Q3!G95</f>
        <v>0</v>
      </c>
      <c r="Q307" s="2511"/>
      <c r="R307" s="2511"/>
      <c r="S307" s="2511"/>
      <c r="T307" s="2511"/>
      <c r="U307" s="2512"/>
    </row>
    <row r="308" spans="2:21">
      <c r="B308" s="2505" t="str">
        <f>重み!B119</f>
        <v>3.2</v>
      </c>
      <c r="C308" s="2506" t="str">
        <f>重み!C119</f>
        <v>敷地内温熱環境の向上</v>
      </c>
      <c r="D308" s="2506"/>
      <c r="E308" s="2506"/>
      <c r="F308" s="2506"/>
      <c r="G308" s="2492">
        <f>採点Q3!G139</f>
        <v>10</v>
      </c>
      <c r="H308" s="2511"/>
      <c r="I308" s="2492">
        <f>採点Q3!G122</f>
        <v>0</v>
      </c>
      <c r="J308" s="2492">
        <f>採点Q3!G123</f>
        <v>1</v>
      </c>
      <c r="K308" s="2492">
        <f>採点Q3!G125</f>
        <v>2</v>
      </c>
      <c r="L308" s="2492">
        <f>採点Q3!G127</f>
        <v>3</v>
      </c>
      <c r="M308" s="2492">
        <f>採点Q3!G129</f>
        <v>0</v>
      </c>
      <c r="N308" s="2492">
        <f>採点Q3!G131</f>
        <v>0</v>
      </c>
      <c r="O308" s="2492">
        <f>採点Q3!G133</f>
        <v>0</v>
      </c>
      <c r="P308" s="2492">
        <f>採点Q3!G135</f>
        <v>2</v>
      </c>
      <c r="Q308" s="2492">
        <f>採点Q3!G137</f>
        <v>2</v>
      </c>
      <c r="R308" s="2511"/>
      <c r="S308" s="2511"/>
      <c r="T308" s="2511"/>
      <c r="U308" s="2512"/>
    </row>
    <row r="309" spans="2:21" hidden="1">
      <c r="B309" s="2505">
        <f>重み!B120</f>
        <v>0</v>
      </c>
      <c r="C309" s="2506">
        <f>重み!C120</f>
        <v>0</v>
      </c>
      <c r="D309" s="2506"/>
      <c r="E309" s="2506"/>
      <c r="F309" s="2506"/>
      <c r="G309" s="2492"/>
      <c r="H309" s="2492"/>
      <c r="I309" s="2492"/>
      <c r="J309" s="2492"/>
      <c r="K309" s="2492"/>
      <c r="L309" s="2492"/>
      <c r="M309" s="2492"/>
      <c r="N309" s="2492"/>
      <c r="O309" s="2492"/>
      <c r="P309" s="2492"/>
      <c r="Q309" s="2492"/>
      <c r="R309" s="2492"/>
      <c r="S309" s="2492"/>
      <c r="T309" s="2492"/>
      <c r="U309" s="2493"/>
    </row>
    <row r="310" spans="2:21" hidden="1">
      <c r="B310" s="2505" t="str">
        <f>重み!B121</f>
        <v>LR</v>
      </c>
      <c r="C310" s="2506" t="str">
        <f>重み!C121</f>
        <v>建築物の環境負荷低減性</v>
      </c>
      <c r="D310" s="2506"/>
      <c r="E310" s="2506"/>
      <c r="F310" s="2506"/>
      <c r="G310" s="2492"/>
      <c r="H310" s="2492"/>
      <c r="I310" s="2492"/>
      <c r="J310" s="2492"/>
      <c r="K310" s="2492"/>
      <c r="L310" s="2492"/>
      <c r="M310" s="2492"/>
      <c r="N310" s="2492"/>
      <c r="O310" s="2492"/>
      <c r="P310" s="2492"/>
      <c r="Q310" s="2492"/>
      <c r="R310" s="2492"/>
      <c r="S310" s="2492"/>
      <c r="T310" s="2492"/>
      <c r="U310" s="2493"/>
    </row>
    <row r="311" spans="2:21" ht="15">
      <c r="B311" s="2497" t="str">
        <f>重み!B122</f>
        <v>LR1</v>
      </c>
      <c r="C311" s="2498" t="str">
        <f>重み!C122</f>
        <v>エネルギー</v>
      </c>
      <c r="D311" s="2498"/>
      <c r="E311" s="2498"/>
      <c r="F311" s="2498"/>
      <c r="G311" s="2498"/>
      <c r="H311" s="2499"/>
      <c r="I311" s="2500"/>
      <c r="J311" s="2500"/>
      <c r="K311" s="2500"/>
      <c r="L311" s="2500"/>
      <c r="M311" s="2500"/>
      <c r="N311" s="2500"/>
      <c r="O311" s="2500"/>
      <c r="P311" s="2501"/>
      <c r="Q311" s="2501"/>
      <c r="R311" s="2502"/>
      <c r="S311" s="2503"/>
      <c r="T311" s="2502"/>
      <c r="U311" s="2504"/>
    </row>
    <row r="312" spans="2:21" hidden="1">
      <c r="B312" s="2505">
        <f>重み!B123</f>
        <v>1</v>
      </c>
      <c r="C312" s="2506" t="str">
        <f>重み!C123</f>
        <v>建物外皮の熱負荷抑制</v>
      </c>
      <c r="D312" s="2506"/>
      <c r="E312" s="2506"/>
      <c r="F312" s="2506"/>
      <c r="G312" s="2492"/>
      <c r="H312" s="2492"/>
      <c r="I312" s="2492"/>
      <c r="J312" s="2492"/>
      <c r="K312" s="2492"/>
      <c r="L312" s="2492"/>
      <c r="M312" s="2492"/>
      <c r="N312" s="2492"/>
      <c r="O312" s="2492"/>
      <c r="P312" s="2492"/>
      <c r="Q312" s="2492"/>
      <c r="R312" s="2492"/>
      <c r="S312" s="2492"/>
      <c r="T312" s="2492"/>
      <c r="U312" s="2493"/>
    </row>
    <row r="313" spans="2:21">
      <c r="B313" s="2505">
        <f>重み!B124</f>
        <v>2</v>
      </c>
      <c r="C313" s="2506" t="str">
        <f>重み!C124</f>
        <v>自然エネルギー利用</v>
      </c>
      <c r="D313" s="2506"/>
      <c r="E313" s="2506"/>
      <c r="F313" s="2506"/>
      <c r="G313" s="2492">
        <f>'採点LR1 '!G58</f>
        <v>0</v>
      </c>
      <c r="H313" s="2511"/>
      <c r="I313" s="2492">
        <f>'採点LR1 '!L45</f>
        <v>0</v>
      </c>
      <c r="J313" s="2492">
        <f>'採点LR1 '!L46</f>
        <v>0</v>
      </c>
      <c r="K313" s="2492">
        <f>'採点LR1 '!L47</f>
        <v>0</v>
      </c>
      <c r="L313" s="2492">
        <f>'採点LR1 '!L48</f>
        <v>0</v>
      </c>
      <c r="M313" s="2492">
        <f>'採点LR1 '!L49</f>
        <v>0</v>
      </c>
      <c r="N313" s="2492">
        <f>'採点LR1 '!L50</f>
        <v>0</v>
      </c>
      <c r="O313" s="2492">
        <f>'採点LR1 '!L51</f>
        <v>0</v>
      </c>
      <c r="P313" s="2492">
        <f>'採点LR1 '!L52</f>
        <v>0</v>
      </c>
      <c r="Q313" s="2492">
        <f>'採点LR1 '!L53</f>
        <v>0</v>
      </c>
      <c r="R313" s="2492">
        <f>'採点LR1 '!L54</f>
        <v>0</v>
      </c>
      <c r="S313" s="2492">
        <f>'採点LR1 '!L55</f>
        <v>0</v>
      </c>
      <c r="T313" s="2492">
        <f>'採点LR1 '!L56</f>
        <v>0</v>
      </c>
      <c r="U313" s="2492">
        <f>'採点LR1 '!L57</f>
        <v>0</v>
      </c>
    </row>
    <row r="314" spans="2:21" hidden="1">
      <c r="B314" s="2505">
        <f>重み!B125</f>
        <v>0</v>
      </c>
      <c r="C314" s="2506">
        <f>重み!C125</f>
        <v>0</v>
      </c>
      <c r="D314" s="2506"/>
      <c r="E314" s="2506"/>
      <c r="F314" s="2506"/>
      <c r="G314" s="2492"/>
      <c r="H314" s="2492"/>
      <c r="I314" s="2489"/>
      <c r="J314" s="2492"/>
      <c r="K314" s="2492"/>
      <c r="L314" s="2492"/>
      <c r="M314" s="2492"/>
      <c r="N314" s="2492"/>
      <c r="O314" s="2492"/>
      <c r="P314" s="2492"/>
      <c r="Q314" s="2492"/>
      <c r="R314" s="2492"/>
      <c r="S314" s="2492"/>
      <c r="T314" s="2492"/>
      <c r="U314" s="2493"/>
    </row>
    <row r="315" spans="2:21" hidden="1">
      <c r="B315" s="2505">
        <f>重み!B126</f>
        <v>0</v>
      </c>
      <c r="C315" s="2506">
        <f>重み!C126</f>
        <v>0</v>
      </c>
      <c r="D315" s="2506"/>
      <c r="E315" s="2506"/>
      <c r="F315" s="2506"/>
      <c r="G315" s="2492"/>
      <c r="H315" s="2492"/>
      <c r="I315" s="2489"/>
      <c r="J315" s="2492"/>
      <c r="K315" s="2492"/>
      <c r="L315" s="2492"/>
      <c r="M315" s="2492"/>
      <c r="N315" s="2492"/>
      <c r="O315" s="2492"/>
      <c r="P315" s="2492"/>
      <c r="Q315" s="2492"/>
      <c r="R315" s="2492"/>
      <c r="S315" s="2492"/>
      <c r="T315" s="2492"/>
      <c r="U315" s="2493"/>
    </row>
    <row r="316" spans="2:21" hidden="1">
      <c r="B316" s="2505" t="str">
        <f>重み!B127</f>
        <v>2.1</v>
      </c>
      <c r="C316" s="2506">
        <f>重み!C127</f>
        <v>0</v>
      </c>
      <c r="D316" s="2506"/>
      <c r="E316" s="2506"/>
      <c r="F316" s="2506"/>
      <c r="G316" s="2492"/>
      <c r="H316" s="2492"/>
      <c r="I316" s="2489"/>
      <c r="J316" s="2492"/>
      <c r="K316" s="2492"/>
      <c r="L316" s="2492"/>
      <c r="M316" s="2492"/>
      <c r="N316" s="2492"/>
      <c r="O316" s="2492"/>
      <c r="P316" s="2492"/>
      <c r="Q316" s="2492"/>
      <c r="R316" s="2492"/>
      <c r="S316" s="2492"/>
      <c r="T316" s="2492"/>
      <c r="U316" s="2493"/>
    </row>
    <row r="317" spans="2:21" hidden="1">
      <c r="B317" s="2505" t="str">
        <f>重み!B128</f>
        <v>2.2</v>
      </c>
      <c r="C317" s="2506">
        <f>重み!C128</f>
        <v>0</v>
      </c>
      <c r="D317" s="2506"/>
      <c r="E317" s="2506"/>
      <c r="F317" s="2506"/>
      <c r="G317" s="2492"/>
      <c r="H317" s="2492"/>
      <c r="I317" s="2489"/>
      <c r="J317" s="2492"/>
      <c r="K317" s="2492"/>
      <c r="L317" s="2492"/>
      <c r="M317" s="2492"/>
      <c r="N317" s="2492"/>
      <c r="O317" s="2492"/>
      <c r="P317" s="2492"/>
      <c r="Q317" s="2492"/>
      <c r="R317" s="2492"/>
      <c r="S317" s="2492"/>
      <c r="T317" s="2492"/>
      <c r="U317" s="2493"/>
    </row>
    <row r="318" spans="2:21" hidden="1">
      <c r="B318" s="2505">
        <f>重み!B129</f>
        <v>3</v>
      </c>
      <c r="C318" s="2506" t="str">
        <f>重み!C129</f>
        <v>設備システムの高効率化</v>
      </c>
      <c r="D318" s="2506"/>
      <c r="E318" s="2506"/>
      <c r="F318" s="2506"/>
      <c r="G318" s="2492"/>
      <c r="H318" s="2492"/>
      <c r="I318" s="2489"/>
      <c r="J318" s="2492"/>
      <c r="K318" s="2492"/>
      <c r="L318" s="2492"/>
      <c r="M318" s="2492"/>
      <c r="N318" s="2492"/>
      <c r="O318" s="2492"/>
      <c r="P318" s="2492"/>
      <c r="Q318" s="2492"/>
      <c r="R318" s="2492"/>
      <c r="S318" s="2492"/>
      <c r="T318" s="2492"/>
      <c r="U318" s="2493"/>
    </row>
    <row r="319" spans="2:21" hidden="1">
      <c r="B319" s="2505" t="str">
        <f>重み!B130</f>
        <v>3a.3b</v>
      </c>
      <c r="C319" s="2506" t="str">
        <f>重み!C130</f>
        <v>非住宅部分</v>
      </c>
      <c r="D319" s="2506"/>
      <c r="E319" s="2506"/>
      <c r="F319" s="2506"/>
      <c r="G319" s="2492"/>
      <c r="H319" s="2492"/>
      <c r="I319" s="2489"/>
      <c r="J319" s="2492"/>
      <c r="K319" s="2492"/>
      <c r="L319" s="2492"/>
      <c r="M319" s="2492"/>
      <c r="N319" s="2492"/>
      <c r="O319" s="2492"/>
      <c r="P319" s="2492"/>
      <c r="Q319" s="2492"/>
      <c r="R319" s="2492"/>
      <c r="S319" s="2492"/>
      <c r="T319" s="2492"/>
      <c r="U319" s="2493"/>
    </row>
    <row r="320" spans="2:21" hidden="1">
      <c r="B320" s="2505" t="str">
        <f>重み!B131</f>
        <v>3b.c</v>
      </c>
      <c r="C320" s="2506" t="str">
        <f>重み!C131</f>
        <v>集合住宅の評価</v>
      </c>
      <c r="D320" s="2506"/>
      <c r="E320" s="2506"/>
      <c r="F320" s="2506"/>
      <c r="G320" s="2492"/>
      <c r="H320" s="2492"/>
      <c r="I320" s="2489"/>
      <c r="J320" s="2492"/>
      <c r="K320" s="2492"/>
      <c r="L320" s="2492"/>
      <c r="M320" s="2492"/>
      <c r="N320" s="2492"/>
      <c r="O320" s="2492"/>
      <c r="P320" s="2492"/>
      <c r="Q320" s="2492"/>
      <c r="R320" s="2492"/>
      <c r="S320" s="2492"/>
      <c r="T320" s="2492"/>
      <c r="U320" s="2493"/>
    </row>
    <row r="321" spans="2:24" hidden="1">
      <c r="B321" s="2505">
        <f>重み!B132</f>
        <v>3.1</v>
      </c>
      <c r="C321" s="2506" t="str">
        <f>重み!C132</f>
        <v>空調設備</v>
      </c>
      <c r="D321" s="2506"/>
      <c r="E321" s="2506"/>
      <c r="F321" s="2506"/>
      <c r="G321" s="2492"/>
      <c r="H321" s="2492"/>
      <c r="I321" s="2489"/>
      <c r="J321" s="2492"/>
      <c r="K321" s="2492"/>
      <c r="L321" s="2492"/>
      <c r="M321" s="2492"/>
      <c r="N321" s="2492"/>
      <c r="O321" s="2492"/>
      <c r="P321" s="2492"/>
      <c r="Q321" s="2492"/>
      <c r="R321" s="2492"/>
      <c r="S321" s="2492"/>
      <c r="T321" s="2492"/>
      <c r="U321" s="2493"/>
    </row>
    <row r="322" spans="2:24" hidden="1">
      <c r="B322" s="2505">
        <f>重み!B133</f>
        <v>3.2</v>
      </c>
      <c r="C322" s="2506" t="str">
        <f>重み!C133</f>
        <v>換気設備</v>
      </c>
      <c r="D322" s="2506"/>
      <c r="E322" s="2506"/>
      <c r="F322" s="2506"/>
      <c r="G322" s="2492"/>
      <c r="H322" s="2492"/>
      <c r="I322" s="2489"/>
      <c r="J322" s="2492"/>
      <c r="K322" s="2492"/>
      <c r="L322" s="2492"/>
      <c r="M322" s="2492"/>
      <c r="N322" s="2492"/>
      <c r="O322" s="2492"/>
      <c r="P322" s="2492"/>
      <c r="Q322" s="2492"/>
      <c r="R322" s="2492"/>
      <c r="S322" s="2492"/>
      <c r="T322" s="2492"/>
      <c r="U322" s="2493"/>
    </row>
    <row r="323" spans="2:24" hidden="1">
      <c r="B323" s="2505">
        <f>重み!B134</f>
        <v>3.3</v>
      </c>
      <c r="C323" s="2506" t="str">
        <f>重み!C134</f>
        <v>照明設備</v>
      </c>
      <c r="D323" s="2506"/>
      <c r="E323" s="2506"/>
      <c r="F323" s="2506"/>
      <c r="G323" s="2492"/>
      <c r="H323" s="2492"/>
      <c r="I323" s="2489"/>
      <c r="J323" s="2492"/>
      <c r="K323" s="2492"/>
      <c r="L323" s="2492"/>
      <c r="M323" s="2492"/>
      <c r="N323" s="2492"/>
      <c r="O323" s="2492"/>
      <c r="P323" s="2492"/>
      <c r="Q323" s="2492"/>
      <c r="R323" s="2492"/>
      <c r="S323" s="2492"/>
      <c r="T323" s="2492"/>
      <c r="U323" s="2493"/>
    </row>
    <row r="324" spans="2:24" hidden="1">
      <c r="B324" s="2505">
        <f>重み!B135</f>
        <v>3.4</v>
      </c>
      <c r="C324" s="2506" t="str">
        <f>重み!C135</f>
        <v>給湯設備</v>
      </c>
      <c r="D324" s="2506"/>
      <c r="E324" s="2506"/>
      <c r="F324" s="2506"/>
      <c r="G324" s="2492"/>
      <c r="H324" s="2492"/>
      <c r="I324" s="2489"/>
      <c r="J324" s="2492"/>
      <c r="K324" s="2492"/>
      <c r="L324" s="2492"/>
      <c r="M324" s="2492"/>
      <c r="N324" s="2492"/>
      <c r="O324" s="2492"/>
      <c r="P324" s="2492"/>
      <c r="Q324" s="2492"/>
      <c r="R324" s="2492"/>
      <c r="S324" s="2492"/>
      <c r="T324" s="2492"/>
      <c r="U324" s="2493"/>
    </row>
    <row r="325" spans="2:24" hidden="1">
      <c r="B325" s="2505">
        <f>重み!B136</f>
        <v>3.5</v>
      </c>
      <c r="C325" s="2506" t="str">
        <f>重み!C136</f>
        <v>昇降機設備</v>
      </c>
      <c r="D325" s="2506"/>
      <c r="E325" s="2506"/>
      <c r="F325" s="2506"/>
      <c r="G325" s="2492"/>
      <c r="H325" s="2492"/>
      <c r="I325" s="2489"/>
      <c r="J325" s="2492"/>
      <c r="K325" s="2492"/>
      <c r="L325" s="2492"/>
      <c r="M325" s="2492"/>
      <c r="N325" s="2492"/>
      <c r="O325" s="2492"/>
      <c r="P325" s="2492"/>
      <c r="Q325" s="2492"/>
      <c r="R325" s="2492"/>
      <c r="S325" s="2492"/>
      <c r="T325" s="2492"/>
      <c r="U325" s="2493"/>
    </row>
    <row r="326" spans="2:24" hidden="1">
      <c r="B326" s="2505">
        <f>重み!B137</f>
        <v>0</v>
      </c>
      <c r="C326" s="2506">
        <f>重み!C137</f>
        <v>0</v>
      </c>
      <c r="D326" s="2506"/>
      <c r="E326" s="2506"/>
      <c r="F326" s="2506"/>
      <c r="G326" s="2492"/>
      <c r="H326" s="2492"/>
      <c r="I326" s="2489"/>
      <c r="J326" s="2492"/>
      <c r="K326" s="2492"/>
      <c r="L326" s="2492"/>
      <c r="M326" s="2492"/>
      <c r="N326" s="2492"/>
      <c r="O326" s="2492"/>
      <c r="P326" s="2492"/>
      <c r="Q326" s="2492"/>
      <c r="R326" s="2492"/>
      <c r="S326" s="2492"/>
      <c r="T326" s="2492"/>
      <c r="U326" s="2493"/>
    </row>
    <row r="327" spans="2:24" hidden="1">
      <c r="B327" s="2505">
        <f>重み!B138</f>
        <v>4</v>
      </c>
      <c r="C327" s="2506" t="str">
        <f>重み!C138</f>
        <v>効率的運用</v>
      </c>
      <c r="D327" s="2506"/>
      <c r="E327" s="2506"/>
      <c r="F327" s="2506"/>
      <c r="G327" s="2492"/>
      <c r="H327" s="2492"/>
      <c r="I327" s="2492"/>
      <c r="J327" s="2492"/>
      <c r="K327" s="2492"/>
      <c r="L327" s="2492"/>
      <c r="M327" s="2492"/>
      <c r="N327" s="2492"/>
      <c r="O327" s="2492"/>
      <c r="P327" s="2492"/>
      <c r="Q327" s="2492"/>
      <c r="R327" s="2492"/>
      <c r="S327" s="2492"/>
      <c r="T327" s="2492"/>
      <c r="U327" s="2493"/>
    </row>
    <row r="328" spans="2:24" hidden="1">
      <c r="B328" s="2505">
        <f>重み!B139</f>
        <v>4.0999999999999996</v>
      </c>
      <c r="C328" s="2506" t="str">
        <f>重み!C139</f>
        <v>住宅以外の評価</v>
      </c>
      <c r="D328" s="2506"/>
      <c r="E328" s="2506"/>
      <c r="F328" s="2506"/>
      <c r="G328" s="2492"/>
      <c r="H328" s="2492"/>
      <c r="I328" s="2492"/>
      <c r="J328" s="2492"/>
      <c r="K328" s="2492"/>
      <c r="L328" s="2492"/>
      <c r="M328" s="2492"/>
      <c r="N328" s="2492"/>
      <c r="O328" s="2492"/>
      <c r="P328" s="2492"/>
      <c r="Q328" s="2492"/>
      <c r="R328" s="2492"/>
      <c r="S328" s="2492"/>
      <c r="T328" s="2492"/>
      <c r="U328" s="2493"/>
    </row>
    <row r="329" spans="2:24" hidden="1">
      <c r="B329" s="2505" t="str">
        <f>重み!B140</f>
        <v>4.1.1</v>
      </c>
      <c r="C329" s="2506" t="str">
        <f>重み!C140</f>
        <v>モニタリング</v>
      </c>
      <c r="D329" s="2506"/>
      <c r="E329" s="2506"/>
      <c r="F329" s="2506"/>
      <c r="G329" s="2492"/>
      <c r="H329" s="2492"/>
      <c r="I329" s="2492"/>
      <c r="J329" s="2492"/>
      <c r="K329" s="2492"/>
      <c r="L329" s="2492"/>
      <c r="M329" s="2492"/>
      <c r="N329" s="2492"/>
      <c r="O329" s="2492"/>
      <c r="P329" s="2492"/>
      <c r="Q329" s="2492"/>
      <c r="R329" s="2492"/>
      <c r="S329" s="2492"/>
      <c r="T329" s="2492"/>
      <c r="U329" s="2493"/>
    </row>
    <row r="330" spans="2:24" hidden="1">
      <c r="B330" s="2505" t="str">
        <f>重み!B141</f>
        <v>4.1.2</v>
      </c>
      <c r="C330" s="2506" t="str">
        <f>重み!C141</f>
        <v>運用管理体制</v>
      </c>
      <c r="D330" s="2506"/>
      <c r="E330" s="2506"/>
      <c r="F330" s="2506"/>
      <c r="G330" s="2492"/>
      <c r="H330" s="2492"/>
      <c r="I330" s="2492"/>
      <c r="J330" s="2492"/>
      <c r="K330" s="2492"/>
      <c r="L330" s="2492"/>
      <c r="M330" s="2492"/>
      <c r="N330" s="2492"/>
      <c r="O330" s="2492"/>
      <c r="P330" s="2492"/>
      <c r="Q330" s="2492"/>
      <c r="R330" s="2492"/>
      <c r="S330" s="2492"/>
      <c r="T330" s="2492"/>
      <c r="U330" s="2493"/>
    </row>
    <row r="331" spans="2:24" hidden="1">
      <c r="B331" s="2505">
        <f>重み!B142</f>
        <v>4.2</v>
      </c>
      <c r="C331" s="2506" t="str">
        <f>重み!C142</f>
        <v>住宅の評価</v>
      </c>
      <c r="D331" s="2506"/>
      <c r="E331" s="2506"/>
      <c r="F331" s="2506"/>
      <c r="G331" s="2492"/>
      <c r="H331" s="2492"/>
      <c r="I331" s="2492"/>
      <c r="J331" s="2492"/>
      <c r="K331" s="2492"/>
      <c r="L331" s="2492"/>
      <c r="M331" s="2492"/>
      <c r="N331" s="2492"/>
      <c r="O331" s="2492"/>
      <c r="P331" s="2492"/>
      <c r="Q331" s="2492"/>
      <c r="R331" s="2492"/>
      <c r="S331" s="2492"/>
      <c r="T331" s="2492"/>
      <c r="U331" s="2493"/>
    </row>
    <row r="332" spans="2:24" hidden="1">
      <c r="B332" s="2505" t="str">
        <f>重み!B143</f>
        <v>4.2.1</v>
      </c>
      <c r="C332" s="2506" t="str">
        <f>重み!C143</f>
        <v>モニタリング</v>
      </c>
      <c r="D332" s="2506"/>
      <c r="E332" s="2506"/>
      <c r="F332" s="2506"/>
      <c r="G332" s="2492"/>
      <c r="H332" s="2492"/>
      <c r="I332" s="2492"/>
      <c r="J332" s="2492"/>
      <c r="K332" s="2492"/>
      <c r="L332" s="2492"/>
      <c r="M332" s="2492"/>
      <c r="N332" s="2492"/>
      <c r="O332" s="2492"/>
      <c r="P332" s="2492"/>
      <c r="Q332" s="2492"/>
      <c r="R332" s="2492"/>
      <c r="S332" s="2492"/>
      <c r="T332" s="2492"/>
      <c r="U332" s="2493"/>
    </row>
    <row r="333" spans="2:24" hidden="1">
      <c r="B333" s="2505" t="str">
        <f>重み!B144</f>
        <v>4.2.2</v>
      </c>
      <c r="C333" s="2506" t="str">
        <f>重み!C144</f>
        <v>運用管理体制</v>
      </c>
      <c r="D333" s="2506"/>
      <c r="E333" s="2506"/>
      <c r="F333" s="2506"/>
      <c r="G333" s="2492"/>
      <c r="H333" s="2492"/>
      <c r="I333" s="2492"/>
      <c r="J333" s="2492"/>
      <c r="K333" s="2492"/>
      <c r="L333" s="2492"/>
      <c r="M333" s="2492"/>
      <c r="N333" s="2492"/>
      <c r="O333" s="2492"/>
      <c r="P333" s="2492"/>
      <c r="Q333" s="2492"/>
      <c r="R333" s="2492"/>
      <c r="S333" s="2492"/>
      <c r="T333" s="2492"/>
      <c r="U333" s="2493"/>
    </row>
    <row r="334" spans="2:24" ht="15">
      <c r="B334" s="2497" t="str">
        <f>重み!B145</f>
        <v>LR2</v>
      </c>
      <c r="C334" s="2498" t="str">
        <f>重み!C145</f>
        <v>資源・マテリアル</v>
      </c>
      <c r="D334" s="2498"/>
      <c r="E334" s="2498"/>
      <c r="F334" s="2498"/>
      <c r="G334" s="2498"/>
      <c r="H334" s="2499"/>
      <c r="I334" s="2500"/>
      <c r="J334" s="2500"/>
      <c r="K334" s="2500"/>
      <c r="L334" s="2500"/>
      <c r="M334" s="2500"/>
      <c r="N334" s="2500"/>
      <c r="O334" s="2500"/>
      <c r="P334" s="2501"/>
      <c r="Q334" s="2501"/>
      <c r="R334" s="2502"/>
      <c r="S334" s="2503"/>
      <c r="T334" s="2502"/>
      <c r="U334" s="2504"/>
      <c r="W334"/>
      <c r="X334"/>
    </row>
    <row r="335" spans="2:24" hidden="1">
      <c r="B335" s="2505">
        <f>重み!B146</f>
        <v>1</v>
      </c>
      <c r="C335" s="2506" t="str">
        <f>重み!C146</f>
        <v>水資源保護</v>
      </c>
      <c r="D335" s="2506"/>
      <c r="E335" s="2506"/>
      <c r="F335" s="2506"/>
      <c r="G335" s="2492"/>
      <c r="H335" s="2492"/>
      <c r="I335" s="2492"/>
      <c r="J335" s="2492"/>
      <c r="K335" s="2492"/>
      <c r="L335" s="2492"/>
      <c r="M335" s="2492"/>
      <c r="N335" s="2492"/>
      <c r="O335" s="2492"/>
      <c r="P335" s="2492"/>
      <c r="Q335" s="2492"/>
      <c r="R335" s="2492"/>
      <c r="S335" s="2492"/>
      <c r="T335" s="2492"/>
      <c r="U335" s="2493"/>
    </row>
    <row r="336" spans="2:24" hidden="1">
      <c r="B336" s="2505">
        <f>重み!B147</f>
        <v>1.1000000000000001</v>
      </c>
      <c r="C336" s="2506" t="str">
        <f>重み!C147</f>
        <v>節水</v>
      </c>
      <c r="D336" s="2506"/>
      <c r="E336" s="2506"/>
      <c r="F336" s="2506"/>
      <c r="G336" s="2492"/>
      <c r="H336" s="2492"/>
      <c r="I336" s="2492"/>
      <c r="J336" s="2492"/>
      <c r="K336" s="2492"/>
      <c r="L336" s="2492"/>
      <c r="M336" s="2492"/>
      <c r="N336" s="2492"/>
      <c r="O336" s="2492"/>
      <c r="P336" s="2492"/>
      <c r="Q336" s="2492"/>
      <c r="R336" s="2492"/>
      <c r="S336" s="2492"/>
      <c r="T336" s="2492"/>
      <c r="U336" s="2493"/>
    </row>
    <row r="337" spans="2:21" hidden="1">
      <c r="B337" s="2505">
        <f>重み!B148</f>
        <v>1.2</v>
      </c>
      <c r="C337" s="2506" t="str">
        <f>重み!C148</f>
        <v>雨水利用・雑排水再利用</v>
      </c>
      <c r="D337" s="2506"/>
      <c r="E337" s="2506"/>
      <c r="F337" s="2506"/>
      <c r="G337" s="2492"/>
      <c r="H337" s="2492"/>
      <c r="I337" s="2492"/>
      <c r="J337" s="2492"/>
      <c r="K337" s="2492"/>
      <c r="L337" s="2492"/>
      <c r="M337" s="2492"/>
      <c r="N337" s="2492"/>
      <c r="O337" s="2492"/>
      <c r="P337" s="2492"/>
      <c r="Q337" s="2492"/>
      <c r="R337" s="2492"/>
      <c r="S337" s="2492"/>
      <c r="T337" s="2492"/>
      <c r="U337" s="2493"/>
    </row>
    <row r="338" spans="2:21" hidden="1">
      <c r="B338" s="2505" t="str">
        <f>重み!B149</f>
        <v>1.2.1</v>
      </c>
      <c r="C338" s="2506" t="str">
        <f>重み!C149</f>
        <v>雨水利用システム導入の有無</v>
      </c>
      <c r="D338" s="2506"/>
      <c r="E338" s="2506"/>
      <c r="F338" s="2506"/>
      <c r="G338" s="2492"/>
      <c r="H338" s="2492"/>
      <c r="I338" s="2492"/>
      <c r="J338" s="2492"/>
      <c r="K338" s="2492"/>
      <c r="L338" s="2492"/>
      <c r="M338" s="2492"/>
      <c r="N338" s="2492"/>
      <c r="O338" s="2492"/>
      <c r="P338" s="2492"/>
      <c r="Q338" s="2492"/>
      <c r="R338" s="2492"/>
      <c r="S338" s="2492"/>
      <c r="T338" s="2492"/>
      <c r="U338" s="2493"/>
    </row>
    <row r="339" spans="2:21">
      <c r="B339" s="2505" t="str">
        <f>重み!B150</f>
        <v>1.2.2</v>
      </c>
      <c r="C339" s="2514" t="str">
        <f>重み!C150</f>
        <v>雑排水等再利用システム導入の有無</v>
      </c>
      <c r="D339" s="2506"/>
      <c r="E339" s="2506"/>
      <c r="F339" s="2506"/>
      <c r="G339" s="2511"/>
      <c r="H339" s="2511"/>
      <c r="I339" s="2751" t="str">
        <f>採点LR2!L33</f>
        <v>-</v>
      </c>
      <c r="J339" s="2751">
        <f>採点LR2!L34</f>
        <v>0</v>
      </c>
      <c r="K339" s="2751">
        <f>採点LR2!L35</f>
        <v>0</v>
      </c>
      <c r="L339" s="2751">
        <f>採点LR2!L36</f>
        <v>0</v>
      </c>
      <c r="M339" s="2751">
        <f>採点LR2!L37</f>
        <v>0</v>
      </c>
      <c r="N339" s="2751" t="str">
        <f>採点LR2!L38</f>
        <v>-</v>
      </c>
      <c r="O339" s="2751">
        <f>採点LR2!L39</f>
        <v>0</v>
      </c>
      <c r="P339" s="2751">
        <f>採点LR2!L40</f>
        <v>0</v>
      </c>
      <c r="Q339" s="2511"/>
      <c r="R339" s="2511"/>
      <c r="S339" s="2511"/>
      <c r="T339" s="2511"/>
      <c r="U339" s="2512"/>
    </row>
    <row r="340" spans="2:21" hidden="1">
      <c r="B340" s="2505">
        <f>重み!B151</f>
        <v>2</v>
      </c>
      <c r="C340" s="2506" t="str">
        <f>重み!C151</f>
        <v>非再生性資源の使用量削減</v>
      </c>
      <c r="D340" s="2506"/>
      <c r="E340" s="2506"/>
      <c r="F340" s="2506"/>
      <c r="G340" s="2492"/>
      <c r="H340" s="2511"/>
      <c r="I340" s="2489"/>
      <c r="J340" s="2492"/>
      <c r="K340" s="2492"/>
      <c r="L340" s="2511"/>
      <c r="M340" s="2511"/>
      <c r="N340" s="2511"/>
      <c r="O340" s="2511"/>
      <c r="P340" s="2511"/>
      <c r="Q340" s="2511"/>
      <c r="R340" s="2511"/>
      <c r="S340" s="2511"/>
      <c r="T340" s="2511"/>
      <c r="U340" s="2512"/>
    </row>
    <row r="341" spans="2:21">
      <c r="B341" s="2505" t="str">
        <f>重み!B152</f>
        <v>2.1</v>
      </c>
      <c r="C341" s="2506" t="str">
        <f>重み!C152</f>
        <v>材料使用量の削減</v>
      </c>
      <c r="D341" s="2506"/>
      <c r="E341" s="2506"/>
      <c r="F341" s="2506"/>
      <c r="G341" s="2492">
        <f>採点LR2!G57</f>
        <v>0</v>
      </c>
      <c r="H341" s="2511"/>
      <c r="I341" s="2492">
        <f>採点LR2!G54</f>
        <v>0</v>
      </c>
      <c r="J341" s="2492">
        <f>採点LR2!G55</f>
        <v>0</v>
      </c>
      <c r="K341" s="2492">
        <f>採点LR2!G56</f>
        <v>0</v>
      </c>
      <c r="L341" s="2511"/>
      <c r="M341" s="2511"/>
      <c r="N341" s="2511"/>
      <c r="O341" s="2511"/>
      <c r="P341" s="2511"/>
      <c r="Q341" s="2511"/>
      <c r="R341" s="2511"/>
      <c r="S341" s="2511"/>
      <c r="T341" s="2511"/>
      <c r="U341" s="2512"/>
    </row>
    <row r="342" spans="2:21" hidden="1">
      <c r="B342" s="2505" t="str">
        <f>重み!B153</f>
        <v>2.2</v>
      </c>
      <c r="C342" s="2506" t="str">
        <f>重み!C153</f>
        <v>既存建築躯体等の継続使用</v>
      </c>
      <c r="D342" s="2506"/>
      <c r="E342" s="2506"/>
      <c r="F342" s="2506"/>
      <c r="G342" s="2492"/>
      <c r="H342" s="2511"/>
      <c r="I342" s="2489"/>
      <c r="J342" s="2489"/>
      <c r="K342" s="2489"/>
      <c r="L342" s="2489"/>
      <c r="M342" s="2511"/>
      <c r="N342" s="2511"/>
      <c r="O342" s="2511"/>
      <c r="P342" s="2511"/>
      <c r="Q342" s="2511"/>
      <c r="R342" s="2511"/>
      <c r="S342" s="2511"/>
      <c r="T342" s="2511"/>
      <c r="U342" s="2512"/>
    </row>
    <row r="343" spans="2:21">
      <c r="B343" s="2505" t="str">
        <f>重み!B154</f>
        <v>2.3</v>
      </c>
      <c r="C343" s="2514" t="str">
        <f>重み!C154</f>
        <v>躯体材料におけるリサイクル材の使用</v>
      </c>
      <c r="D343" s="2506"/>
      <c r="E343" s="2506"/>
      <c r="F343" s="2506"/>
      <c r="G343" s="2511"/>
      <c r="H343" s="2511"/>
      <c r="I343" s="2492">
        <f>採点LR2!I79</f>
        <v>0</v>
      </c>
      <c r="J343" s="2492">
        <f>採点LR2!I80</f>
        <v>0</v>
      </c>
      <c r="K343" s="2492">
        <f>採点LR2!I81</f>
        <v>0</v>
      </c>
      <c r="L343" s="2492">
        <f>採点LR2!I82</f>
        <v>0</v>
      </c>
      <c r="M343" s="2492">
        <f>採点LR2!I83</f>
        <v>0</v>
      </c>
      <c r="N343" s="2511"/>
      <c r="O343" s="2511"/>
      <c r="P343" s="2511"/>
      <c r="Q343" s="2511"/>
      <c r="R343" s="2511"/>
      <c r="S343" s="2511"/>
      <c r="T343" s="2511"/>
      <c r="U343" s="2512"/>
    </row>
    <row r="344" spans="2:21" hidden="1">
      <c r="B344" s="2505" t="str">
        <f>重み!B155</f>
        <v>2.4</v>
      </c>
      <c r="C344" s="2514" t="str">
        <f>重み!C155</f>
        <v>躯体材料以外におけるリサイクル材の使用</v>
      </c>
      <c r="D344" s="2506"/>
      <c r="E344" s="2506"/>
      <c r="F344" s="2506"/>
      <c r="G344" s="2492"/>
      <c r="H344" s="2511"/>
      <c r="I344" s="2489"/>
      <c r="J344" s="2492"/>
      <c r="K344" s="2492"/>
      <c r="L344" s="2492"/>
      <c r="M344" s="2511"/>
      <c r="N344" s="2511"/>
      <c r="O344" s="2511"/>
      <c r="P344" s="2511"/>
      <c r="Q344" s="2511"/>
      <c r="R344" s="2511"/>
      <c r="S344" s="2511"/>
      <c r="T344" s="2511"/>
      <c r="U344" s="2512"/>
    </row>
    <row r="345" spans="2:21" hidden="1">
      <c r="B345" s="2505" t="str">
        <f>重み!B156</f>
        <v>2.5</v>
      </c>
      <c r="C345" s="2514" t="str">
        <f>重み!C156</f>
        <v>持続可能な森林から産出された木材</v>
      </c>
      <c r="D345" s="2506"/>
      <c r="E345" s="2506"/>
      <c r="F345" s="2506"/>
      <c r="G345" s="2492"/>
      <c r="H345" s="2511"/>
      <c r="I345" s="2489"/>
      <c r="J345" s="2492"/>
      <c r="K345" s="2492"/>
      <c r="L345" s="2492"/>
      <c r="M345" s="2511"/>
      <c r="N345" s="2511"/>
      <c r="O345" s="2511"/>
      <c r="P345" s="2511"/>
      <c r="Q345" s="2511"/>
      <c r="R345" s="2511"/>
      <c r="S345" s="2511"/>
      <c r="T345" s="2511"/>
      <c r="U345" s="2512"/>
    </row>
    <row r="346" spans="2:21">
      <c r="B346" s="2505" t="str">
        <f>重み!B157</f>
        <v>2.6</v>
      </c>
      <c r="C346" s="2514" t="str">
        <f>重み!C157</f>
        <v>部材の再利用可能性向上への取組み</v>
      </c>
      <c r="D346" s="2506"/>
      <c r="E346" s="2506"/>
      <c r="F346" s="2506"/>
      <c r="G346" s="2492">
        <f>採点LR2!G126</f>
        <v>0</v>
      </c>
      <c r="H346" s="2511"/>
      <c r="I346" s="2492">
        <f>採点LR2!G122</f>
        <v>0</v>
      </c>
      <c r="J346" s="2492">
        <f>採点LR2!G123</f>
        <v>0</v>
      </c>
      <c r="K346" s="2492">
        <f>採点LR2!G124</f>
        <v>0</v>
      </c>
      <c r="L346" s="2492">
        <f>採点LR2!G125</f>
        <v>0</v>
      </c>
      <c r="M346" s="2511"/>
      <c r="N346" s="2511"/>
      <c r="O346" s="2511"/>
      <c r="P346" s="2511"/>
      <c r="Q346" s="2511"/>
      <c r="R346" s="2511"/>
      <c r="S346" s="2511"/>
      <c r="T346" s="2511"/>
      <c r="U346" s="2512"/>
    </row>
    <row r="347" spans="2:21" hidden="1">
      <c r="B347" s="2505" t="str">
        <f>重み!B158</f>
        <v>2.6</v>
      </c>
      <c r="C347" s="2514">
        <f>重み!C158</f>
        <v>0</v>
      </c>
      <c r="D347" s="2506"/>
      <c r="E347" s="2506"/>
      <c r="F347" s="2506"/>
      <c r="G347" s="2492"/>
      <c r="H347" s="2511"/>
      <c r="I347" s="2489"/>
      <c r="J347" s="2492"/>
      <c r="K347" s="2492"/>
      <c r="L347" s="2492"/>
      <c r="M347" s="2511"/>
      <c r="N347" s="2511"/>
      <c r="O347" s="2511"/>
      <c r="P347" s="2511"/>
      <c r="Q347" s="2511"/>
      <c r="R347" s="2511"/>
      <c r="S347" s="2511"/>
      <c r="T347" s="2511"/>
      <c r="U347" s="2512"/>
    </row>
    <row r="348" spans="2:21" hidden="1">
      <c r="B348" s="2505" t="str">
        <f>重み!B159</f>
        <v>2.6.1</v>
      </c>
      <c r="C348" s="2514">
        <f>重み!C159</f>
        <v>0</v>
      </c>
      <c r="D348" s="2506"/>
      <c r="E348" s="2506"/>
      <c r="F348" s="2506"/>
      <c r="G348" s="2492"/>
      <c r="H348" s="2511"/>
      <c r="I348" s="2492"/>
      <c r="J348" s="2492"/>
      <c r="K348" s="2492"/>
      <c r="L348" s="2492"/>
      <c r="M348" s="2511"/>
      <c r="N348" s="2511"/>
      <c r="O348" s="2511"/>
      <c r="P348" s="2511"/>
      <c r="Q348" s="2511"/>
      <c r="R348" s="2511"/>
      <c r="S348" s="2511"/>
      <c r="T348" s="2511"/>
      <c r="U348" s="2512"/>
    </row>
    <row r="349" spans="2:21" hidden="1">
      <c r="B349" s="2505" t="str">
        <f>重み!B160</f>
        <v>2.6.2</v>
      </c>
      <c r="C349" s="2514">
        <f>重み!C160</f>
        <v>0</v>
      </c>
      <c r="D349" s="2506"/>
      <c r="E349" s="2506"/>
      <c r="F349" s="2506"/>
      <c r="G349" s="2492"/>
      <c r="H349" s="2511"/>
      <c r="I349" s="2492"/>
      <c r="J349" s="2492"/>
      <c r="K349" s="2492"/>
      <c r="L349" s="2492"/>
      <c r="M349" s="2511"/>
      <c r="N349" s="2511"/>
      <c r="O349" s="2511"/>
      <c r="P349" s="2511"/>
      <c r="Q349" s="2511"/>
      <c r="R349" s="2511"/>
      <c r="S349" s="2511"/>
      <c r="T349" s="2511"/>
      <c r="U349" s="2512"/>
    </row>
    <row r="350" spans="2:21" hidden="1">
      <c r="B350" s="2505" t="str">
        <f>重み!B161</f>
        <v>2.6.3</v>
      </c>
      <c r="C350" s="2514">
        <f>重み!C161</f>
        <v>0</v>
      </c>
      <c r="D350" s="2506"/>
      <c r="E350" s="2506"/>
      <c r="F350" s="2506"/>
      <c r="G350" s="2492"/>
      <c r="H350" s="2511"/>
      <c r="I350" s="2489"/>
      <c r="J350" s="2492"/>
      <c r="K350" s="2492"/>
      <c r="L350" s="2492"/>
      <c r="M350" s="2511"/>
      <c r="N350" s="2511"/>
      <c r="O350" s="2511"/>
      <c r="P350" s="2511"/>
      <c r="Q350" s="2511"/>
      <c r="R350" s="2511"/>
      <c r="S350" s="2511"/>
      <c r="T350" s="2511"/>
      <c r="U350" s="2512"/>
    </row>
    <row r="351" spans="2:21" hidden="1">
      <c r="B351" s="2505" t="str">
        <f>重み!B162</f>
        <v>2.6.4</v>
      </c>
      <c r="C351" s="2514">
        <f>重み!C162</f>
        <v>0</v>
      </c>
      <c r="D351" s="2506"/>
      <c r="E351" s="2506"/>
      <c r="F351" s="2506"/>
      <c r="G351" s="2492"/>
      <c r="H351" s="2511"/>
      <c r="I351" s="2492"/>
      <c r="J351" s="2492"/>
      <c r="K351" s="2492"/>
      <c r="L351" s="2492"/>
      <c r="M351" s="2511"/>
      <c r="N351" s="2511"/>
      <c r="O351" s="2511"/>
      <c r="P351" s="2511"/>
      <c r="Q351" s="2511"/>
      <c r="R351" s="2511"/>
      <c r="S351" s="2511"/>
      <c r="T351" s="2511"/>
      <c r="U351" s="2512"/>
    </row>
    <row r="352" spans="2:21" hidden="1">
      <c r="B352" s="2505" t="str">
        <f>重み!B163</f>
        <v>2.6.5</v>
      </c>
      <c r="C352" s="2514">
        <f>重み!C163</f>
        <v>0</v>
      </c>
      <c r="D352" s="2506"/>
      <c r="E352" s="2506"/>
      <c r="F352" s="2506"/>
      <c r="G352" s="2492"/>
      <c r="H352" s="2511"/>
      <c r="I352" s="2492"/>
      <c r="J352" s="2492"/>
      <c r="K352" s="2492"/>
      <c r="L352" s="2492"/>
      <c r="M352" s="2511"/>
      <c r="N352" s="2511"/>
      <c r="O352" s="2511"/>
      <c r="P352" s="2511"/>
      <c r="Q352" s="2511"/>
      <c r="R352" s="2511"/>
      <c r="S352" s="2511"/>
      <c r="T352" s="2511"/>
      <c r="U352" s="2512"/>
    </row>
    <row r="353" spans="2:21" hidden="1">
      <c r="B353" s="2505" t="str">
        <f>重み!B164</f>
        <v>2.6.6</v>
      </c>
      <c r="C353" s="2514">
        <f>重み!C164</f>
        <v>0</v>
      </c>
      <c r="D353" s="2506"/>
      <c r="E353" s="2506"/>
      <c r="F353" s="2506"/>
      <c r="G353" s="2492"/>
      <c r="H353" s="2511"/>
      <c r="I353" s="2492"/>
      <c r="J353" s="2492"/>
      <c r="K353" s="2492"/>
      <c r="L353" s="2492"/>
      <c r="M353" s="2511"/>
      <c r="N353" s="2511"/>
      <c r="O353" s="2511"/>
      <c r="P353" s="2511"/>
      <c r="Q353" s="2511"/>
      <c r="R353" s="2511"/>
      <c r="S353" s="2511"/>
      <c r="T353" s="2511"/>
      <c r="U353" s="2512"/>
    </row>
    <row r="354" spans="2:21" hidden="1">
      <c r="B354" s="2505">
        <f>重み!B165</f>
        <v>2.7</v>
      </c>
      <c r="C354" s="2514">
        <f>重み!C165</f>
        <v>0</v>
      </c>
      <c r="D354" s="2506"/>
      <c r="E354" s="2506"/>
      <c r="F354" s="2506"/>
      <c r="G354" s="2492"/>
      <c r="H354" s="2511"/>
      <c r="I354" s="2492"/>
      <c r="J354" s="2492"/>
      <c r="K354" s="2492"/>
      <c r="L354" s="2492"/>
      <c r="M354" s="2511"/>
      <c r="N354" s="2511"/>
      <c r="O354" s="2511"/>
      <c r="P354" s="2511"/>
      <c r="Q354" s="2511"/>
      <c r="R354" s="2511"/>
      <c r="S354" s="2511"/>
      <c r="T354" s="2511"/>
      <c r="U354" s="2512"/>
    </row>
    <row r="355" spans="2:21" hidden="1">
      <c r="B355" s="2505">
        <f>重み!B166</f>
        <v>3</v>
      </c>
      <c r="C355" s="2514" t="str">
        <f>重み!C166</f>
        <v>汚染物質含有材料の使用回避</v>
      </c>
      <c r="D355" s="2506"/>
      <c r="E355" s="2506"/>
      <c r="F355" s="2506"/>
      <c r="G355" s="2492"/>
      <c r="H355" s="2511"/>
      <c r="I355" s="2492"/>
      <c r="J355" s="2492"/>
      <c r="K355" s="2492"/>
      <c r="L355" s="2492"/>
      <c r="M355" s="2511"/>
      <c r="N355" s="2511"/>
      <c r="O355" s="2511"/>
      <c r="P355" s="2511"/>
      <c r="Q355" s="2511"/>
      <c r="R355" s="2511"/>
      <c r="S355" s="2511"/>
      <c r="T355" s="2511"/>
      <c r="U355" s="2512"/>
    </row>
    <row r="356" spans="2:21">
      <c r="B356" s="2505" t="str">
        <f>重み!B167</f>
        <v>3.1</v>
      </c>
      <c r="C356" s="2514" t="str">
        <f>重み!C167</f>
        <v>有害物質を含まない材料の使用</v>
      </c>
      <c r="D356" s="2506"/>
      <c r="E356" s="2506"/>
      <c r="F356" s="2506"/>
      <c r="G356" s="2492">
        <f>採点LR2!L207</f>
        <v>0</v>
      </c>
      <c r="H356" s="2511"/>
      <c r="I356" s="2511"/>
      <c r="J356" s="2511"/>
      <c r="K356" s="2511"/>
      <c r="L356" s="2511"/>
      <c r="M356" s="2511"/>
      <c r="N356" s="2511"/>
      <c r="O356" s="2511"/>
      <c r="P356" s="2511"/>
      <c r="Q356" s="2511"/>
      <c r="R356" s="2511"/>
      <c r="S356" s="2511"/>
      <c r="T356" s="2511"/>
      <c r="U356" s="2512"/>
    </row>
    <row r="357" spans="2:21" hidden="1">
      <c r="B357" s="2505" t="str">
        <f>重み!B168</f>
        <v>3.2</v>
      </c>
      <c r="C357" s="2506" t="str">
        <f>重み!C168</f>
        <v>フロン・ハロンの回避</v>
      </c>
      <c r="D357" s="2506"/>
      <c r="E357" s="2506"/>
      <c r="F357" s="2506"/>
      <c r="G357" s="2492"/>
      <c r="H357" s="2492"/>
      <c r="I357" s="2492"/>
      <c r="J357" s="2492"/>
      <c r="K357" s="2492"/>
      <c r="L357" s="2492"/>
      <c r="M357" s="2492"/>
      <c r="N357" s="2492"/>
      <c r="O357" s="2492"/>
      <c r="P357" s="2492"/>
      <c r="Q357" s="2492"/>
      <c r="R357" s="2492"/>
      <c r="S357" s="2492"/>
      <c r="T357" s="2492"/>
      <c r="U357" s="2493"/>
    </row>
    <row r="358" spans="2:21" hidden="1">
      <c r="B358" s="2505" t="str">
        <f>重み!B169</f>
        <v>3.2.1</v>
      </c>
      <c r="C358" s="2506" t="str">
        <f>重み!C169</f>
        <v>消火剤</v>
      </c>
      <c r="D358" s="2506"/>
      <c r="E358" s="2506"/>
      <c r="F358" s="2506"/>
      <c r="G358" s="2492"/>
      <c r="H358" s="2492"/>
      <c r="I358" s="2492"/>
      <c r="J358" s="2492"/>
      <c r="K358" s="2492"/>
      <c r="L358" s="2492"/>
      <c r="M358" s="2492"/>
      <c r="N358" s="2492"/>
      <c r="O358" s="2492"/>
      <c r="P358" s="2492"/>
      <c r="Q358" s="2492"/>
      <c r="R358" s="2492"/>
      <c r="S358" s="2492"/>
      <c r="T358" s="2492"/>
      <c r="U358" s="2493"/>
    </row>
    <row r="359" spans="2:21" hidden="1">
      <c r="B359" s="2505" t="str">
        <f>重み!B170</f>
        <v>3.2.2</v>
      </c>
      <c r="C359" s="2506" t="str">
        <f>重み!C170</f>
        <v>発泡剤（断熱材等）</v>
      </c>
      <c r="D359" s="2506"/>
      <c r="E359" s="2506"/>
      <c r="F359" s="2506"/>
      <c r="G359" s="2492"/>
      <c r="H359" s="2492"/>
      <c r="I359" s="2492"/>
      <c r="J359" s="2492"/>
      <c r="K359" s="2492"/>
      <c r="L359" s="2492"/>
      <c r="M359" s="2492"/>
      <c r="N359" s="2492"/>
      <c r="O359" s="2492"/>
      <c r="P359" s="2492"/>
      <c r="Q359" s="2492"/>
      <c r="R359" s="2492"/>
      <c r="S359" s="2492"/>
      <c r="T359" s="2492"/>
      <c r="U359" s="2493"/>
    </row>
    <row r="360" spans="2:21" hidden="1">
      <c r="B360" s="2505" t="str">
        <f>重み!B171</f>
        <v>3.2.3</v>
      </c>
      <c r="C360" s="2506" t="str">
        <f>重み!C171</f>
        <v>冷媒</v>
      </c>
      <c r="D360" s="2506"/>
      <c r="E360" s="2506"/>
      <c r="F360" s="2506"/>
      <c r="G360" s="2492"/>
      <c r="H360" s="2492"/>
      <c r="I360" s="2492"/>
      <c r="J360" s="2492"/>
      <c r="K360" s="2492"/>
      <c r="L360" s="2492"/>
      <c r="M360" s="2492"/>
      <c r="N360" s="2492"/>
      <c r="O360" s="2492"/>
      <c r="P360" s="2492"/>
      <c r="Q360" s="2492"/>
      <c r="R360" s="2492"/>
      <c r="S360" s="2492"/>
      <c r="T360" s="2492"/>
      <c r="U360" s="2493"/>
    </row>
    <row r="361" spans="2:21" ht="15">
      <c r="B361" s="2497" t="str">
        <f>重み!B172</f>
        <v>LR3</v>
      </c>
      <c r="C361" s="2498" t="str">
        <f>重み!C172</f>
        <v>敷地外環境</v>
      </c>
      <c r="D361" s="2498"/>
      <c r="E361" s="2498"/>
      <c r="F361" s="2498"/>
      <c r="G361" s="2498"/>
      <c r="H361" s="2499"/>
      <c r="I361" s="2500"/>
      <c r="J361" s="2500"/>
      <c r="K361" s="2500"/>
      <c r="L361" s="2500"/>
      <c r="M361" s="2500"/>
      <c r="N361" s="2500"/>
      <c r="O361" s="2500"/>
      <c r="P361" s="2501"/>
      <c r="Q361" s="2501"/>
      <c r="R361" s="2502"/>
      <c r="S361" s="2503"/>
      <c r="T361" s="2502"/>
      <c r="U361" s="2504"/>
    </row>
    <row r="362" spans="2:21" hidden="1">
      <c r="B362" s="2505">
        <f>重み!B173</f>
        <v>1</v>
      </c>
      <c r="C362" s="2506" t="str">
        <f>重み!C173</f>
        <v>地球温暖化への配慮</v>
      </c>
      <c r="D362" s="2506"/>
      <c r="E362" s="2506"/>
      <c r="F362" s="2506"/>
      <c r="G362" s="2492"/>
      <c r="H362" s="2492"/>
      <c r="I362" s="2492"/>
      <c r="J362" s="2492"/>
      <c r="K362" s="2492"/>
      <c r="L362" s="2492"/>
      <c r="M362" s="2492"/>
      <c r="N362" s="2492"/>
      <c r="O362" s="2492"/>
      <c r="P362" s="2492"/>
      <c r="Q362" s="2492"/>
      <c r="R362" s="2492"/>
      <c r="S362" s="2492"/>
      <c r="T362" s="2492"/>
      <c r="U362" s="2493"/>
    </row>
    <row r="363" spans="2:21" hidden="1">
      <c r="B363" s="2505">
        <f>重み!B174</f>
        <v>2</v>
      </c>
      <c r="C363" s="2506" t="str">
        <f>重み!C174</f>
        <v>地域環境への配慮</v>
      </c>
      <c r="D363" s="2506"/>
      <c r="E363" s="2506"/>
      <c r="F363" s="2506"/>
      <c r="G363" s="2492"/>
      <c r="H363" s="2492"/>
      <c r="I363" s="2492"/>
      <c r="J363" s="2492"/>
      <c r="K363" s="2492"/>
      <c r="L363" s="2492"/>
      <c r="M363" s="2492"/>
      <c r="N363" s="2492"/>
      <c r="O363" s="2492"/>
      <c r="P363" s="2492"/>
      <c r="Q363" s="2492"/>
      <c r="R363" s="2492"/>
      <c r="S363" s="2492"/>
      <c r="T363" s="2492"/>
      <c r="U363" s="2493"/>
    </row>
    <row r="364" spans="2:21" hidden="1">
      <c r="B364" s="2505" t="str">
        <f>重み!B175</f>
        <v>2.1</v>
      </c>
      <c r="C364" s="2506" t="str">
        <f>重み!C175</f>
        <v>大気汚染防止</v>
      </c>
      <c r="D364" s="2506"/>
      <c r="E364" s="2506"/>
      <c r="F364" s="2506"/>
      <c r="G364" s="2492"/>
      <c r="H364" s="2492"/>
      <c r="I364" s="2492"/>
      <c r="J364" s="2492"/>
      <c r="K364" s="2492"/>
      <c r="L364" s="2492"/>
      <c r="M364" s="2492"/>
      <c r="N364" s="2492"/>
      <c r="O364" s="2492"/>
      <c r="P364" s="2492"/>
      <c r="Q364" s="2492"/>
      <c r="R364" s="2492"/>
      <c r="S364" s="2492"/>
      <c r="T364" s="2492"/>
      <c r="U364" s="2493"/>
    </row>
    <row r="365" spans="2:21">
      <c r="B365" s="2505" t="str">
        <f>重み!B176</f>
        <v>2.2</v>
      </c>
      <c r="C365" s="2506" t="str">
        <f>重み!C176</f>
        <v>温熱環境悪化の改善</v>
      </c>
      <c r="D365" s="2506"/>
      <c r="E365" s="2506"/>
      <c r="F365" s="2506"/>
      <c r="G365" s="2492">
        <f>採点LR3!G79</f>
        <v>6</v>
      </c>
      <c r="H365" s="2511"/>
      <c r="I365" s="2492">
        <f>採点LR3!G58</f>
        <v>1</v>
      </c>
      <c r="J365" s="2492">
        <f>採点LR3!G61</f>
        <v>0</v>
      </c>
      <c r="K365" s="2492">
        <f>採点LR3!G63</f>
        <v>0</v>
      </c>
      <c r="L365" s="2492">
        <f>採点LR3!G65</f>
        <v>3</v>
      </c>
      <c r="M365" s="2492">
        <f>採点LR3!G67</f>
        <v>0</v>
      </c>
      <c r="N365" s="2492">
        <f>採点LR3!G69</f>
        <v>0</v>
      </c>
      <c r="O365" s="2492">
        <f>採点LR3!G71</f>
        <v>0</v>
      </c>
      <c r="P365" s="2492">
        <f>採点LR3!G73</f>
        <v>2</v>
      </c>
      <c r="Q365" s="2492">
        <f>採点LR3!G75</f>
        <v>0</v>
      </c>
      <c r="R365" s="2492">
        <f>採点LR3!G77</f>
        <v>0</v>
      </c>
      <c r="S365" s="2511"/>
      <c r="T365" s="2511"/>
      <c r="U365" s="2512"/>
    </row>
    <row r="366" spans="2:21" hidden="1">
      <c r="B366" s="2505" t="str">
        <f>重み!B177</f>
        <v>2.3</v>
      </c>
      <c r="C366" s="2506" t="str">
        <f>重み!C177</f>
        <v>地域インフラへの負荷抑制</v>
      </c>
      <c r="D366" s="2506"/>
      <c r="E366" s="2506"/>
      <c r="F366" s="2506"/>
      <c r="G366" s="2492"/>
      <c r="H366" s="2511"/>
      <c r="I366" s="2489"/>
      <c r="J366" s="2492"/>
      <c r="K366" s="2492"/>
      <c r="L366" s="2492"/>
      <c r="M366" s="2492"/>
      <c r="N366" s="2492"/>
      <c r="O366" s="2492"/>
      <c r="P366" s="2492"/>
      <c r="Q366" s="2492"/>
      <c r="R366" s="2492"/>
      <c r="S366" s="2492"/>
      <c r="T366" s="2492"/>
      <c r="U366" s="2493"/>
    </row>
    <row r="367" spans="2:21" hidden="1">
      <c r="B367" s="2505" t="str">
        <f>重み!B178</f>
        <v>2.3.1</v>
      </c>
      <c r="C367" s="2506" t="str">
        <f>重み!C178</f>
        <v>雨水排水負荷低減</v>
      </c>
      <c r="D367" s="2506"/>
      <c r="E367" s="2506"/>
      <c r="F367" s="2506"/>
      <c r="G367" s="2492"/>
      <c r="H367" s="2511"/>
      <c r="I367" s="2492"/>
      <c r="J367" s="2492"/>
      <c r="K367" s="2492"/>
      <c r="L367" s="2492"/>
      <c r="M367" s="2492"/>
      <c r="N367" s="2492"/>
      <c r="O367" s="2492"/>
      <c r="P367" s="2492"/>
      <c r="Q367" s="2492"/>
      <c r="R367" s="2492"/>
      <c r="S367" s="2492"/>
      <c r="T367" s="2492"/>
      <c r="U367" s="2493"/>
    </row>
    <row r="368" spans="2:21" hidden="1">
      <c r="B368" s="2505" t="str">
        <f>重み!B179</f>
        <v>2.3.2</v>
      </c>
      <c r="C368" s="2506" t="str">
        <f>重み!C179</f>
        <v>汚水処理負荷抑制</v>
      </c>
      <c r="D368" s="2506"/>
      <c r="E368" s="2506"/>
      <c r="F368" s="2506"/>
      <c r="G368" s="2492"/>
      <c r="H368" s="2511"/>
      <c r="I368" s="2489"/>
      <c r="J368" s="2492"/>
      <c r="K368" s="2492"/>
      <c r="L368" s="2492"/>
      <c r="M368" s="2492"/>
      <c r="N368" s="2492"/>
      <c r="O368" s="2492"/>
      <c r="P368" s="2492"/>
      <c r="Q368" s="2492"/>
      <c r="R368" s="2492"/>
      <c r="S368" s="2492"/>
      <c r="T368" s="2492"/>
      <c r="U368" s="2493"/>
    </row>
    <row r="369" spans="2:21">
      <c r="B369" s="2505" t="str">
        <f>重み!B180</f>
        <v>2.3.3</v>
      </c>
      <c r="C369" s="2506" t="str">
        <f>重み!C180</f>
        <v>交通負荷抑制</v>
      </c>
      <c r="D369" s="2506"/>
      <c r="E369" s="2506"/>
      <c r="F369" s="2506"/>
      <c r="G369" s="2492">
        <f>採点LR3!G119</f>
        <v>2</v>
      </c>
      <c r="H369" s="2511"/>
      <c r="I369" s="2492">
        <f>採点LR3!G113</f>
        <v>0</v>
      </c>
      <c r="J369" s="2492">
        <f>採点LR3!G114</f>
        <v>0</v>
      </c>
      <c r="K369" s="2492">
        <f>採点LR3!G115</f>
        <v>0</v>
      </c>
      <c r="L369" s="2492">
        <f>採点LR3!G116</f>
        <v>1</v>
      </c>
      <c r="M369" s="2492">
        <f>採点LR3!G117</f>
        <v>1</v>
      </c>
      <c r="N369" s="2492">
        <f>採点LR3!G118</f>
        <v>0</v>
      </c>
      <c r="O369" s="2509"/>
      <c r="P369" s="2511"/>
      <c r="Q369" s="2511"/>
      <c r="R369" s="2511"/>
      <c r="S369" s="2511"/>
      <c r="T369" s="2511"/>
      <c r="U369" s="2512"/>
    </row>
    <row r="370" spans="2:21">
      <c r="B370" s="2505" t="str">
        <f>重み!B181</f>
        <v>2.3.4</v>
      </c>
      <c r="C370" s="2506" t="str">
        <f>重み!C181</f>
        <v>廃棄物処理負荷抑制</v>
      </c>
      <c r="D370" s="2506"/>
      <c r="E370" s="2506"/>
      <c r="F370" s="2506"/>
      <c r="G370" s="2492">
        <f>採点LR3!G139</f>
        <v>3</v>
      </c>
      <c r="H370" s="2511"/>
      <c r="I370" s="2492">
        <f>採点LR3!G132</f>
        <v>1</v>
      </c>
      <c r="J370" s="2492">
        <f>採点LR3!G133</f>
        <v>1</v>
      </c>
      <c r="K370" s="2492">
        <f>採点LR3!G134</f>
        <v>1</v>
      </c>
      <c r="L370" s="2492">
        <f>採点LR3!G135</f>
        <v>0</v>
      </c>
      <c r="M370" s="2489"/>
      <c r="N370" s="2492">
        <f>採点LR3!G137</f>
        <v>0</v>
      </c>
      <c r="O370" s="2492">
        <f>採点LR3!G138</f>
        <v>0</v>
      </c>
      <c r="P370" s="2511"/>
      <c r="Q370" s="2511"/>
      <c r="R370" s="2511"/>
      <c r="S370" s="2511"/>
      <c r="T370" s="2511"/>
      <c r="U370" s="2512"/>
    </row>
    <row r="371" spans="2:21" hidden="1">
      <c r="B371" s="2505">
        <f>重み!B182</f>
        <v>0</v>
      </c>
      <c r="C371" s="2506">
        <f>重み!C182</f>
        <v>0</v>
      </c>
      <c r="D371" s="2506"/>
      <c r="E371" s="2506"/>
      <c r="F371" s="2506"/>
      <c r="G371" s="2492"/>
      <c r="H371" s="2511"/>
      <c r="I371" s="2489"/>
      <c r="J371" s="2492"/>
      <c r="K371" s="2492"/>
      <c r="L371" s="2492"/>
      <c r="M371" s="2492"/>
      <c r="N371" s="2492"/>
      <c r="O371" s="2492"/>
      <c r="P371" s="2511"/>
      <c r="Q371" s="2511"/>
      <c r="R371" s="2511"/>
      <c r="S371" s="2511"/>
      <c r="T371" s="2511"/>
      <c r="U371" s="2512"/>
    </row>
    <row r="372" spans="2:21" hidden="1">
      <c r="B372" s="2505">
        <f>重み!B183</f>
        <v>3</v>
      </c>
      <c r="C372" s="2506" t="str">
        <f>重み!C183</f>
        <v>周辺環境への配慮</v>
      </c>
      <c r="D372" s="2506"/>
      <c r="E372" s="2506"/>
      <c r="F372" s="2506"/>
      <c r="G372" s="2492"/>
      <c r="H372" s="2511"/>
      <c r="I372" s="2489"/>
      <c r="J372" s="2492"/>
      <c r="K372" s="2492"/>
      <c r="L372" s="2492"/>
      <c r="M372" s="2492"/>
      <c r="N372" s="2492"/>
      <c r="O372" s="2492"/>
      <c r="P372" s="2511"/>
      <c r="Q372" s="2511"/>
      <c r="R372" s="2511"/>
      <c r="S372" s="2511"/>
      <c r="T372" s="2511"/>
      <c r="U372" s="2512"/>
    </row>
    <row r="373" spans="2:21" hidden="1">
      <c r="B373" s="2505" t="str">
        <f>重み!B184</f>
        <v>3.1</v>
      </c>
      <c r="C373" s="2506" t="str">
        <f>重み!C184</f>
        <v>騒音・振動・悪臭の防止</v>
      </c>
      <c r="D373" s="2506"/>
      <c r="E373" s="2506"/>
      <c r="F373" s="2506"/>
      <c r="G373" s="2492"/>
      <c r="H373" s="2511"/>
      <c r="I373" s="2489"/>
      <c r="J373" s="2492"/>
      <c r="K373" s="2492"/>
      <c r="L373" s="2492"/>
      <c r="M373" s="2492"/>
      <c r="N373" s="2492"/>
      <c r="O373" s="2492"/>
      <c r="P373" s="2511"/>
      <c r="Q373" s="2511"/>
      <c r="R373" s="2511"/>
      <c r="S373" s="2511"/>
      <c r="T373" s="2511"/>
      <c r="U373" s="2512"/>
    </row>
    <row r="374" spans="2:21" hidden="1">
      <c r="B374" s="2505" t="str">
        <f>重み!B185</f>
        <v>3.1.1</v>
      </c>
      <c r="C374" s="2506" t="str">
        <f>重み!C185</f>
        <v>騒音</v>
      </c>
      <c r="D374" s="2506"/>
      <c r="E374" s="2506"/>
      <c r="F374" s="2506"/>
      <c r="G374" s="2492"/>
      <c r="H374" s="2511"/>
      <c r="I374" s="2492"/>
      <c r="J374" s="2492"/>
      <c r="K374" s="2492"/>
      <c r="L374" s="2492"/>
      <c r="M374" s="2492"/>
      <c r="N374" s="2492"/>
      <c r="O374" s="2492"/>
      <c r="P374" s="2511"/>
      <c r="Q374" s="2511"/>
      <c r="R374" s="2511"/>
      <c r="S374" s="2511"/>
      <c r="T374" s="2511"/>
      <c r="U374" s="2512"/>
    </row>
    <row r="375" spans="2:21" hidden="1">
      <c r="B375" s="2505" t="str">
        <f>重み!B186</f>
        <v>3.1.2</v>
      </c>
      <c r="C375" s="2506" t="str">
        <f>重み!C186</f>
        <v>振動</v>
      </c>
      <c r="D375" s="2506"/>
      <c r="E375" s="2506"/>
      <c r="F375" s="2506"/>
      <c r="G375" s="2492"/>
      <c r="H375" s="2511"/>
      <c r="I375" s="2489"/>
      <c r="J375" s="2492"/>
      <c r="K375" s="2492"/>
      <c r="L375" s="2492"/>
      <c r="M375" s="2492"/>
      <c r="N375" s="2492"/>
      <c r="O375" s="2492"/>
      <c r="P375" s="2511"/>
      <c r="Q375" s="2511"/>
      <c r="R375" s="2511"/>
      <c r="S375" s="2511"/>
      <c r="T375" s="2511"/>
      <c r="U375" s="2512"/>
    </row>
    <row r="376" spans="2:21" hidden="1">
      <c r="B376" s="2505" t="str">
        <f>重み!B187</f>
        <v>3.1.3</v>
      </c>
      <c r="C376" s="2506" t="str">
        <f>重み!C187</f>
        <v>悪臭</v>
      </c>
      <c r="D376" s="2506"/>
      <c r="E376" s="2506"/>
      <c r="F376" s="2506"/>
      <c r="G376" s="2492"/>
      <c r="H376" s="2511"/>
      <c r="I376" s="2489"/>
      <c r="J376" s="2492"/>
      <c r="K376" s="2492"/>
      <c r="L376" s="2492"/>
      <c r="M376" s="2492"/>
      <c r="N376" s="2492"/>
      <c r="O376" s="2492"/>
      <c r="P376" s="2511"/>
      <c r="Q376" s="2511"/>
      <c r="R376" s="2511"/>
      <c r="S376" s="2511"/>
      <c r="T376" s="2511"/>
      <c r="U376" s="2512"/>
    </row>
    <row r="377" spans="2:21" hidden="1">
      <c r="B377" s="2505" t="str">
        <f>重み!B188</f>
        <v>3.2</v>
      </c>
      <c r="C377" s="2506" t="str">
        <f>重み!C188</f>
        <v>風害・砂塵、日照阻害の抑制</v>
      </c>
      <c r="D377" s="2506"/>
      <c r="E377" s="2506"/>
      <c r="F377" s="2506"/>
      <c r="G377" s="2492"/>
      <c r="H377" s="2511"/>
      <c r="I377" s="2489"/>
      <c r="J377" s="2492"/>
      <c r="K377" s="2492"/>
      <c r="L377" s="2492"/>
      <c r="M377" s="2492"/>
      <c r="N377" s="2492"/>
      <c r="O377" s="2492"/>
      <c r="P377" s="2511"/>
      <c r="Q377" s="2511"/>
      <c r="R377" s="2511"/>
      <c r="S377" s="2511"/>
      <c r="T377" s="2511"/>
      <c r="U377" s="2512"/>
    </row>
    <row r="378" spans="2:21" hidden="1">
      <c r="B378" s="2505" t="str">
        <f>重み!B189</f>
        <v>3.2.1</v>
      </c>
      <c r="C378" s="2506" t="str">
        <f>重み!C189</f>
        <v>風害の抑制</v>
      </c>
      <c r="D378" s="2506"/>
      <c r="E378" s="2506"/>
      <c r="F378" s="2506"/>
      <c r="G378" s="2492"/>
      <c r="H378" s="2511"/>
      <c r="I378" s="2492"/>
      <c r="J378" s="2492"/>
      <c r="K378" s="2492"/>
      <c r="L378" s="2492"/>
      <c r="M378" s="2492"/>
      <c r="N378" s="2492"/>
      <c r="O378" s="2492"/>
      <c r="P378" s="2511"/>
      <c r="Q378" s="2511"/>
      <c r="R378" s="2511"/>
      <c r="S378" s="2511"/>
      <c r="T378" s="2511"/>
      <c r="U378" s="2512"/>
    </row>
    <row r="379" spans="2:21">
      <c r="B379" s="2505" t="str">
        <f>重み!B190</f>
        <v>3.2.2</v>
      </c>
      <c r="C379" s="2506" t="str">
        <f>重み!C190</f>
        <v>砂塵の抑制</v>
      </c>
      <c r="D379" s="2506"/>
      <c r="E379" s="2506"/>
      <c r="F379" s="2506"/>
      <c r="G379" s="2492">
        <f>採点LR3!G229</f>
        <v>0</v>
      </c>
      <c r="H379" s="2511"/>
      <c r="I379" s="2492">
        <f>採点LR3!G224</f>
        <v>0</v>
      </c>
      <c r="J379" s="2492">
        <f>採点LR3!G226</f>
        <v>0</v>
      </c>
      <c r="K379" s="2511"/>
      <c r="L379" s="2511"/>
      <c r="M379" s="2511"/>
      <c r="N379" s="2511"/>
      <c r="O379" s="2511"/>
      <c r="P379" s="2511"/>
      <c r="Q379" s="2511"/>
      <c r="R379" s="2511"/>
      <c r="S379" s="2511"/>
      <c r="T379" s="2511"/>
      <c r="U379" s="2512"/>
    </row>
    <row r="380" spans="2:21" hidden="1">
      <c r="B380" s="2505" t="str">
        <f>重み!B191</f>
        <v>3.2.3</v>
      </c>
      <c r="C380" s="2506" t="str">
        <f>重み!C191</f>
        <v>日照阻害の抑制</v>
      </c>
      <c r="D380" s="2506"/>
      <c r="E380" s="2506"/>
      <c r="F380" s="2506"/>
      <c r="G380" s="2492"/>
      <c r="H380" s="2511"/>
      <c r="I380" s="2492"/>
      <c r="J380" s="2492"/>
      <c r="K380" s="2511"/>
      <c r="L380" s="2511"/>
      <c r="M380" s="2511"/>
      <c r="N380" s="2511"/>
      <c r="O380" s="2511"/>
      <c r="P380" s="2511"/>
      <c r="Q380" s="2511"/>
      <c r="R380" s="2511"/>
      <c r="S380" s="2511"/>
      <c r="T380" s="2511"/>
      <c r="U380" s="2512"/>
    </row>
    <row r="381" spans="2:21" hidden="1">
      <c r="B381" s="2505" t="str">
        <f>重み!B192</f>
        <v>3.3</v>
      </c>
      <c r="C381" s="2506" t="str">
        <f>重み!C192</f>
        <v>光害の抑制</v>
      </c>
      <c r="D381" s="2506"/>
      <c r="E381" s="2506"/>
      <c r="F381" s="2506"/>
      <c r="G381" s="2492"/>
      <c r="H381" s="2511"/>
      <c r="I381" s="2489"/>
      <c r="J381" s="2492"/>
      <c r="K381" s="2511"/>
      <c r="L381" s="2511"/>
      <c r="M381" s="2511"/>
      <c r="N381" s="2511"/>
      <c r="O381" s="2511"/>
      <c r="P381" s="2511"/>
      <c r="Q381" s="2511"/>
      <c r="R381" s="2511"/>
      <c r="S381" s="2511"/>
      <c r="T381" s="2511"/>
      <c r="U381" s="2512"/>
    </row>
    <row r="382" spans="2:21" ht="15" thickBot="1">
      <c r="B382" s="2515" t="str">
        <f>重み!B193</f>
        <v>3.3.1</v>
      </c>
      <c r="C382" s="2516" t="str">
        <f>重み!C193</f>
        <v>屋外照明及び屋内照明のうち外に漏れる光への対策</v>
      </c>
      <c r="D382" s="2517"/>
      <c r="E382" s="2517"/>
      <c r="F382" s="2517"/>
      <c r="G382" s="2518">
        <f>採点LR3!G260</f>
        <v>2</v>
      </c>
      <c r="H382" s="2519"/>
      <c r="I382" s="2518">
        <f>採点LR3!G254</f>
        <v>0</v>
      </c>
      <c r="J382" s="2518">
        <f>採点LR3!G257</f>
        <v>2</v>
      </c>
      <c r="K382" s="2519"/>
      <c r="L382" s="2519"/>
      <c r="M382" s="2519"/>
      <c r="N382" s="2519"/>
      <c r="O382" s="2519"/>
      <c r="P382" s="2519"/>
      <c r="Q382" s="2519"/>
      <c r="R382" s="2519"/>
      <c r="S382" s="2519"/>
      <c r="T382" s="2519"/>
      <c r="U382" s="2520"/>
    </row>
    <row r="383" spans="2:21" hidden="1">
      <c r="B383" s="2263" t="str">
        <f>重み!B194</f>
        <v>3.3.2</v>
      </c>
      <c r="C383" t="str">
        <f>重み!C194</f>
        <v>昼光の建物外壁による反射光（グレア）への対策</v>
      </c>
      <c r="G383" s="2521"/>
      <c r="H383" s="2521"/>
      <c r="I383" s="2521"/>
      <c r="J383" s="2521"/>
      <c r="K383" s="2521"/>
      <c r="L383" s="2521"/>
      <c r="M383" s="2521"/>
      <c r="N383" s="2521"/>
      <c r="O383" s="2521"/>
      <c r="P383" s="2521"/>
      <c r="Q383" s="2521"/>
      <c r="R383" s="2521"/>
      <c r="S383" s="2521"/>
      <c r="T383" s="2521"/>
      <c r="U383" s="2521"/>
    </row>
    <row r="384" spans="2:21" ht="5.45" customHeight="1" thickBot="1"/>
    <row r="385" spans="1:21" ht="18" customHeight="1">
      <c r="A385" s="45"/>
      <c r="B385" s="2482" t="s">
        <v>3119</v>
      </c>
      <c r="C385" s="2484"/>
      <c r="D385" s="2484"/>
      <c r="E385" s="2484"/>
      <c r="F385" s="2484"/>
      <c r="G385" s="2484"/>
      <c r="H385" s="2484"/>
      <c r="I385" s="2484"/>
      <c r="J385" s="2484"/>
      <c r="K385" s="2484"/>
      <c r="L385" s="2484"/>
      <c r="M385" s="2484"/>
      <c r="N385" s="2484"/>
      <c r="O385" s="2484"/>
      <c r="P385" s="2484"/>
      <c r="Q385" s="2484"/>
      <c r="R385" s="2484"/>
      <c r="S385" s="2484"/>
      <c r="T385" s="2484"/>
      <c r="U385" s="2522"/>
    </row>
    <row r="386" spans="1:21">
      <c r="A386" s="45"/>
      <c r="B386" s="2523" t="str">
        <f t="shared" ref="B386:C401" si="21">B198</f>
        <v>Q1</v>
      </c>
      <c r="C386" s="2524" t="str">
        <f t="shared" si="21"/>
        <v>室内環境</v>
      </c>
      <c r="D386" s="2524"/>
      <c r="E386" s="1773"/>
      <c r="F386" s="1773"/>
      <c r="G386" s="1773"/>
      <c r="H386" s="1773"/>
      <c r="I386" s="1773"/>
      <c r="J386" s="1773"/>
      <c r="K386" s="1773"/>
      <c r="L386" s="1773"/>
      <c r="M386" s="1773"/>
      <c r="N386" s="1773"/>
      <c r="O386" s="1773"/>
      <c r="P386" s="1773"/>
      <c r="Q386" s="1773"/>
      <c r="R386" s="1773"/>
      <c r="S386" s="1773"/>
      <c r="T386" s="1773"/>
      <c r="U386" s="2508"/>
    </row>
    <row r="387" spans="1:21" hidden="1">
      <c r="A387" s="45"/>
      <c r="B387" s="2505">
        <f t="shared" si="21"/>
        <v>1</v>
      </c>
      <c r="C387" s="2506" t="str">
        <f t="shared" si="21"/>
        <v>音環境</v>
      </c>
      <c r="D387" s="2506"/>
      <c r="E387" s="1773"/>
      <c r="F387" s="1773"/>
      <c r="G387" s="1773"/>
      <c r="H387" s="1773"/>
      <c r="I387" s="1773"/>
      <c r="J387" s="1773"/>
      <c r="K387" s="1773"/>
      <c r="L387" s="1773"/>
      <c r="M387" s="1773"/>
      <c r="N387" s="1773"/>
      <c r="O387" s="1773"/>
      <c r="P387" s="1773"/>
      <c r="Q387" s="1773"/>
      <c r="R387" s="1773"/>
      <c r="S387" s="1773"/>
      <c r="T387" s="1773"/>
      <c r="U387" s="2508"/>
    </row>
    <row r="388" spans="1:21" hidden="1">
      <c r="A388" s="45"/>
      <c r="B388" s="2505">
        <f t="shared" si="21"/>
        <v>1.1000000000000001</v>
      </c>
      <c r="C388" s="2506" t="str">
        <f t="shared" si="21"/>
        <v>室内騒音レベル</v>
      </c>
      <c r="D388" s="2506"/>
      <c r="E388" s="1773"/>
      <c r="F388" s="1773"/>
      <c r="G388" s="1773"/>
      <c r="H388" s="1773"/>
      <c r="I388" s="1773"/>
      <c r="J388" s="1773"/>
      <c r="K388" s="1773"/>
      <c r="L388" s="1773"/>
      <c r="M388" s="1773"/>
      <c r="N388" s="1773"/>
      <c r="O388" s="1773"/>
      <c r="P388" s="1773"/>
      <c r="Q388" s="1773"/>
      <c r="R388" s="1773"/>
      <c r="S388" s="1773"/>
      <c r="T388" s="1773"/>
      <c r="U388" s="2508"/>
    </row>
    <row r="389" spans="1:21" hidden="1">
      <c r="A389" s="45"/>
      <c r="B389" s="2505" t="str">
        <f t="shared" si="21"/>
        <v>1.1.1</v>
      </c>
      <c r="C389" s="2506">
        <f t="shared" si="21"/>
        <v>0</v>
      </c>
      <c r="D389" s="2506"/>
      <c r="E389" s="1773"/>
      <c r="F389" s="1773"/>
      <c r="G389" s="1773"/>
      <c r="H389" s="1773"/>
      <c r="I389" s="1773"/>
      <c r="J389" s="1773"/>
      <c r="K389" s="1773"/>
      <c r="L389" s="1773"/>
      <c r="M389" s="1773"/>
      <c r="N389" s="1773"/>
      <c r="O389" s="1773"/>
      <c r="P389" s="1773"/>
      <c r="Q389" s="1773"/>
      <c r="R389" s="1773"/>
      <c r="S389" s="1773"/>
      <c r="T389" s="1773"/>
      <c r="U389" s="2508"/>
    </row>
    <row r="390" spans="1:21" hidden="1">
      <c r="A390" s="45"/>
      <c r="B390" s="2505" t="str">
        <f t="shared" si="21"/>
        <v>1.1.2</v>
      </c>
      <c r="C390" s="2506">
        <f t="shared" si="21"/>
        <v>0</v>
      </c>
      <c r="D390" s="2506"/>
      <c r="E390" s="1773"/>
      <c r="F390" s="1773"/>
      <c r="G390" s="1773"/>
      <c r="H390" s="1773"/>
      <c r="I390" s="1773"/>
      <c r="J390" s="1773"/>
      <c r="K390" s="1773"/>
      <c r="L390" s="1773"/>
      <c r="M390" s="1773"/>
      <c r="N390" s="1773"/>
      <c r="O390" s="1773"/>
      <c r="P390" s="1773"/>
      <c r="Q390" s="1773"/>
      <c r="R390" s="1773"/>
      <c r="S390" s="1773"/>
      <c r="T390" s="1773"/>
      <c r="U390" s="2508"/>
    </row>
    <row r="391" spans="1:21" hidden="1">
      <c r="A391" s="45"/>
      <c r="B391" s="2505">
        <f t="shared" si="21"/>
        <v>1.2</v>
      </c>
      <c r="C391" s="2506" t="str">
        <f t="shared" si="21"/>
        <v>遮音</v>
      </c>
      <c r="D391" s="2506"/>
      <c r="E391" s="1773"/>
      <c r="F391" s="1773"/>
      <c r="G391" s="1773"/>
      <c r="H391" s="1773"/>
      <c r="I391" s="1773"/>
      <c r="J391" s="1773"/>
      <c r="K391" s="1773"/>
      <c r="L391" s="1773"/>
      <c r="M391" s="1773"/>
      <c r="N391" s="1773"/>
      <c r="O391" s="1773"/>
      <c r="P391" s="1773"/>
      <c r="Q391" s="1773"/>
      <c r="R391" s="1773"/>
      <c r="S391" s="1773"/>
      <c r="T391" s="1773"/>
      <c r="U391" s="2508"/>
    </row>
    <row r="392" spans="1:21" hidden="1">
      <c r="A392" s="45"/>
      <c r="B392" s="2505" t="str">
        <f t="shared" si="21"/>
        <v>1.2.1</v>
      </c>
      <c r="C392" s="2506" t="str">
        <f t="shared" si="21"/>
        <v>開口部遮音性能</v>
      </c>
      <c r="D392" s="2506"/>
      <c r="E392" s="1773"/>
      <c r="F392" s="1773"/>
      <c r="G392" s="1773"/>
      <c r="H392" s="1773"/>
      <c r="I392" s="1773"/>
      <c r="J392" s="1773"/>
      <c r="K392" s="1773"/>
      <c r="L392" s="1773"/>
      <c r="M392" s="1773"/>
      <c r="N392" s="1773"/>
      <c r="O392" s="1773"/>
      <c r="P392" s="1773"/>
      <c r="Q392" s="1773"/>
      <c r="R392" s="1773"/>
      <c r="S392" s="1773"/>
      <c r="T392" s="1773"/>
      <c r="U392" s="2508"/>
    </row>
    <row r="393" spans="1:21" hidden="1">
      <c r="A393" s="45"/>
      <c r="B393" s="2505" t="str">
        <f t="shared" si="21"/>
        <v>1.2.2</v>
      </c>
      <c r="C393" s="2506" t="str">
        <f t="shared" si="21"/>
        <v>界壁遮音性能</v>
      </c>
      <c r="D393" s="2506"/>
      <c r="E393" s="1773"/>
      <c r="F393" s="1773"/>
      <c r="G393" s="1773"/>
      <c r="H393" s="1773"/>
      <c r="I393" s="1773"/>
      <c r="J393" s="1773"/>
      <c r="K393" s="1773"/>
      <c r="L393" s="1773"/>
      <c r="M393" s="1773"/>
      <c r="N393" s="1773"/>
      <c r="O393" s="1773"/>
      <c r="P393" s="1773"/>
      <c r="Q393" s="1773"/>
      <c r="R393" s="1773"/>
      <c r="S393" s="1773"/>
      <c r="T393" s="1773"/>
      <c r="U393" s="2508"/>
    </row>
    <row r="394" spans="1:21" hidden="1">
      <c r="A394" s="45"/>
      <c r="B394" s="2505" t="str">
        <f t="shared" si="21"/>
        <v>1.2.3</v>
      </c>
      <c r="C394" s="2506" t="str">
        <f t="shared" si="21"/>
        <v>界床遮音性能（軽量衝撃源）</v>
      </c>
      <c r="D394" s="2506"/>
      <c r="E394" s="1773"/>
      <c r="F394" s="1773"/>
      <c r="G394" s="1773"/>
      <c r="H394" s="1773"/>
      <c r="I394" s="1773"/>
      <c r="J394" s="1773"/>
      <c r="K394" s="1773"/>
      <c r="L394" s="1773"/>
      <c r="M394" s="1773"/>
      <c r="N394" s="1773"/>
      <c r="O394" s="1773"/>
      <c r="P394" s="1773"/>
      <c r="Q394" s="1773"/>
      <c r="R394" s="1773"/>
      <c r="S394" s="1773"/>
      <c r="T394" s="1773"/>
      <c r="U394" s="2508"/>
    </row>
    <row r="395" spans="1:21" hidden="1">
      <c r="A395" s="45"/>
      <c r="B395" s="2505" t="str">
        <f t="shared" si="21"/>
        <v>1.2.4</v>
      </c>
      <c r="C395" s="2506" t="str">
        <f t="shared" si="21"/>
        <v>界床遮音性能（重量衝撃源）</v>
      </c>
      <c r="D395" s="2506"/>
      <c r="E395" s="1773"/>
      <c r="F395" s="1773"/>
      <c r="G395" s="1773"/>
      <c r="H395" s="1773"/>
      <c r="I395" s="1773"/>
      <c r="J395" s="1773"/>
      <c r="K395" s="1773"/>
      <c r="L395" s="1773"/>
      <c r="M395" s="1773"/>
      <c r="N395" s="1773"/>
      <c r="O395" s="1773"/>
      <c r="P395" s="1773"/>
      <c r="Q395" s="1773"/>
      <c r="R395" s="1773"/>
      <c r="S395" s="1773"/>
      <c r="T395" s="1773"/>
      <c r="U395" s="2508"/>
    </row>
    <row r="396" spans="1:21" hidden="1">
      <c r="A396" s="45"/>
      <c r="B396" s="2505">
        <f t="shared" si="21"/>
        <v>1.3</v>
      </c>
      <c r="C396" s="2506" t="str">
        <f t="shared" si="21"/>
        <v>吸音</v>
      </c>
      <c r="D396" s="2506"/>
      <c r="E396" s="1773"/>
      <c r="F396" s="1773"/>
      <c r="G396" s="1773"/>
      <c r="H396" s="1773"/>
      <c r="I396" s="1773"/>
      <c r="J396" s="1773"/>
      <c r="K396" s="1773"/>
      <c r="L396" s="1773"/>
      <c r="M396" s="1773"/>
      <c r="N396" s="1773"/>
      <c r="O396" s="1773"/>
      <c r="P396" s="1773"/>
      <c r="Q396" s="1773"/>
      <c r="R396" s="1773"/>
      <c r="S396" s="1773"/>
      <c r="T396" s="1773"/>
      <c r="U396" s="2508"/>
    </row>
    <row r="397" spans="1:21" hidden="1">
      <c r="A397" s="45"/>
      <c r="B397" s="2505">
        <f t="shared" si="21"/>
        <v>2</v>
      </c>
      <c r="C397" s="2506" t="str">
        <f t="shared" si="21"/>
        <v>温熱環境</v>
      </c>
      <c r="D397" s="2506"/>
      <c r="E397" s="1773"/>
      <c r="F397" s="1773"/>
      <c r="G397" s="1773"/>
      <c r="H397" s="1773"/>
      <c r="I397" s="1773"/>
      <c r="J397" s="1773"/>
      <c r="K397" s="1773"/>
      <c r="L397" s="1773"/>
      <c r="M397" s="1773"/>
      <c r="N397" s="1773"/>
      <c r="O397" s="1773"/>
      <c r="P397" s="1773"/>
      <c r="Q397" s="1773"/>
      <c r="R397" s="1773"/>
      <c r="S397" s="1773"/>
      <c r="T397" s="1773"/>
      <c r="U397" s="2508"/>
    </row>
    <row r="398" spans="1:21" hidden="1">
      <c r="A398" s="45"/>
      <c r="B398" s="2505">
        <f t="shared" si="21"/>
        <v>2.1</v>
      </c>
      <c r="C398" s="2506" t="str">
        <f t="shared" si="21"/>
        <v>室温制御</v>
      </c>
      <c r="D398" s="2506"/>
      <c r="E398" s="1773"/>
      <c r="F398" s="1773"/>
      <c r="G398" s="1773"/>
      <c r="H398" s="1773"/>
      <c r="I398" s="1773"/>
      <c r="J398" s="1773"/>
      <c r="K398" s="1773"/>
      <c r="L398" s="1773"/>
      <c r="M398" s="1773"/>
      <c r="N398" s="1773"/>
      <c r="O398" s="1773"/>
      <c r="P398" s="1773"/>
      <c r="Q398" s="1773"/>
      <c r="R398" s="1773"/>
      <c r="S398" s="1773"/>
      <c r="T398" s="1773"/>
      <c r="U398" s="2508"/>
    </row>
    <row r="399" spans="1:21" hidden="1">
      <c r="A399" s="45"/>
      <c r="B399" s="2505" t="str">
        <f t="shared" si="21"/>
        <v>2.1.1</v>
      </c>
      <c r="C399" s="2506" t="str">
        <f t="shared" si="21"/>
        <v>室温</v>
      </c>
      <c r="D399" s="2506"/>
      <c r="E399" s="1773"/>
      <c r="F399" s="1773"/>
      <c r="G399" s="1773"/>
      <c r="H399" s="1773"/>
      <c r="I399" s="1773"/>
      <c r="J399" s="1773"/>
      <c r="K399" s="1773"/>
      <c r="L399" s="1773"/>
      <c r="M399" s="1773"/>
      <c r="N399" s="1773"/>
      <c r="O399" s="1773"/>
      <c r="P399" s="1773"/>
      <c r="Q399" s="1773"/>
      <c r="R399" s="1773"/>
      <c r="S399" s="1773"/>
      <c r="T399" s="1773"/>
      <c r="U399" s="2508"/>
    </row>
    <row r="400" spans="1:21" hidden="1">
      <c r="A400" s="45"/>
      <c r="B400" s="2505" t="str">
        <f t="shared" si="21"/>
        <v>2.1.2</v>
      </c>
      <c r="C400" s="2506">
        <f t="shared" si="21"/>
        <v>0</v>
      </c>
      <c r="D400" s="2506"/>
      <c r="E400" s="1773"/>
      <c r="F400" s="1773"/>
      <c r="G400" s="1773"/>
      <c r="H400" s="1773"/>
      <c r="I400" s="1773"/>
      <c r="J400" s="1773"/>
      <c r="K400" s="1773"/>
      <c r="L400" s="1773"/>
      <c r="M400" s="1773"/>
      <c r="N400" s="1773"/>
      <c r="O400" s="1773"/>
      <c r="P400" s="1773"/>
      <c r="Q400" s="1773"/>
      <c r="R400" s="1773"/>
      <c r="S400" s="1773"/>
      <c r="T400" s="1773"/>
      <c r="U400" s="2508"/>
    </row>
    <row r="401" spans="1:21">
      <c r="A401" s="45"/>
      <c r="B401" s="2505" t="str">
        <f t="shared" si="21"/>
        <v>2.1.3</v>
      </c>
      <c r="C401" s="2506" t="str">
        <f t="shared" si="21"/>
        <v>外皮性能</v>
      </c>
      <c r="D401" s="2506"/>
      <c r="E401" s="1773"/>
      <c r="F401" s="1773"/>
      <c r="G401" s="1773"/>
      <c r="H401" s="1773"/>
      <c r="I401" s="2525" t="s">
        <v>2905</v>
      </c>
      <c r="J401" s="2526"/>
      <c r="K401" s="2527">
        <f>採点Q1!G195</f>
        <v>0.5</v>
      </c>
      <c r="L401" s="2528"/>
      <c r="M401" s="2528"/>
      <c r="N401" s="2529" t="str">
        <f>採点Q1!I195</f>
        <v>窓の日射熱取得率（η）</v>
      </c>
      <c r="O401" s="2527">
        <f>採点Q1!J195</f>
        <v>0</v>
      </c>
      <c r="P401" s="1773"/>
      <c r="Q401" s="1773"/>
      <c r="R401" s="1773"/>
      <c r="S401" s="1773"/>
      <c r="T401" s="1773"/>
      <c r="U401" s="2508"/>
    </row>
    <row r="402" spans="1:21">
      <c r="A402" s="45"/>
      <c r="B402" s="2505"/>
      <c r="C402" s="2506"/>
      <c r="D402" s="2506"/>
      <c r="E402" s="1773"/>
      <c r="F402" s="1773"/>
      <c r="G402" s="1773"/>
      <c r="H402" s="1773"/>
      <c r="I402" s="2528" t="s">
        <v>3090</v>
      </c>
      <c r="J402" s="2525"/>
      <c r="K402" s="2528"/>
      <c r="L402" s="2529" t="s">
        <v>3089</v>
      </c>
      <c r="M402" s="2527">
        <f>採点Q1!H196</f>
        <v>4</v>
      </c>
      <c r="N402" s="2529" t="s">
        <v>2169</v>
      </c>
      <c r="O402" s="2527">
        <f>採点Q1!J196</f>
        <v>2</v>
      </c>
      <c r="P402" s="2529" t="s">
        <v>3091</v>
      </c>
      <c r="Q402" s="2527">
        <f>採点Q1!L196</f>
        <v>2</v>
      </c>
      <c r="R402" s="2529" t="s">
        <v>3093</v>
      </c>
      <c r="S402" s="2527">
        <f>採点Q1!N196</f>
        <v>2</v>
      </c>
      <c r="T402" s="2514"/>
      <c r="U402" s="2508"/>
    </row>
    <row r="403" spans="1:21">
      <c r="A403" s="45"/>
      <c r="B403" s="2505"/>
      <c r="C403" s="2506"/>
      <c r="D403" s="2506"/>
      <c r="E403" s="1773"/>
      <c r="F403" s="1773"/>
      <c r="G403" s="1773"/>
      <c r="H403" s="1773"/>
      <c r="I403" s="2528" t="s">
        <v>3296</v>
      </c>
      <c r="J403" s="2525"/>
      <c r="K403" s="2529" t="s">
        <v>3295</v>
      </c>
      <c r="L403" s="2527">
        <f>採点Q1!H197</f>
        <v>0</v>
      </c>
      <c r="M403" s="2528"/>
      <c r="N403" s="2529" t="s">
        <v>3289</v>
      </c>
      <c r="O403" s="2527">
        <f>採点Q1!J197</f>
        <v>0</v>
      </c>
      <c r="P403" s="2529" t="s">
        <v>3290</v>
      </c>
      <c r="Q403" s="2527">
        <f>採点Q1!L197</f>
        <v>0</v>
      </c>
      <c r="R403" s="2529" t="s">
        <v>3292</v>
      </c>
      <c r="S403" s="2527">
        <f>採点Q1!N197</f>
        <v>0</v>
      </c>
      <c r="T403" s="2514"/>
      <c r="U403" s="2508"/>
    </row>
    <row r="404" spans="1:21" hidden="1">
      <c r="A404" s="45"/>
      <c r="B404" s="2505" t="str">
        <f t="shared" ref="B404:C423" si="22">B216</f>
        <v>2.1.6</v>
      </c>
      <c r="C404" s="2506">
        <f t="shared" si="22"/>
        <v>0</v>
      </c>
      <c r="D404" s="2506"/>
      <c r="E404" s="1773"/>
      <c r="F404" s="1773"/>
      <c r="G404" s="1773"/>
      <c r="H404" s="1773"/>
      <c r="I404" s="1773"/>
      <c r="J404" s="1773"/>
      <c r="K404" s="1773"/>
      <c r="L404" s="1773"/>
      <c r="M404" s="1773"/>
      <c r="N404" s="1773"/>
      <c r="O404" s="1773"/>
      <c r="P404" s="1773"/>
      <c r="Q404" s="1773"/>
      <c r="R404" s="1773"/>
      <c r="S404" s="2514"/>
      <c r="T404" s="2514"/>
      <c r="U404" s="2508"/>
    </row>
    <row r="405" spans="1:21" hidden="1">
      <c r="A405" s="45"/>
      <c r="B405" s="2505" t="str">
        <f t="shared" si="22"/>
        <v>2.1.7</v>
      </c>
      <c r="C405" s="2506">
        <f t="shared" si="22"/>
        <v>0</v>
      </c>
      <c r="D405" s="2506"/>
      <c r="E405" s="1773"/>
      <c r="F405" s="1773"/>
      <c r="G405" s="1773"/>
      <c r="H405" s="1773"/>
      <c r="I405" s="2514"/>
      <c r="J405" s="2514"/>
      <c r="K405" s="2514"/>
      <c r="L405" s="2514"/>
      <c r="M405" s="2514"/>
      <c r="N405" s="2514"/>
      <c r="O405" s="2514"/>
      <c r="P405" s="2514"/>
      <c r="Q405" s="2514"/>
      <c r="R405" s="2514"/>
      <c r="S405" s="2514"/>
      <c r="T405" s="2514"/>
      <c r="U405" s="2508"/>
    </row>
    <row r="406" spans="1:21" hidden="1">
      <c r="A406" s="45"/>
      <c r="B406" s="2505" t="str">
        <f t="shared" si="22"/>
        <v>2.1.8</v>
      </c>
      <c r="C406" s="2506">
        <f t="shared" si="22"/>
        <v>0</v>
      </c>
      <c r="D406" s="2506"/>
      <c r="E406" s="1773"/>
      <c r="F406" s="1773"/>
      <c r="G406" s="1773"/>
      <c r="H406" s="1773"/>
      <c r="I406" s="2514"/>
      <c r="J406" s="2514"/>
      <c r="K406" s="2514"/>
      <c r="L406" s="2514"/>
      <c r="M406" s="2514"/>
      <c r="N406" s="2514"/>
      <c r="O406" s="2514"/>
      <c r="P406" s="2514"/>
      <c r="Q406" s="2514"/>
      <c r="R406" s="2514"/>
      <c r="S406" s="2514"/>
      <c r="T406" s="2514"/>
      <c r="U406" s="2508"/>
    </row>
    <row r="407" spans="1:21" hidden="1">
      <c r="A407" s="45"/>
      <c r="B407" s="2505">
        <f t="shared" si="22"/>
        <v>2.2000000000000002</v>
      </c>
      <c r="C407" s="2506" t="str">
        <f t="shared" si="22"/>
        <v>湿度制御</v>
      </c>
      <c r="D407" s="2506"/>
      <c r="E407" s="1773"/>
      <c r="F407" s="1773"/>
      <c r="G407" s="1773"/>
      <c r="H407" s="1773"/>
      <c r="I407" s="2514"/>
      <c r="J407" s="2514"/>
      <c r="K407" s="2514"/>
      <c r="L407" s="2514"/>
      <c r="M407" s="2514"/>
      <c r="N407" s="2514"/>
      <c r="O407" s="2514"/>
      <c r="P407" s="2514"/>
      <c r="Q407" s="2514"/>
      <c r="R407" s="2514"/>
      <c r="S407" s="2514"/>
      <c r="T407" s="2514"/>
      <c r="U407" s="2508"/>
    </row>
    <row r="408" spans="1:21" hidden="1">
      <c r="A408" s="45"/>
      <c r="B408" s="2505">
        <f t="shared" si="22"/>
        <v>2.2999999999999998</v>
      </c>
      <c r="C408" s="2506" t="str">
        <f t="shared" si="22"/>
        <v>空調方式（新築）</v>
      </c>
      <c r="D408" s="2506"/>
      <c r="E408" s="1773"/>
      <c r="F408" s="1773"/>
      <c r="G408" s="1773"/>
      <c r="H408" s="1773"/>
      <c r="I408" s="2514"/>
      <c r="J408" s="2514"/>
      <c r="K408" s="2514"/>
      <c r="L408" s="2514"/>
      <c r="M408" s="2514"/>
      <c r="N408" s="2514"/>
      <c r="O408" s="2514"/>
      <c r="P408" s="2514"/>
      <c r="Q408" s="2514"/>
      <c r="R408" s="2514"/>
      <c r="S408" s="2514"/>
      <c r="T408" s="2514"/>
      <c r="U408" s="2508"/>
    </row>
    <row r="409" spans="1:21" hidden="1">
      <c r="A409" s="45"/>
      <c r="B409" s="2505">
        <f t="shared" si="22"/>
        <v>2.2999999999999998</v>
      </c>
      <c r="C409" s="2506">
        <f t="shared" si="22"/>
        <v>0</v>
      </c>
      <c r="D409" s="2506"/>
      <c r="E409" s="1773"/>
      <c r="F409" s="1773"/>
      <c r="G409" s="1773"/>
      <c r="H409" s="1773"/>
      <c r="I409" s="2514"/>
      <c r="J409" s="2514"/>
      <c r="K409" s="2514"/>
      <c r="L409" s="2514"/>
      <c r="M409" s="2514"/>
      <c r="N409" s="2514"/>
      <c r="O409" s="2514"/>
      <c r="P409" s="2514"/>
      <c r="Q409" s="2514"/>
      <c r="R409" s="2514"/>
      <c r="S409" s="2514"/>
      <c r="T409" s="2514"/>
      <c r="U409" s="2508"/>
    </row>
    <row r="410" spans="1:21" hidden="1">
      <c r="A410" s="45"/>
      <c r="B410" s="2505" t="str">
        <f t="shared" si="22"/>
        <v>2.3.1</v>
      </c>
      <c r="C410" s="2506">
        <f t="shared" si="22"/>
        <v>0</v>
      </c>
      <c r="D410" s="2506"/>
      <c r="E410" s="1773"/>
      <c r="F410" s="1773"/>
      <c r="G410" s="1773"/>
      <c r="H410" s="1773"/>
      <c r="I410" s="2514"/>
      <c r="J410" s="2514"/>
      <c r="K410" s="2514"/>
      <c r="L410" s="2514"/>
      <c r="M410" s="2514"/>
      <c r="N410" s="2514"/>
      <c r="O410" s="2514"/>
      <c r="P410" s="2514"/>
      <c r="Q410" s="2514"/>
      <c r="R410" s="2514"/>
      <c r="S410" s="2514"/>
      <c r="T410" s="2514"/>
      <c r="U410" s="2508"/>
    </row>
    <row r="411" spans="1:21" hidden="1">
      <c r="A411" s="45"/>
      <c r="B411" s="2505" t="str">
        <f t="shared" si="22"/>
        <v>2.3.2</v>
      </c>
      <c r="C411" s="2506">
        <f t="shared" si="22"/>
        <v>0</v>
      </c>
      <c r="D411" s="2506"/>
      <c r="E411" s="1773"/>
      <c r="F411" s="1773"/>
      <c r="G411" s="1773"/>
      <c r="H411" s="1773"/>
      <c r="I411" s="2514"/>
      <c r="J411" s="2514"/>
      <c r="K411" s="2514"/>
      <c r="L411" s="2514"/>
      <c r="M411" s="2514"/>
      <c r="N411" s="2514"/>
      <c r="O411" s="2514"/>
      <c r="P411" s="2514"/>
      <c r="Q411" s="2514"/>
      <c r="R411" s="2514"/>
      <c r="S411" s="2514"/>
      <c r="T411" s="2514"/>
      <c r="U411" s="2508"/>
    </row>
    <row r="412" spans="1:21" hidden="1">
      <c r="A412" s="45"/>
      <c r="B412" s="2505">
        <f t="shared" si="22"/>
        <v>3</v>
      </c>
      <c r="C412" s="2506" t="str">
        <f t="shared" si="22"/>
        <v>光・視環境</v>
      </c>
      <c r="D412" s="2506"/>
      <c r="E412" s="1773"/>
      <c r="F412" s="1773"/>
      <c r="G412" s="1773"/>
      <c r="H412" s="1773"/>
      <c r="I412" s="2514"/>
      <c r="J412" s="2514"/>
      <c r="K412" s="2514"/>
      <c r="L412" s="2514"/>
      <c r="M412" s="2514"/>
      <c r="N412" s="2514"/>
      <c r="O412" s="2514"/>
      <c r="P412" s="2514"/>
      <c r="Q412" s="2514"/>
      <c r="R412" s="2514"/>
      <c r="S412" s="2514"/>
      <c r="T412" s="2514"/>
      <c r="U412" s="2508"/>
    </row>
    <row r="413" spans="1:21" hidden="1">
      <c r="A413" s="45"/>
      <c r="B413" s="2505">
        <f t="shared" si="22"/>
        <v>3.1</v>
      </c>
      <c r="C413" s="2506" t="str">
        <f t="shared" si="22"/>
        <v>昼光利用</v>
      </c>
      <c r="D413" s="2506"/>
      <c r="E413" s="1773"/>
      <c r="F413" s="1773"/>
      <c r="G413" s="1773"/>
      <c r="H413" s="1773"/>
      <c r="I413" s="2514"/>
      <c r="J413" s="2514"/>
      <c r="K413" s="2514"/>
      <c r="L413" s="2514"/>
      <c r="M413" s="2514"/>
      <c r="N413" s="2514"/>
      <c r="O413" s="2514"/>
      <c r="P413" s="2514"/>
      <c r="Q413" s="2514"/>
      <c r="R413" s="2514"/>
      <c r="S413" s="2514"/>
      <c r="T413" s="2514"/>
      <c r="U413" s="2508"/>
    </row>
    <row r="414" spans="1:21">
      <c r="A414" s="45"/>
      <c r="B414" s="2505" t="str">
        <f t="shared" si="22"/>
        <v>3.1.1</v>
      </c>
      <c r="C414" s="2506" t="str">
        <f t="shared" si="22"/>
        <v>昼光率</v>
      </c>
      <c r="D414" s="2506"/>
      <c r="E414" s="1773"/>
      <c r="F414" s="1773"/>
      <c r="G414" s="1773"/>
      <c r="H414" s="1773"/>
      <c r="I414" s="2530" t="s">
        <v>2906</v>
      </c>
      <c r="J414" s="2531" t="str">
        <f>採点Q1!G293</f>
        <v>記入例；1.5%</v>
      </c>
      <c r="K414" s="2525"/>
      <c r="L414" s="2514"/>
      <c r="M414" s="2514"/>
      <c r="N414" s="2514"/>
      <c r="O414" s="2514"/>
      <c r="P414" s="2514"/>
      <c r="Q414" s="2514"/>
      <c r="R414" s="2514"/>
      <c r="S414" s="2514"/>
      <c r="T414" s="2514"/>
      <c r="U414" s="2508"/>
    </row>
    <row r="415" spans="1:21" hidden="1">
      <c r="A415" s="45"/>
      <c r="B415" s="2505" t="str">
        <f t="shared" si="22"/>
        <v>3.1.2</v>
      </c>
      <c r="C415" s="2506" t="str">
        <f t="shared" si="22"/>
        <v>方位別開口</v>
      </c>
      <c r="D415" s="2506"/>
      <c r="E415" s="1773"/>
      <c r="F415" s="1773"/>
      <c r="G415" s="1773"/>
      <c r="H415" s="1773"/>
      <c r="I415" s="2514"/>
      <c r="J415" s="2514"/>
      <c r="K415" s="2514"/>
      <c r="L415" s="2514"/>
      <c r="M415" s="2514"/>
      <c r="N415" s="2514"/>
      <c r="O415" s="2514"/>
      <c r="P415" s="2514"/>
      <c r="Q415" s="2514"/>
      <c r="R415" s="2514"/>
      <c r="S415" s="2514"/>
      <c r="T415" s="2514"/>
      <c r="U415" s="2508"/>
    </row>
    <row r="416" spans="1:21" hidden="1">
      <c r="A416" s="45"/>
      <c r="B416" s="2505" t="str">
        <f t="shared" si="22"/>
        <v>3.1.3</v>
      </c>
      <c r="C416" s="2506" t="str">
        <f t="shared" si="22"/>
        <v>昼光利用設備</v>
      </c>
      <c r="D416" s="2506"/>
      <c r="E416" s="1773"/>
      <c r="F416" s="1773"/>
      <c r="G416" s="1773"/>
      <c r="H416" s="1773"/>
      <c r="I416" s="2514"/>
      <c r="J416" s="2514"/>
      <c r="K416" s="2514"/>
      <c r="L416" s="2514"/>
      <c r="M416" s="2514"/>
      <c r="N416" s="2514"/>
      <c r="O416" s="2514"/>
      <c r="P416" s="2514"/>
      <c r="Q416" s="2514"/>
      <c r="R416" s="2514"/>
      <c r="S416" s="2514"/>
      <c r="T416" s="2514"/>
      <c r="U416" s="2508"/>
    </row>
    <row r="417" spans="1:21" hidden="1">
      <c r="A417" s="45"/>
      <c r="B417" s="2505">
        <f t="shared" si="22"/>
        <v>3.2</v>
      </c>
      <c r="C417" s="2506" t="str">
        <f t="shared" si="22"/>
        <v>グレア対策</v>
      </c>
      <c r="D417" s="2506"/>
      <c r="E417" s="1773"/>
      <c r="F417" s="1773"/>
      <c r="G417" s="1773"/>
      <c r="H417" s="1773"/>
      <c r="I417" s="2514"/>
      <c r="J417" s="2514"/>
      <c r="K417" s="2514"/>
      <c r="L417" s="2514"/>
      <c r="M417" s="2514"/>
      <c r="N417" s="2514"/>
      <c r="O417" s="2514"/>
      <c r="P417" s="2514"/>
      <c r="Q417" s="2514"/>
      <c r="R417" s="2514"/>
      <c r="S417" s="2514"/>
      <c r="T417" s="2514"/>
      <c r="U417" s="2508"/>
    </row>
    <row r="418" spans="1:21" hidden="1">
      <c r="A418" s="45"/>
      <c r="B418" s="2505" t="str">
        <f t="shared" si="22"/>
        <v>3.2.1</v>
      </c>
      <c r="C418" s="2506">
        <f t="shared" si="22"/>
        <v>0</v>
      </c>
      <c r="D418" s="2506"/>
      <c r="E418" s="1773"/>
      <c r="F418" s="1773"/>
      <c r="G418" s="1773"/>
      <c r="H418" s="1773"/>
      <c r="I418" s="2514"/>
      <c r="J418" s="2514"/>
      <c r="K418" s="2514"/>
      <c r="L418" s="2514"/>
      <c r="M418" s="2514"/>
      <c r="N418" s="2514"/>
      <c r="O418" s="2514"/>
      <c r="P418" s="2514"/>
      <c r="Q418" s="2514"/>
      <c r="R418" s="2514"/>
      <c r="S418" s="2514"/>
      <c r="T418" s="2514"/>
      <c r="U418" s="2508"/>
    </row>
    <row r="419" spans="1:21" hidden="1">
      <c r="A419" s="45"/>
      <c r="B419" s="2505" t="str">
        <f t="shared" si="22"/>
        <v>3.2.2</v>
      </c>
      <c r="C419" s="2506" t="str">
        <f t="shared" si="22"/>
        <v>昼光制御</v>
      </c>
      <c r="D419" s="2506"/>
      <c r="E419" s="1773"/>
      <c r="F419" s="1773"/>
      <c r="G419" s="1773"/>
      <c r="H419" s="1773"/>
      <c r="I419" s="2514"/>
      <c r="J419" s="2514"/>
      <c r="K419" s="2514"/>
      <c r="L419" s="2514"/>
      <c r="M419" s="2514"/>
      <c r="N419" s="2514"/>
      <c r="O419" s="2514"/>
      <c r="P419" s="2514"/>
      <c r="Q419" s="2514"/>
      <c r="R419" s="2514"/>
      <c r="S419" s="2514"/>
      <c r="T419" s="2514"/>
      <c r="U419" s="2508"/>
    </row>
    <row r="420" spans="1:21" hidden="1">
      <c r="A420" s="45"/>
      <c r="B420" s="2505" t="str">
        <f t="shared" si="22"/>
        <v>3.2.3</v>
      </c>
      <c r="C420" s="2506">
        <f t="shared" si="22"/>
        <v>0</v>
      </c>
      <c r="D420" s="2506"/>
      <c r="E420" s="1773"/>
      <c r="F420" s="1773"/>
      <c r="G420" s="1773"/>
      <c r="H420" s="1773"/>
      <c r="I420" s="2514"/>
      <c r="J420" s="2514"/>
      <c r="K420" s="2514"/>
      <c r="L420" s="2514"/>
      <c r="M420" s="2514"/>
      <c r="N420" s="2514"/>
      <c r="O420" s="2514"/>
      <c r="P420" s="2514"/>
      <c r="Q420" s="2514"/>
      <c r="R420" s="2514"/>
      <c r="S420" s="2514"/>
      <c r="T420" s="2514"/>
      <c r="U420" s="2508"/>
    </row>
    <row r="421" spans="1:21" hidden="1">
      <c r="A421" s="45"/>
      <c r="B421" s="2505">
        <f t="shared" si="22"/>
        <v>3.3</v>
      </c>
      <c r="C421" s="2506" t="str">
        <f t="shared" si="22"/>
        <v>照度</v>
      </c>
      <c r="D421" s="2506"/>
      <c r="E421" s="1773"/>
      <c r="F421" s="1773"/>
      <c r="G421" s="1773"/>
      <c r="H421" s="1773"/>
      <c r="I421" s="2514"/>
      <c r="J421" s="2514"/>
      <c r="K421" s="2514"/>
      <c r="L421" s="2514"/>
      <c r="M421" s="2514"/>
      <c r="N421" s="2514"/>
      <c r="O421" s="2514"/>
      <c r="P421" s="2514"/>
      <c r="Q421" s="2514"/>
      <c r="R421" s="2514"/>
      <c r="S421" s="2514"/>
      <c r="T421" s="2514"/>
      <c r="U421" s="2508"/>
    </row>
    <row r="422" spans="1:21" hidden="1">
      <c r="A422" s="45"/>
      <c r="B422" s="2505" t="str">
        <f t="shared" si="22"/>
        <v>3.3.1</v>
      </c>
      <c r="C422" s="2506" t="str">
        <f t="shared" si="22"/>
        <v>照度</v>
      </c>
      <c r="D422" s="2506"/>
      <c r="E422" s="1773"/>
      <c r="F422" s="1773"/>
      <c r="G422" s="1773"/>
      <c r="H422" s="1773"/>
      <c r="I422" s="2514"/>
      <c r="J422" s="2514"/>
      <c r="K422" s="2514"/>
      <c r="L422" s="2514"/>
      <c r="M422" s="2514"/>
      <c r="N422" s="2514"/>
      <c r="O422" s="2514"/>
      <c r="P422" s="2514"/>
      <c r="Q422" s="2514"/>
      <c r="R422" s="2514"/>
      <c r="S422" s="2514"/>
      <c r="T422" s="2514"/>
      <c r="U422" s="2508"/>
    </row>
    <row r="423" spans="1:21" hidden="1">
      <c r="A423" s="45"/>
      <c r="B423" s="2505" t="str">
        <f t="shared" si="22"/>
        <v>3.3.2</v>
      </c>
      <c r="C423" s="2506" t="str">
        <f t="shared" si="22"/>
        <v>照度均斉度</v>
      </c>
      <c r="D423" s="2506"/>
      <c r="E423" s="1773"/>
      <c r="F423" s="1773"/>
      <c r="G423" s="1773"/>
      <c r="H423" s="1773"/>
      <c r="I423" s="2514"/>
      <c r="J423" s="2514"/>
      <c r="K423" s="2514"/>
      <c r="L423" s="2514"/>
      <c r="M423" s="2514"/>
      <c r="N423" s="2514"/>
      <c r="O423" s="2514"/>
      <c r="P423" s="2514"/>
      <c r="Q423" s="2514"/>
      <c r="R423" s="2514"/>
      <c r="S423" s="2514"/>
      <c r="T423" s="2514"/>
      <c r="U423" s="2508"/>
    </row>
    <row r="424" spans="1:21" hidden="1">
      <c r="A424" s="45"/>
      <c r="B424" s="2505">
        <f t="shared" ref="B424:C443" si="23">B236</f>
        <v>3.4</v>
      </c>
      <c r="C424" s="2506" t="str">
        <f t="shared" si="23"/>
        <v>照明制御</v>
      </c>
      <c r="D424" s="2506"/>
      <c r="E424" s="1773"/>
      <c r="F424" s="1773"/>
      <c r="G424" s="1773"/>
      <c r="H424" s="1773"/>
      <c r="I424" s="2514"/>
      <c r="J424" s="2514"/>
      <c r="K424" s="2514"/>
      <c r="L424" s="2514"/>
      <c r="M424" s="2514"/>
      <c r="N424" s="2514"/>
      <c r="O424" s="2514"/>
      <c r="P424" s="2514"/>
      <c r="Q424" s="2514"/>
      <c r="R424" s="2514"/>
      <c r="S424" s="2514"/>
      <c r="T424" s="2514"/>
      <c r="U424" s="2508"/>
    </row>
    <row r="425" spans="1:21" hidden="1">
      <c r="A425" s="45"/>
      <c r="B425" s="2505">
        <f t="shared" si="23"/>
        <v>4</v>
      </c>
      <c r="C425" s="2506" t="str">
        <f t="shared" si="23"/>
        <v>空気質環境</v>
      </c>
      <c r="D425" s="2506"/>
      <c r="E425" s="1773"/>
      <c r="F425" s="1773"/>
      <c r="G425" s="1773"/>
      <c r="H425" s="1773"/>
      <c r="I425" s="2514"/>
      <c r="J425" s="2514"/>
      <c r="K425" s="2514"/>
      <c r="L425" s="2514"/>
      <c r="M425" s="2514"/>
      <c r="N425" s="2514"/>
      <c r="O425" s="2514"/>
      <c r="P425" s="2514"/>
      <c r="Q425" s="2514"/>
      <c r="R425" s="2514"/>
      <c r="S425" s="2514"/>
      <c r="T425" s="2514"/>
      <c r="U425" s="2508"/>
    </row>
    <row r="426" spans="1:21" hidden="1">
      <c r="A426" s="45"/>
      <c r="B426" s="2505">
        <f t="shared" si="23"/>
        <v>4.0999999999999996</v>
      </c>
      <c r="C426" s="2506" t="str">
        <f t="shared" si="23"/>
        <v>発生源対策</v>
      </c>
      <c r="D426" s="2506"/>
      <c r="E426" s="1773"/>
      <c r="F426" s="1773"/>
      <c r="G426" s="1773"/>
      <c r="H426" s="1773"/>
      <c r="I426" s="2514"/>
      <c r="J426" s="2514"/>
      <c r="K426" s="2514"/>
      <c r="L426" s="2514"/>
      <c r="M426" s="2514"/>
      <c r="N426" s="2514"/>
      <c r="O426" s="2514"/>
      <c r="P426" s="2514"/>
      <c r="Q426" s="2514"/>
      <c r="R426" s="2514"/>
      <c r="S426" s="2514"/>
      <c r="T426" s="2514"/>
      <c r="U426" s="2508"/>
    </row>
    <row r="427" spans="1:21" hidden="1">
      <c r="A427" s="45"/>
      <c r="B427" s="2505" t="str">
        <f t="shared" si="23"/>
        <v>4.1.1</v>
      </c>
      <c r="C427" s="2506" t="str">
        <f t="shared" si="23"/>
        <v xml:space="preserve"> 化学汚染物質</v>
      </c>
      <c r="D427" s="2506"/>
      <c r="E427" s="1773"/>
      <c r="F427" s="1773"/>
      <c r="G427" s="1773"/>
      <c r="H427" s="1773"/>
      <c r="I427" s="2514"/>
      <c r="J427" s="2514"/>
      <c r="K427" s="2514"/>
      <c r="L427" s="2514"/>
      <c r="M427" s="2514"/>
      <c r="N427" s="2514"/>
      <c r="O427" s="2514"/>
      <c r="P427" s="2514"/>
      <c r="Q427" s="2514"/>
      <c r="R427" s="2514"/>
      <c r="S427" s="2514"/>
      <c r="T427" s="2514"/>
      <c r="U427" s="2508"/>
    </row>
    <row r="428" spans="1:21" hidden="1">
      <c r="A428" s="45"/>
      <c r="B428" s="2505" t="str">
        <f t="shared" si="23"/>
        <v>4.1.2</v>
      </c>
      <c r="C428" s="2506">
        <f t="shared" si="23"/>
        <v>0</v>
      </c>
      <c r="D428" s="2506"/>
      <c r="E428" s="1773"/>
      <c r="F428" s="1773"/>
      <c r="G428" s="1773"/>
      <c r="H428" s="1773"/>
      <c r="I428" s="2514"/>
      <c r="J428" s="2514"/>
      <c r="K428" s="2514"/>
      <c r="L428" s="2514"/>
      <c r="M428" s="2514"/>
      <c r="N428" s="2514"/>
      <c r="O428" s="2514"/>
      <c r="P428" s="2514"/>
      <c r="Q428" s="2514"/>
      <c r="R428" s="2514"/>
      <c r="S428" s="2514"/>
      <c r="T428" s="2514"/>
      <c r="U428" s="2508"/>
    </row>
    <row r="429" spans="1:21" hidden="1">
      <c r="A429" s="45"/>
      <c r="B429" s="2505" t="str">
        <f t="shared" si="23"/>
        <v>4.1.3</v>
      </c>
      <c r="C429" s="2506">
        <f t="shared" si="23"/>
        <v>0</v>
      </c>
      <c r="D429" s="2506"/>
      <c r="E429" s="1773"/>
      <c r="F429" s="1773"/>
      <c r="G429" s="1773"/>
      <c r="H429" s="1773"/>
      <c r="I429" s="2514"/>
      <c r="J429" s="2514"/>
      <c r="K429" s="2514"/>
      <c r="L429" s="2514"/>
      <c r="M429" s="2514"/>
      <c r="N429" s="2514"/>
      <c r="O429" s="2514"/>
      <c r="P429" s="2514"/>
      <c r="Q429" s="2514"/>
      <c r="R429" s="2514"/>
      <c r="S429" s="2514"/>
      <c r="T429" s="2514"/>
      <c r="U429" s="2508"/>
    </row>
    <row r="430" spans="1:21" hidden="1">
      <c r="A430" s="45"/>
      <c r="B430" s="2505" t="str">
        <f t="shared" si="23"/>
        <v>4.1.4</v>
      </c>
      <c r="C430" s="2506">
        <f t="shared" si="23"/>
        <v>0</v>
      </c>
      <c r="D430" s="2506"/>
      <c r="E430" s="1773"/>
      <c r="F430" s="1773"/>
      <c r="G430" s="1773"/>
      <c r="H430" s="1773"/>
      <c r="I430" s="2514"/>
      <c r="J430" s="2514"/>
      <c r="K430" s="2514"/>
      <c r="L430" s="2514"/>
      <c r="M430" s="2514"/>
      <c r="N430" s="2514"/>
      <c r="O430" s="2514"/>
      <c r="P430" s="2514"/>
      <c r="Q430" s="2514"/>
      <c r="R430" s="2514"/>
      <c r="S430" s="2514"/>
      <c r="T430" s="2514"/>
      <c r="U430" s="2508"/>
    </row>
    <row r="431" spans="1:21" hidden="1">
      <c r="A431" s="45"/>
      <c r="B431" s="2505">
        <f t="shared" si="23"/>
        <v>4.2</v>
      </c>
      <c r="C431" s="2506" t="str">
        <f t="shared" si="23"/>
        <v>換気</v>
      </c>
      <c r="D431" s="2506"/>
      <c r="E431" s="1773"/>
      <c r="F431" s="1773"/>
      <c r="G431" s="1773"/>
      <c r="H431" s="1773"/>
      <c r="I431" s="2514"/>
      <c r="J431" s="2514"/>
      <c r="K431" s="2514"/>
      <c r="L431" s="2514"/>
      <c r="M431" s="2514"/>
      <c r="N431" s="2514"/>
      <c r="O431" s="2514"/>
      <c r="P431" s="2514"/>
      <c r="Q431" s="2514"/>
      <c r="R431" s="2514"/>
      <c r="S431" s="2514"/>
      <c r="T431" s="2514"/>
      <c r="U431" s="2508"/>
    </row>
    <row r="432" spans="1:21" hidden="1">
      <c r="A432" s="45"/>
      <c r="B432" s="2505" t="str">
        <f t="shared" si="23"/>
        <v>4.2.1</v>
      </c>
      <c r="C432" s="2506" t="str">
        <f t="shared" si="23"/>
        <v>換気量</v>
      </c>
      <c r="D432" s="2506"/>
      <c r="E432" s="1773"/>
      <c r="F432" s="1773"/>
      <c r="G432" s="1773"/>
      <c r="H432" s="1773"/>
      <c r="I432" s="2514"/>
      <c r="J432" s="2514"/>
      <c r="K432" s="2514"/>
      <c r="L432" s="2514"/>
      <c r="M432" s="2514"/>
      <c r="N432" s="2514"/>
      <c r="O432" s="2514"/>
      <c r="P432" s="2514"/>
      <c r="Q432" s="2514"/>
      <c r="R432" s="2514"/>
      <c r="S432" s="2514"/>
      <c r="T432" s="2514"/>
      <c r="U432" s="2508"/>
    </row>
    <row r="433" spans="1:21">
      <c r="A433" s="45"/>
      <c r="B433" s="2505" t="str">
        <f t="shared" si="23"/>
        <v>4.2.2</v>
      </c>
      <c r="C433" s="2506" t="str">
        <f t="shared" si="23"/>
        <v>自然換気性能</v>
      </c>
      <c r="D433" s="2506"/>
      <c r="E433" s="1773"/>
      <c r="F433" s="1773"/>
      <c r="G433" s="1773"/>
      <c r="H433" s="1773"/>
      <c r="I433" s="2525" t="s">
        <v>2907</v>
      </c>
      <c r="J433" s="2525"/>
      <c r="K433" s="2525"/>
      <c r="L433" s="2532">
        <f>採点Q1!H446</f>
        <v>3.3333333333333333E-2</v>
      </c>
      <c r="M433" s="2514"/>
      <c r="N433" s="2514"/>
      <c r="O433" s="2514"/>
      <c r="P433" s="2514"/>
      <c r="Q433" s="2514"/>
      <c r="R433" s="2514"/>
      <c r="S433" s="2514"/>
      <c r="T433" s="2514"/>
      <c r="U433" s="2508"/>
    </row>
    <row r="434" spans="1:21" hidden="1">
      <c r="A434" s="45"/>
      <c r="B434" s="2505" t="str">
        <f t="shared" si="23"/>
        <v>4.2.3</v>
      </c>
      <c r="C434" s="2506" t="str">
        <f t="shared" si="23"/>
        <v>取り入れ外気への配慮</v>
      </c>
      <c r="D434" s="2506"/>
      <c r="E434" s="1773"/>
      <c r="F434" s="1773"/>
      <c r="G434" s="1773"/>
      <c r="H434" s="1773"/>
      <c r="I434" s="2514"/>
      <c r="J434" s="2514"/>
      <c r="K434" s="2514"/>
      <c r="L434" s="2514"/>
      <c r="M434" s="2514"/>
      <c r="N434" s="2514"/>
      <c r="O434" s="2514"/>
      <c r="P434" s="2514"/>
      <c r="Q434" s="2514"/>
      <c r="R434" s="2514"/>
      <c r="S434" s="2514"/>
      <c r="T434" s="2514"/>
      <c r="U434" s="2508"/>
    </row>
    <row r="435" spans="1:21" hidden="1">
      <c r="A435" s="45"/>
      <c r="B435" s="2505" t="str">
        <f t="shared" si="23"/>
        <v>4.2.4</v>
      </c>
      <c r="C435" s="2506">
        <f t="shared" si="23"/>
        <v>0</v>
      </c>
      <c r="D435" s="2506"/>
      <c r="E435" s="1773"/>
      <c r="F435" s="1773"/>
      <c r="G435" s="1773"/>
      <c r="H435" s="1773"/>
      <c r="I435" s="2514"/>
      <c r="J435" s="2514"/>
      <c r="K435" s="2514"/>
      <c r="L435" s="2514"/>
      <c r="M435" s="2514"/>
      <c r="N435" s="2514"/>
      <c r="O435" s="2514"/>
      <c r="P435" s="2514"/>
      <c r="Q435" s="2514"/>
      <c r="R435" s="2514"/>
      <c r="S435" s="2514"/>
      <c r="T435" s="2514"/>
      <c r="U435" s="2508"/>
    </row>
    <row r="436" spans="1:21" hidden="1">
      <c r="A436" s="45"/>
      <c r="B436" s="2505">
        <f t="shared" si="23"/>
        <v>4.3</v>
      </c>
      <c r="C436" s="2506" t="str">
        <f t="shared" si="23"/>
        <v>運用管理</v>
      </c>
      <c r="D436" s="2506"/>
      <c r="E436" s="1773"/>
      <c r="F436" s="1773"/>
      <c r="G436" s="1773"/>
      <c r="H436" s="1773"/>
      <c r="I436" s="2514"/>
      <c r="J436" s="2514"/>
      <c r="K436" s="2514"/>
      <c r="L436" s="2514"/>
      <c r="M436" s="2514"/>
      <c r="N436" s="2514"/>
      <c r="O436" s="2514"/>
      <c r="P436" s="2514"/>
      <c r="Q436" s="2514"/>
      <c r="R436" s="2514"/>
      <c r="S436" s="2514"/>
      <c r="T436" s="2514"/>
      <c r="U436" s="2508"/>
    </row>
    <row r="437" spans="1:21" hidden="1">
      <c r="A437" s="45"/>
      <c r="B437" s="2505" t="str">
        <f t="shared" si="23"/>
        <v>4.3.1</v>
      </c>
      <c r="C437" s="2506" t="str">
        <f t="shared" si="23"/>
        <v>CO2の監視</v>
      </c>
      <c r="D437" s="2506"/>
      <c r="E437" s="1773"/>
      <c r="F437" s="1773"/>
      <c r="G437" s="1773"/>
      <c r="H437" s="1773"/>
      <c r="I437" s="2514"/>
      <c r="J437" s="2514"/>
      <c r="K437" s="2514"/>
      <c r="L437" s="2514"/>
      <c r="M437" s="2514"/>
      <c r="N437" s="2514"/>
      <c r="O437" s="2514"/>
      <c r="P437" s="2514"/>
      <c r="Q437" s="2514"/>
      <c r="R437" s="2514"/>
      <c r="S437" s="2514"/>
      <c r="T437" s="2514"/>
      <c r="U437" s="2508"/>
    </row>
    <row r="438" spans="1:21" hidden="1">
      <c r="A438" s="45"/>
      <c r="B438" s="2505" t="str">
        <f t="shared" si="23"/>
        <v>4.3.2</v>
      </c>
      <c r="C438" s="2506" t="str">
        <f t="shared" si="23"/>
        <v>喫煙の制御</v>
      </c>
      <c r="D438" s="2506"/>
      <c r="E438" s="1773"/>
      <c r="F438" s="1773"/>
      <c r="G438" s="1773"/>
      <c r="H438" s="1773"/>
      <c r="I438" s="2514"/>
      <c r="J438" s="2514"/>
      <c r="K438" s="2514"/>
      <c r="L438" s="2514"/>
      <c r="M438" s="2514"/>
      <c r="N438" s="2514"/>
      <c r="O438" s="2514"/>
      <c r="P438" s="2514"/>
      <c r="Q438" s="2514"/>
      <c r="R438" s="2514"/>
      <c r="S438" s="2514"/>
      <c r="T438" s="2514"/>
      <c r="U438" s="2508"/>
    </row>
    <row r="439" spans="1:21">
      <c r="A439" s="45"/>
      <c r="B439" s="2523" t="str">
        <f t="shared" si="23"/>
        <v>Q2</v>
      </c>
      <c r="C439" s="2524" t="str">
        <f t="shared" si="23"/>
        <v>サービス性能</v>
      </c>
      <c r="D439" s="2506"/>
      <c r="E439" s="1773"/>
      <c r="F439" s="1773"/>
      <c r="G439" s="1773"/>
      <c r="H439" s="1773"/>
      <c r="I439" s="2514"/>
      <c r="J439" s="2514"/>
      <c r="K439" s="2514"/>
      <c r="L439" s="2514"/>
      <c r="M439" s="2514"/>
      <c r="N439" s="2514"/>
      <c r="O439" s="2514"/>
      <c r="P439" s="2514"/>
      <c r="Q439" s="2514"/>
      <c r="R439" s="2514"/>
      <c r="S439" s="2514"/>
      <c r="T439" s="2514"/>
      <c r="U439" s="2508"/>
    </row>
    <row r="440" spans="1:21" hidden="1">
      <c r="A440" s="45"/>
      <c r="B440" s="2505">
        <f t="shared" si="23"/>
        <v>1</v>
      </c>
      <c r="C440" s="2506" t="str">
        <f t="shared" si="23"/>
        <v>機能性</v>
      </c>
      <c r="D440" s="2506"/>
      <c r="E440" s="1773"/>
      <c r="F440" s="1773"/>
      <c r="G440" s="1773"/>
      <c r="H440" s="1773"/>
      <c r="I440" s="2514"/>
      <c r="J440" s="2514"/>
      <c r="K440" s="2514"/>
      <c r="L440" s="2514"/>
      <c r="M440" s="2514"/>
      <c r="N440" s="2514"/>
      <c r="O440" s="2514"/>
      <c r="P440" s="2514"/>
      <c r="Q440" s="2514"/>
      <c r="R440" s="2514"/>
      <c r="S440" s="2514"/>
      <c r="T440" s="2514"/>
      <c r="U440" s="2508"/>
    </row>
    <row r="441" spans="1:21" hidden="1">
      <c r="A441" s="45"/>
      <c r="B441" s="2505">
        <f t="shared" si="23"/>
        <v>1.1000000000000001</v>
      </c>
      <c r="C441" s="2506" t="str">
        <f t="shared" si="23"/>
        <v>機能性・使いやすさ</v>
      </c>
      <c r="D441" s="2506"/>
      <c r="E441" s="1773"/>
      <c r="F441" s="1773"/>
      <c r="G441" s="1773"/>
      <c r="H441" s="1773"/>
      <c r="I441" s="2514"/>
      <c r="J441" s="2514"/>
      <c r="K441" s="2514"/>
      <c r="L441" s="2514"/>
      <c r="M441" s="2514"/>
      <c r="N441" s="2514"/>
      <c r="O441" s="2514"/>
      <c r="P441" s="2514"/>
      <c r="Q441" s="2514"/>
      <c r="R441" s="2514"/>
      <c r="S441" s="2514"/>
      <c r="T441" s="2514"/>
      <c r="U441" s="2508"/>
    </row>
    <row r="442" spans="1:21">
      <c r="A442" s="45"/>
      <c r="B442" s="2505" t="str">
        <f t="shared" si="23"/>
        <v>1.1.1</v>
      </c>
      <c r="C442" s="2506" t="str">
        <f t="shared" si="23"/>
        <v>広さ・収納性</v>
      </c>
      <c r="D442" s="2506"/>
      <c r="E442" s="1773"/>
      <c r="F442" s="1773"/>
      <c r="G442" s="1773"/>
      <c r="H442" s="1773"/>
      <c r="I442" s="2525" t="s">
        <v>2908</v>
      </c>
      <c r="J442" s="2525"/>
      <c r="K442" s="2533">
        <f>採点Q2!H22</f>
        <v>6</v>
      </c>
      <c r="L442" s="2530" t="s">
        <v>2912</v>
      </c>
      <c r="M442" s="2530" t="s">
        <v>2909</v>
      </c>
      <c r="N442" s="2533">
        <f>採点Q2!J22</f>
        <v>8</v>
      </c>
      <c r="O442" s="2530" t="s">
        <v>2913</v>
      </c>
      <c r="P442" s="2530" t="s">
        <v>2910</v>
      </c>
      <c r="Q442" s="2533">
        <f>採点Q2!L22</f>
        <v>15</v>
      </c>
      <c r="R442" s="2530" t="s">
        <v>2911</v>
      </c>
      <c r="S442" s="2533">
        <f>採点Q2!N22</f>
        <v>22</v>
      </c>
      <c r="T442" s="2514"/>
      <c r="U442" s="2508"/>
    </row>
    <row r="443" spans="1:21">
      <c r="A443" s="45"/>
      <c r="B443" s="2505" t="str">
        <f t="shared" si="23"/>
        <v>1.1.2</v>
      </c>
      <c r="C443" s="2506" t="str">
        <f t="shared" si="23"/>
        <v>高度情報通信設備対応</v>
      </c>
      <c r="D443" s="2506"/>
      <c r="E443" s="1773"/>
      <c r="F443" s="1773"/>
      <c r="G443" s="1773"/>
      <c r="H443" s="1773"/>
      <c r="I443" s="2525" t="s">
        <v>2914</v>
      </c>
      <c r="J443" s="2525"/>
      <c r="K443" s="2534">
        <f>採点Q2!G33</f>
        <v>30</v>
      </c>
      <c r="L443" s="2525" t="s">
        <v>3095</v>
      </c>
      <c r="M443" s="2514"/>
      <c r="N443" s="2514"/>
      <c r="O443" s="2514"/>
      <c r="P443" s="2514"/>
      <c r="Q443" s="2514"/>
      <c r="R443" s="2514"/>
      <c r="S443" s="2514"/>
      <c r="T443" s="2514"/>
      <c r="U443" s="2508"/>
    </row>
    <row r="444" spans="1:21" hidden="1">
      <c r="A444" s="45"/>
      <c r="B444" s="2505" t="str">
        <f t="shared" ref="B444:C463" si="24">B256</f>
        <v>1.1.3</v>
      </c>
      <c r="C444" s="2506" t="str">
        <f t="shared" si="24"/>
        <v>バリアフリー計画</v>
      </c>
      <c r="D444" s="2506"/>
      <c r="E444" s="1773"/>
      <c r="F444" s="1773"/>
      <c r="G444" s="1773"/>
      <c r="H444" s="1773"/>
      <c r="I444" s="2514"/>
      <c r="J444" s="2514"/>
      <c r="K444" s="2514"/>
      <c r="L444" s="2514"/>
      <c r="M444" s="2514"/>
      <c r="N444" s="2514"/>
      <c r="O444" s="2514"/>
      <c r="P444" s="2514"/>
      <c r="Q444" s="2514"/>
      <c r="R444" s="2514"/>
      <c r="S444" s="2514"/>
      <c r="T444" s="2514"/>
      <c r="U444" s="2508"/>
    </row>
    <row r="445" spans="1:21" hidden="1">
      <c r="A445" s="45"/>
      <c r="B445" s="2505">
        <f t="shared" si="24"/>
        <v>1.2</v>
      </c>
      <c r="C445" s="2506" t="str">
        <f t="shared" si="24"/>
        <v>心理性・快適性</v>
      </c>
      <c r="D445" s="2506"/>
      <c r="E445" s="1773"/>
      <c r="F445" s="1773"/>
      <c r="G445" s="1773"/>
      <c r="H445" s="1773"/>
      <c r="I445" s="2514"/>
      <c r="J445" s="2514"/>
      <c r="K445" s="2514"/>
      <c r="L445" s="2514"/>
      <c r="M445" s="2514"/>
      <c r="N445" s="2514"/>
      <c r="O445" s="2514"/>
      <c r="P445" s="2514"/>
      <c r="Q445" s="2514"/>
      <c r="R445" s="2514"/>
      <c r="S445" s="2514"/>
      <c r="T445" s="2514"/>
      <c r="U445" s="2508"/>
    </row>
    <row r="446" spans="1:21">
      <c r="A446" s="45"/>
      <c r="B446" s="2505" t="str">
        <f t="shared" si="24"/>
        <v>1.2.1</v>
      </c>
      <c r="C446" s="2506" t="str">
        <f t="shared" si="24"/>
        <v>広さ感・景観</v>
      </c>
      <c r="D446" s="2506"/>
      <c r="E446" s="1773"/>
      <c r="F446" s="1773"/>
      <c r="G446" s="1773"/>
      <c r="H446" s="1773"/>
      <c r="I446" s="2525" t="s">
        <v>2915</v>
      </c>
      <c r="J446" s="2525"/>
      <c r="K446" s="2525">
        <f>採点Q2!L54</f>
        <v>2.5</v>
      </c>
      <c r="L446" s="2525" t="s">
        <v>3096</v>
      </c>
      <c r="M446" s="2514"/>
      <c r="N446" s="2514"/>
      <c r="O446" s="2514"/>
      <c r="P446" s="2514"/>
      <c r="Q446" s="2514"/>
      <c r="R446" s="2514"/>
      <c r="S446" s="2514"/>
      <c r="T446" s="2514"/>
      <c r="U446" s="2508"/>
    </row>
    <row r="447" spans="1:21" hidden="1">
      <c r="A447" s="45"/>
      <c r="B447" s="2505">
        <f t="shared" si="24"/>
        <v>0</v>
      </c>
      <c r="C447" s="2506">
        <f t="shared" si="24"/>
        <v>0</v>
      </c>
      <c r="D447" s="2506"/>
      <c r="E447" s="1773"/>
      <c r="F447" s="1773"/>
      <c r="G447" s="1773"/>
      <c r="H447" s="1773"/>
      <c r="I447" s="2514"/>
      <c r="J447" s="2514"/>
      <c r="K447" s="2514"/>
      <c r="L447" s="2514"/>
      <c r="M447" s="2514"/>
      <c r="N447" s="2514"/>
      <c r="O447" s="2514"/>
      <c r="P447" s="2514"/>
      <c r="Q447" s="2514"/>
      <c r="R447" s="2514"/>
      <c r="S447" s="2514"/>
      <c r="T447" s="2514"/>
      <c r="U447" s="2508"/>
    </row>
    <row r="448" spans="1:21">
      <c r="A448" s="45"/>
      <c r="B448" s="2505" t="str">
        <f t="shared" si="24"/>
        <v>1.2.2</v>
      </c>
      <c r="C448" s="2506" t="str">
        <f t="shared" si="24"/>
        <v>リフレッシュスペース</v>
      </c>
      <c r="D448" s="2506"/>
      <c r="E448" s="1773"/>
      <c r="F448" s="1773"/>
      <c r="G448" s="1773"/>
      <c r="H448" s="1773"/>
      <c r="I448" s="2525" t="s">
        <v>2916</v>
      </c>
      <c r="J448" s="2525"/>
      <c r="K448" s="2525"/>
      <c r="L448" s="2532">
        <f>採点Q2!M64</f>
        <v>0</v>
      </c>
      <c r="M448" s="2525"/>
      <c r="N448" s="2529" t="s">
        <v>2917</v>
      </c>
      <c r="O448" s="2532">
        <f>採点Q2!O64</f>
        <v>0.02</v>
      </c>
      <c r="P448" s="2514"/>
      <c r="Q448" s="2514"/>
      <c r="R448" s="2514"/>
      <c r="S448" s="2514"/>
      <c r="T448" s="2514"/>
      <c r="U448" s="2508"/>
    </row>
    <row r="449" spans="1:21" hidden="1">
      <c r="A449" s="45"/>
      <c r="B449" s="2505" t="str">
        <f t="shared" si="24"/>
        <v>1.2.3</v>
      </c>
      <c r="C449" s="2506" t="str">
        <f t="shared" si="24"/>
        <v>内装計画</v>
      </c>
      <c r="D449" s="2506"/>
      <c r="E449" s="1773"/>
      <c r="F449" s="1773"/>
      <c r="G449" s="1773"/>
      <c r="H449" s="1773"/>
      <c r="I449" s="2514"/>
      <c r="J449" s="2514"/>
      <c r="K449" s="2514"/>
      <c r="L449" s="2514"/>
      <c r="M449" s="2514"/>
      <c r="N449" s="2514"/>
      <c r="O449" s="2514"/>
      <c r="P449" s="2514"/>
      <c r="Q449" s="2514"/>
      <c r="R449" s="2514"/>
      <c r="S449" s="2514"/>
      <c r="T449" s="2514"/>
      <c r="U449" s="2508"/>
    </row>
    <row r="450" spans="1:21" hidden="1">
      <c r="A450" s="45"/>
      <c r="B450" s="2505">
        <f t="shared" si="24"/>
        <v>0</v>
      </c>
      <c r="C450" s="2506">
        <f t="shared" si="24"/>
        <v>0</v>
      </c>
      <c r="D450" s="2506"/>
      <c r="E450" s="1773"/>
      <c r="F450" s="1773"/>
      <c r="G450" s="1773"/>
      <c r="H450" s="1773"/>
      <c r="I450" s="2514"/>
      <c r="J450" s="2514"/>
      <c r="K450" s="2514"/>
      <c r="L450" s="2514"/>
      <c r="M450" s="2514"/>
      <c r="N450" s="2514"/>
      <c r="O450" s="2514"/>
      <c r="P450" s="2514"/>
      <c r="Q450" s="2514"/>
      <c r="R450" s="2514"/>
      <c r="S450" s="2514"/>
      <c r="T450" s="2514"/>
      <c r="U450" s="2508"/>
    </row>
    <row r="451" spans="1:21" hidden="1">
      <c r="A451" s="45"/>
      <c r="B451" s="2505">
        <f t="shared" si="24"/>
        <v>1.3</v>
      </c>
      <c r="C451" s="2506" t="str">
        <f t="shared" si="24"/>
        <v>維持管理</v>
      </c>
      <c r="D451" s="2506"/>
      <c r="E451" s="1773"/>
      <c r="F451" s="1773"/>
      <c r="G451" s="1773"/>
      <c r="H451" s="1773"/>
      <c r="I451" s="2514"/>
      <c r="J451" s="2514"/>
      <c r="K451" s="2514"/>
      <c r="L451" s="2514"/>
      <c r="M451" s="2514"/>
      <c r="N451" s="2514"/>
      <c r="O451" s="2514"/>
      <c r="P451" s="2514"/>
      <c r="Q451" s="2514"/>
      <c r="R451" s="2514"/>
      <c r="S451" s="2514"/>
      <c r="T451" s="2514"/>
      <c r="U451" s="2508"/>
    </row>
    <row r="452" spans="1:21" hidden="1">
      <c r="A452" s="45"/>
      <c r="B452" s="2505" t="str">
        <f t="shared" si="24"/>
        <v>1.3.1</v>
      </c>
      <c r="C452" s="2506" t="str">
        <f t="shared" si="24"/>
        <v>維持管理に配慮した設計</v>
      </c>
      <c r="D452" s="2506"/>
      <c r="E452" s="1773"/>
      <c r="F452" s="1773"/>
      <c r="G452" s="1773"/>
      <c r="H452" s="1773"/>
      <c r="I452" s="2514"/>
      <c r="J452" s="2514"/>
      <c r="K452" s="2514"/>
      <c r="L452" s="2514"/>
      <c r="M452" s="2514"/>
      <c r="N452" s="2514"/>
      <c r="O452" s="2514"/>
      <c r="P452" s="2514"/>
      <c r="Q452" s="2514"/>
      <c r="R452" s="2514"/>
      <c r="S452" s="2514"/>
      <c r="T452" s="2514"/>
      <c r="U452" s="2508"/>
    </row>
    <row r="453" spans="1:21" hidden="1">
      <c r="A453" s="45"/>
      <c r="B453" s="2505" t="str">
        <f t="shared" si="24"/>
        <v>1.3.2</v>
      </c>
      <c r="C453" s="2506" t="str">
        <f t="shared" si="24"/>
        <v>維持管理用機能の確保</v>
      </c>
      <c r="D453" s="2506"/>
      <c r="E453" s="1773"/>
      <c r="F453" s="1773"/>
      <c r="G453" s="1773"/>
      <c r="H453" s="1773"/>
      <c r="I453" s="2514"/>
      <c r="J453" s="2514"/>
      <c r="K453" s="2514"/>
      <c r="L453" s="2514"/>
      <c r="M453" s="2514"/>
      <c r="N453" s="2514"/>
      <c r="O453" s="2514"/>
      <c r="P453" s="2514"/>
      <c r="Q453" s="2514"/>
      <c r="R453" s="2514"/>
      <c r="S453" s="2514"/>
      <c r="T453" s="2514"/>
      <c r="U453" s="2508"/>
    </row>
    <row r="454" spans="1:21" hidden="1">
      <c r="A454" s="45"/>
      <c r="B454" s="2505">
        <f t="shared" si="24"/>
        <v>0</v>
      </c>
      <c r="C454" s="2506">
        <f t="shared" si="24"/>
        <v>0</v>
      </c>
      <c r="D454" s="2506"/>
      <c r="E454" s="1773"/>
      <c r="F454" s="1773"/>
      <c r="G454" s="1773"/>
      <c r="H454" s="1773"/>
      <c r="I454" s="2514"/>
      <c r="J454" s="2514"/>
      <c r="K454" s="2514"/>
      <c r="L454" s="2514"/>
      <c r="M454" s="2514"/>
      <c r="N454" s="2514"/>
      <c r="O454" s="2514"/>
      <c r="P454" s="2514"/>
      <c r="Q454" s="2514"/>
      <c r="R454" s="2514"/>
      <c r="S454" s="2514"/>
      <c r="T454" s="2514"/>
      <c r="U454" s="2508"/>
    </row>
    <row r="455" spans="1:21" hidden="1">
      <c r="A455" s="45"/>
      <c r="B455" s="2505">
        <f t="shared" si="24"/>
        <v>2</v>
      </c>
      <c r="C455" s="2506" t="str">
        <f t="shared" si="24"/>
        <v>耐用性・信頼性</v>
      </c>
      <c r="D455" s="2506"/>
      <c r="E455" s="1773"/>
      <c r="F455" s="1773"/>
      <c r="G455" s="1773"/>
      <c r="H455" s="1773"/>
      <c r="I455" s="2514"/>
      <c r="J455" s="2514"/>
      <c r="K455" s="2514"/>
      <c r="L455" s="2514"/>
      <c r="M455" s="2514"/>
      <c r="N455" s="2514"/>
      <c r="O455" s="2514"/>
      <c r="P455" s="2514"/>
      <c r="Q455" s="2514"/>
      <c r="R455" s="2514"/>
      <c r="S455" s="2514"/>
      <c r="T455" s="2514"/>
      <c r="U455" s="2508"/>
    </row>
    <row r="456" spans="1:21" hidden="1">
      <c r="A456" s="45"/>
      <c r="B456" s="2505">
        <f t="shared" si="24"/>
        <v>2.1</v>
      </c>
      <c r="C456" s="2506" t="str">
        <f t="shared" si="24"/>
        <v>耐震･免震・制震・制振</v>
      </c>
      <c r="D456" s="2506"/>
      <c r="E456" s="1773"/>
      <c r="F456" s="1773"/>
      <c r="G456" s="1773"/>
      <c r="H456" s="1773"/>
      <c r="I456" s="2514"/>
      <c r="J456" s="2514"/>
      <c r="K456" s="2514"/>
      <c r="L456" s="2514"/>
      <c r="M456" s="2514"/>
      <c r="N456" s="2514"/>
      <c r="O456" s="2514"/>
      <c r="P456" s="2514"/>
      <c r="Q456" s="2514"/>
      <c r="R456" s="2514"/>
      <c r="S456" s="2514"/>
      <c r="T456" s="2514"/>
      <c r="U456" s="2508"/>
    </row>
    <row r="457" spans="1:21" hidden="1">
      <c r="A457" s="45"/>
      <c r="B457" s="2505" t="str">
        <f t="shared" si="24"/>
        <v>2.1.1</v>
      </c>
      <c r="C457" s="2506" t="str">
        <f t="shared" si="24"/>
        <v>耐震性</v>
      </c>
      <c r="D457" s="2506"/>
      <c r="E457" s="1773"/>
      <c r="F457" s="1773"/>
      <c r="G457" s="1773"/>
      <c r="H457" s="1773"/>
      <c r="I457" s="2514"/>
      <c r="J457" s="2514"/>
      <c r="K457" s="2514"/>
      <c r="L457" s="2514"/>
      <c r="M457" s="2514"/>
      <c r="N457" s="2514"/>
      <c r="O457" s="2514"/>
      <c r="P457" s="2514"/>
      <c r="Q457" s="2514"/>
      <c r="R457" s="2514"/>
      <c r="S457" s="2514"/>
      <c r="T457" s="2514"/>
      <c r="U457" s="2508"/>
    </row>
    <row r="458" spans="1:21" hidden="1">
      <c r="A458" s="45"/>
      <c r="B458" s="2505" t="str">
        <f t="shared" si="24"/>
        <v>2.1.2</v>
      </c>
      <c r="C458" s="2506" t="str">
        <f t="shared" si="24"/>
        <v>免震・制震・制振性能</v>
      </c>
      <c r="D458" s="2506"/>
      <c r="E458" s="1773"/>
      <c r="F458" s="1773"/>
      <c r="G458" s="1773"/>
      <c r="H458" s="1773"/>
      <c r="I458" s="2514"/>
      <c r="J458" s="2514"/>
      <c r="K458" s="2514"/>
      <c r="L458" s="2514"/>
      <c r="M458" s="2514"/>
      <c r="N458" s="2514"/>
      <c r="O458" s="2514"/>
      <c r="P458" s="2514"/>
      <c r="Q458" s="2514"/>
      <c r="R458" s="2514"/>
      <c r="S458" s="2514"/>
      <c r="T458" s="2514"/>
      <c r="U458" s="2508"/>
    </row>
    <row r="459" spans="1:21" hidden="1">
      <c r="A459" s="45"/>
      <c r="B459" s="2505">
        <f t="shared" si="24"/>
        <v>2.2000000000000002</v>
      </c>
      <c r="C459" s="2506" t="str">
        <f t="shared" si="24"/>
        <v>部品・部材の耐用年数</v>
      </c>
      <c r="D459" s="2506"/>
      <c r="E459" s="1773"/>
      <c r="F459" s="1773"/>
      <c r="G459" s="1773"/>
      <c r="H459" s="1773"/>
      <c r="I459" s="2514"/>
      <c r="J459" s="2514"/>
      <c r="K459" s="2514"/>
      <c r="L459" s="2514"/>
      <c r="M459" s="2514"/>
      <c r="N459" s="2514"/>
      <c r="O459" s="2514"/>
      <c r="P459" s="2514"/>
      <c r="Q459" s="2514"/>
      <c r="R459" s="2514"/>
      <c r="S459" s="2514"/>
      <c r="T459" s="2514"/>
      <c r="U459" s="2508"/>
    </row>
    <row r="460" spans="1:21">
      <c r="A460" s="45"/>
      <c r="B460" s="2505" t="str">
        <f t="shared" si="24"/>
        <v>2.2.1</v>
      </c>
      <c r="C460" s="2506" t="str">
        <f t="shared" si="24"/>
        <v>躯体材料の耐用年数</v>
      </c>
      <c r="D460" s="2506"/>
      <c r="E460" s="1773"/>
      <c r="F460" s="1773"/>
      <c r="G460" s="1773"/>
      <c r="H460" s="1773"/>
      <c r="I460" s="2525" t="s">
        <v>2918</v>
      </c>
      <c r="J460" s="2525"/>
      <c r="K460" s="2530">
        <f>採点Q2!G226</f>
        <v>25</v>
      </c>
      <c r="L460" s="2530" t="s">
        <v>3097</v>
      </c>
      <c r="M460" s="2514"/>
      <c r="N460" s="2514"/>
      <c r="O460" s="2514"/>
      <c r="P460" s="2514"/>
      <c r="Q460" s="2514"/>
      <c r="R460" s="2514"/>
      <c r="S460" s="2514"/>
      <c r="T460" s="2514"/>
      <c r="U460" s="2508"/>
    </row>
    <row r="461" spans="1:21">
      <c r="A461" s="45"/>
      <c r="B461" s="2505" t="str">
        <f t="shared" si="24"/>
        <v>2.2.2</v>
      </c>
      <c r="C461" s="2506" t="str">
        <f t="shared" si="24"/>
        <v>外壁仕上げ材の補修必要間隔</v>
      </c>
      <c r="D461" s="2506"/>
      <c r="E461" s="1773"/>
      <c r="F461" s="1773"/>
      <c r="G461" s="1773"/>
      <c r="H461" s="1773"/>
      <c r="I461" s="2525" t="s">
        <v>2919</v>
      </c>
      <c r="J461" s="2525"/>
      <c r="K461" s="2530">
        <f>採点Q2!L226</f>
        <v>15</v>
      </c>
      <c r="L461" s="2530" t="s">
        <v>3097</v>
      </c>
      <c r="M461" s="2514"/>
      <c r="N461" s="2514"/>
      <c r="O461" s="2514"/>
      <c r="P461" s="2514"/>
      <c r="Q461" s="2514"/>
      <c r="R461" s="2514"/>
      <c r="S461" s="2514"/>
      <c r="T461" s="2514"/>
      <c r="U461" s="2508"/>
    </row>
    <row r="462" spans="1:21">
      <c r="A462" s="45"/>
      <c r="B462" s="2505" t="str">
        <f t="shared" si="24"/>
        <v>2.2.3</v>
      </c>
      <c r="C462" s="2506" t="str">
        <f t="shared" si="24"/>
        <v>主要内装仕上げ材の更新必要間隔</v>
      </c>
      <c r="D462" s="2506"/>
      <c r="E462" s="1773"/>
      <c r="F462" s="1773"/>
      <c r="G462" s="1773"/>
      <c r="H462" s="1773"/>
      <c r="I462" s="2525" t="s">
        <v>2919</v>
      </c>
      <c r="J462" s="2525"/>
      <c r="K462" s="2530">
        <f>採点Q2!G237</f>
        <v>0</v>
      </c>
      <c r="L462" s="2530" t="s">
        <v>3097</v>
      </c>
      <c r="M462" s="2514"/>
      <c r="N462" s="2514"/>
      <c r="O462" s="2514"/>
      <c r="P462" s="2514"/>
      <c r="Q462" s="2514"/>
      <c r="R462" s="2514"/>
      <c r="S462" s="2514"/>
      <c r="T462" s="2514"/>
      <c r="U462" s="2508"/>
    </row>
    <row r="463" spans="1:21" hidden="1">
      <c r="A463" s="45"/>
      <c r="B463" s="2505" t="str">
        <f t="shared" si="24"/>
        <v>2.2.4</v>
      </c>
      <c r="C463" s="2506" t="str">
        <f t="shared" si="24"/>
        <v>空調換気ダクトの更新必要間隔</v>
      </c>
      <c r="D463" s="2506"/>
      <c r="E463" s="1773"/>
      <c r="F463" s="1773"/>
      <c r="G463" s="1773"/>
      <c r="H463" s="1773"/>
      <c r="I463" s="2514"/>
      <c r="J463" s="2514"/>
      <c r="K463" s="2535"/>
      <c r="L463" s="2535"/>
      <c r="M463" s="2514"/>
      <c r="N463" s="2514"/>
      <c r="O463" s="2514"/>
      <c r="P463" s="2514"/>
      <c r="Q463" s="2514"/>
      <c r="R463" s="2514"/>
      <c r="S463" s="2514"/>
      <c r="T463" s="2514"/>
      <c r="U463" s="2508"/>
    </row>
    <row r="464" spans="1:21" hidden="1">
      <c r="A464" s="45"/>
      <c r="B464" s="2505" t="str">
        <f t="shared" ref="B464:C483" si="25">B276</f>
        <v>2.2.5</v>
      </c>
      <c r="C464" s="2506" t="str">
        <f t="shared" si="25"/>
        <v>空調・給排水配管の更新必要間隔</v>
      </c>
      <c r="D464" s="2506"/>
      <c r="E464" s="1773"/>
      <c r="F464" s="1773"/>
      <c r="G464" s="1773"/>
      <c r="H464" s="1773"/>
      <c r="I464" s="2514"/>
      <c r="J464" s="2514"/>
      <c r="K464" s="2535"/>
      <c r="L464" s="2535"/>
      <c r="M464" s="2514"/>
      <c r="N464" s="2514"/>
      <c r="O464" s="2514"/>
      <c r="P464" s="2514"/>
      <c r="Q464" s="2514"/>
      <c r="R464" s="2514"/>
      <c r="S464" s="2514"/>
      <c r="T464" s="2514"/>
      <c r="U464" s="2508"/>
    </row>
    <row r="465" spans="1:21">
      <c r="A465" s="45"/>
      <c r="B465" s="2505" t="str">
        <f t="shared" si="25"/>
        <v>2.2.6</v>
      </c>
      <c r="C465" s="2506" t="str">
        <f t="shared" si="25"/>
        <v>主要設備機器の更新必要間隔</v>
      </c>
      <c r="D465" s="2506"/>
      <c r="E465" s="1773"/>
      <c r="F465" s="1773"/>
      <c r="G465" s="1773"/>
      <c r="H465" s="1773"/>
      <c r="I465" s="2525" t="s">
        <v>2919</v>
      </c>
      <c r="J465" s="2525"/>
      <c r="K465" s="2530">
        <f>採点Q2!L248</f>
        <v>0</v>
      </c>
      <c r="L465" s="2530" t="s">
        <v>3097</v>
      </c>
      <c r="M465" s="2514"/>
      <c r="N465" s="2514"/>
      <c r="O465" s="2514"/>
      <c r="P465" s="2514"/>
      <c r="Q465" s="2514"/>
      <c r="R465" s="2514"/>
      <c r="S465" s="2514"/>
      <c r="T465" s="2514"/>
      <c r="U465" s="2508"/>
    </row>
    <row r="466" spans="1:21" hidden="1">
      <c r="A466" s="45"/>
      <c r="B466" s="2505">
        <f t="shared" si="25"/>
        <v>2.2999999999999998</v>
      </c>
      <c r="C466" s="2506" t="str">
        <f t="shared" si="25"/>
        <v>適切な更新</v>
      </c>
      <c r="D466" s="2506"/>
      <c r="E466" s="1773"/>
      <c r="F466" s="1773"/>
      <c r="G466" s="1773"/>
      <c r="H466" s="1773"/>
      <c r="I466" s="2514"/>
      <c r="J466" s="2514"/>
      <c r="K466" s="2514"/>
      <c r="L466" s="2514"/>
      <c r="M466" s="2514"/>
      <c r="N466" s="2514"/>
      <c r="O466" s="2514"/>
      <c r="P466" s="2514"/>
      <c r="Q466" s="2514"/>
      <c r="R466" s="2514"/>
      <c r="S466" s="2514"/>
      <c r="T466" s="2514"/>
      <c r="U466" s="2508"/>
    </row>
    <row r="467" spans="1:21" hidden="1">
      <c r="A467" s="45"/>
      <c r="B467" s="2505" t="str">
        <f t="shared" si="25"/>
        <v>2.3.1</v>
      </c>
      <c r="C467" s="2506">
        <f t="shared" si="25"/>
        <v>0</v>
      </c>
      <c r="D467" s="2506"/>
      <c r="E467" s="1773"/>
      <c r="F467" s="1773"/>
      <c r="G467" s="1773"/>
      <c r="H467" s="1773"/>
      <c r="I467" s="2514"/>
      <c r="J467" s="2514"/>
      <c r="K467" s="2514"/>
      <c r="L467" s="2514"/>
      <c r="M467" s="2514"/>
      <c r="N467" s="2514"/>
      <c r="O467" s="2514"/>
      <c r="P467" s="2514"/>
      <c r="Q467" s="2514"/>
      <c r="R467" s="2514"/>
      <c r="S467" s="2514"/>
      <c r="T467" s="2514"/>
      <c r="U467" s="2508"/>
    </row>
    <row r="468" spans="1:21" hidden="1">
      <c r="A468" s="45"/>
      <c r="B468" s="2505" t="str">
        <f t="shared" si="25"/>
        <v>2.3.2</v>
      </c>
      <c r="C468" s="2506">
        <f t="shared" si="25"/>
        <v>0</v>
      </c>
      <c r="D468" s="2506"/>
      <c r="E468" s="1773"/>
      <c r="F468" s="1773"/>
      <c r="G468" s="1773"/>
      <c r="H468" s="1773"/>
      <c r="I468" s="2514"/>
      <c r="J468" s="2514"/>
      <c r="K468" s="2514"/>
      <c r="L468" s="2514"/>
      <c r="M468" s="2514"/>
      <c r="N468" s="2514"/>
      <c r="O468" s="2514"/>
      <c r="P468" s="2514"/>
      <c r="Q468" s="2514"/>
      <c r="R468" s="2514"/>
      <c r="S468" s="2514"/>
      <c r="T468" s="2514"/>
      <c r="U468" s="2508"/>
    </row>
    <row r="469" spans="1:21" hidden="1">
      <c r="A469" s="45"/>
      <c r="B469" s="2505" t="str">
        <f t="shared" si="25"/>
        <v>2.3.3</v>
      </c>
      <c r="C469" s="2506">
        <f t="shared" si="25"/>
        <v>0</v>
      </c>
      <c r="D469" s="2506"/>
      <c r="E469" s="1773"/>
      <c r="F469" s="1773"/>
      <c r="G469" s="1773"/>
      <c r="H469" s="1773"/>
      <c r="I469" s="2514"/>
      <c r="J469" s="2514"/>
      <c r="K469" s="2514"/>
      <c r="L469" s="2514"/>
      <c r="M469" s="2514"/>
      <c r="N469" s="2514"/>
      <c r="O469" s="2514"/>
      <c r="P469" s="2514"/>
      <c r="Q469" s="2514"/>
      <c r="R469" s="2514"/>
      <c r="S469" s="2514"/>
      <c r="T469" s="2514"/>
      <c r="U469" s="2508"/>
    </row>
    <row r="470" spans="1:21" hidden="1">
      <c r="A470" s="45"/>
      <c r="B470" s="2505">
        <f t="shared" si="25"/>
        <v>2.4</v>
      </c>
      <c r="C470" s="2506" t="str">
        <f t="shared" si="25"/>
        <v>信頼性</v>
      </c>
      <c r="D470" s="2506"/>
      <c r="E470" s="1773"/>
      <c r="F470" s="1773"/>
      <c r="G470" s="1773"/>
      <c r="H470" s="1773"/>
      <c r="I470" s="2514"/>
      <c r="J470" s="2514"/>
      <c r="K470" s="2514"/>
      <c r="L470" s="2514"/>
      <c r="M470" s="2514"/>
      <c r="N470" s="2514"/>
      <c r="O470" s="2514"/>
      <c r="P470" s="2514"/>
      <c r="Q470" s="2514"/>
      <c r="R470" s="2514"/>
      <c r="S470" s="2514"/>
      <c r="T470" s="2514"/>
      <c r="U470" s="2508"/>
    </row>
    <row r="471" spans="1:21" hidden="1">
      <c r="A471" s="45"/>
      <c r="B471" s="2505" t="str">
        <f t="shared" si="25"/>
        <v>2.4.1</v>
      </c>
      <c r="C471" s="2506" t="str">
        <f t="shared" si="25"/>
        <v>空調・換気設備</v>
      </c>
      <c r="D471" s="2506"/>
      <c r="E471" s="1773"/>
      <c r="F471" s="1773"/>
      <c r="G471" s="1773"/>
      <c r="H471" s="1773"/>
      <c r="I471" s="2514"/>
      <c r="J471" s="2514"/>
      <c r="K471" s="2514"/>
      <c r="L471" s="2514"/>
      <c r="M471" s="2514"/>
      <c r="N471" s="2514"/>
      <c r="O471" s="2514"/>
      <c r="P471" s="2514"/>
      <c r="Q471" s="2514"/>
      <c r="R471" s="2514"/>
      <c r="S471" s="2514"/>
      <c r="T471" s="2514"/>
      <c r="U471" s="2508"/>
    </row>
    <row r="472" spans="1:21" hidden="1">
      <c r="A472" s="45"/>
      <c r="B472" s="2505" t="str">
        <f t="shared" si="25"/>
        <v>2.4.2</v>
      </c>
      <c r="C472" s="2506" t="str">
        <f t="shared" si="25"/>
        <v>給排水・衛生設備</v>
      </c>
      <c r="D472" s="2506"/>
      <c r="E472" s="1773"/>
      <c r="F472" s="1773"/>
      <c r="G472" s="1773"/>
      <c r="H472" s="1773"/>
      <c r="I472" s="2514"/>
      <c r="J472" s="2514"/>
      <c r="K472" s="2514"/>
      <c r="L472" s="2514"/>
      <c r="M472" s="2514"/>
      <c r="N472" s="2514"/>
      <c r="O472" s="2514"/>
      <c r="P472" s="2514"/>
      <c r="Q472" s="2514"/>
      <c r="R472" s="2514"/>
      <c r="S472" s="2514"/>
      <c r="T472" s="2514"/>
      <c r="U472" s="2508"/>
    </row>
    <row r="473" spans="1:21" hidden="1">
      <c r="A473" s="45"/>
      <c r="B473" s="2505" t="str">
        <f t="shared" si="25"/>
        <v>2.4.3</v>
      </c>
      <c r="C473" s="2506" t="str">
        <f t="shared" si="25"/>
        <v>電気設備</v>
      </c>
      <c r="D473" s="2506"/>
      <c r="E473" s="1773"/>
      <c r="F473" s="1773"/>
      <c r="G473" s="1773"/>
      <c r="H473" s="1773"/>
      <c r="I473" s="2514"/>
      <c r="J473" s="2514"/>
      <c r="K473" s="2514"/>
      <c r="L473" s="2514"/>
      <c r="M473" s="2514"/>
      <c r="N473" s="2514"/>
      <c r="O473" s="2514"/>
      <c r="P473" s="2514"/>
      <c r="Q473" s="2514"/>
      <c r="R473" s="2514"/>
      <c r="S473" s="2514"/>
      <c r="T473" s="2514"/>
      <c r="U473" s="2508"/>
    </row>
    <row r="474" spans="1:21" hidden="1">
      <c r="A474" s="45"/>
      <c r="B474" s="2505" t="str">
        <f t="shared" si="25"/>
        <v>2.4.4</v>
      </c>
      <c r="C474" s="2506" t="str">
        <f t="shared" si="25"/>
        <v>機械・配管支持方法</v>
      </c>
      <c r="D474" s="2506"/>
      <c r="E474" s="1773"/>
      <c r="F474" s="1773"/>
      <c r="G474" s="1773"/>
      <c r="H474" s="1773"/>
      <c r="I474" s="2514"/>
      <c r="J474" s="2514"/>
      <c r="K474" s="2514"/>
      <c r="L474" s="2514"/>
      <c r="M474" s="2514"/>
      <c r="N474" s="2514"/>
      <c r="O474" s="2514"/>
      <c r="P474" s="2514"/>
      <c r="Q474" s="2514"/>
      <c r="R474" s="2514"/>
      <c r="S474" s="2514"/>
      <c r="T474" s="2514"/>
      <c r="U474" s="2508"/>
    </row>
    <row r="475" spans="1:21" hidden="1">
      <c r="A475" s="45"/>
      <c r="B475" s="2505" t="str">
        <f t="shared" si="25"/>
        <v>2.4.5</v>
      </c>
      <c r="C475" s="2506" t="str">
        <f t="shared" si="25"/>
        <v>通信・情報設備</v>
      </c>
      <c r="D475" s="2506"/>
      <c r="E475" s="1773"/>
      <c r="F475" s="1773"/>
      <c r="G475" s="1773"/>
      <c r="H475" s="1773"/>
      <c r="I475" s="2514"/>
      <c r="J475" s="2514"/>
      <c r="K475" s="2514"/>
      <c r="L475" s="2514"/>
      <c r="M475" s="2514"/>
      <c r="N475" s="2514"/>
      <c r="O475" s="2514"/>
      <c r="P475" s="2514"/>
      <c r="Q475" s="2514"/>
      <c r="R475" s="2514"/>
      <c r="S475" s="2514"/>
      <c r="T475" s="2514"/>
      <c r="U475" s="2508"/>
    </row>
    <row r="476" spans="1:21" hidden="1">
      <c r="A476" s="45"/>
      <c r="B476" s="2505">
        <f t="shared" si="25"/>
        <v>0</v>
      </c>
      <c r="C476" s="2506">
        <f t="shared" si="25"/>
        <v>0</v>
      </c>
      <c r="D476" s="2506"/>
      <c r="E476" s="1773"/>
      <c r="F476" s="1773"/>
      <c r="G476" s="1773"/>
      <c r="H476" s="1773"/>
      <c r="I476" s="2514"/>
      <c r="J476" s="2514"/>
      <c r="K476" s="2514"/>
      <c r="L476" s="2514"/>
      <c r="M476" s="2514"/>
      <c r="N476" s="2514"/>
      <c r="O476" s="2514"/>
      <c r="P476" s="2514"/>
      <c r="Q476" s="2514"/>
      <c r="R476" s="2514"/>
      <c r="S476" s="2514"/>
      <c r="T476" s="2514"/>
      <c r="U476" s="2508"/>
    </row>
    <row r="477" spans="1:21" hidden="1">
      <c r="A477" s="45"/>
      <c r="B477" s="2505">
        <f t="shared" si="25"/>
        <v>3</v>
      </c>
      <c r="C477" s="2506" t="str">
        <f t="shared" si="25"/>
        <v>対応性・更新性</v>
      </c>
      <c r="D477" s="2506"/>
      <c r="E477" s="1773"/>
      <c r="F477" s="1773"/>
      <c r="G477" s="1773"/>
      <c r="H477" s="1773"/>
      <c r="I477" s="2514"/>
      <c r="J477" s="2514"/>
      <c r="K477" s="2514"/>
      <c r="L477" s="2514"/>
      <c r="M477" s="2514"/>
      <c r="N477" s="2514"/>
      <c r="O477" s="2514"/>
      <c r="P477" s="2514"/>
      <c r="Q477" s="2514"/>
      <c r="R477" s="2514"/>
      <c r="S477" s="2514"/>
      <c r="T477" s="2514"/>
      <c r="U477" s="2508"/>
    </row>
    <row r="478" spans="1:21" hidden="1">
      <c r="A478" s="45"/>
      <c r="B478" s="2505">
        <f t="shared" si="25"/>
        <v>3.1</v>
      </c>
      <c r="C478" s="2506" t="str">
        <f t="shared" si="25"/>
        <v>空間のゆとり</v>
      </c>
      <c r="D478" s="2506"/>
      <c r="E478" s="1773"/>
      <c r="F478" s="1773"/>
      <c r="G478" s="1773"/>
      <c r="H478" s="1773"/>
      <c r="I478" s="2514"/>
      <c r="J478" s="2514"/>
      <c r="K478" s="2514"/>
      <c r="L478" s="2514"/>
      <c r="M478" s="2514"/>
      <c r="N478" s="2514"/>
      <c r="O478" s="2514"/>
      <c r="P478" s="2514"/>
      <c r="Q478" s="2514"/>
      <c r="R478" s="2514"/>
      <c r="S478" s="2514"/>
      <c r="T478" s="2514"/>
      <c r="U478" s="2508"/>
    </row>
    <row r="479" spans="1:21">
      <c r="A479" s="45"/>
      <c r="B479" s="2505" t="str">
        <f t="shared" si="25"/>
        <v>3.1.1</v>
      </c>
      <c r="C479" s="2506" t="str">
        <f t="shared" si="25"/>
        <v>階高のゆとり</v>
      </c>
      <c r="D479" s="2506"/>
      <c r="E479" s="1773"/>
      <c r="F479" s="1773"/>
      <c r="G479" s="1773"/>
      <c r="H479" s="1773"/>
      <c r="I479" s="2525" t="s">
        <v>2920</v>
      </c>
      <c r="J479" s="2525"/>
      <c r="K479" s="2525">
        <f>採点Q2!G369</f>
        <v>3.2</v>
      </c>
      <c r="L479" s="2525" t="s">
        <v>3096</v>
      </c>
      <c r="M479" s="2514"/>
      <c r="N479" s="2514"/>
      <c r="O479" s="2514"/>
      <c r="P479" s="2514"/>
      <c r="Q479" s="2514"/>
      <c r="R479" s="2514"/>
      <c r="S479" s="2514"/>
      <c r="T479" s="2514"/>
      <c r="U479" s="2508"/>
    </row>
    <row r="480" spans="1:21">
      <c r="A480" s="45"/>
      <c r="B480" s="2505" t="str">
        <f t="shared" si="25"/>
        <v>3.1.2</v>
      </c>
      <c r="C480" s="2506" t="str">
        <f t="shared" si="25"/>
        <v>空間の形状・自由さ</v>
      </c>
      <c r="D480" s="2506"/>
      <c r="E480" s="1773"/>
      <c r="F480" s="1773"/>
      <c r="G480" s="1773"/>
      <c r="H480" s="1773"/>
      <c r="I480" s="2525" t="s">
        <v>2921</v>
      </c>
      <c r="J480" s="2525"/>
      <c r="K480" s="2532">
        <f>採点Q2!G380</f>
        <v>0.2</v>
      </c>
      <c r="L480" s="2525"/>
      <c r="M480" s="2514"/>
      <c r="N480" s="2514"/>
      <c r="O480" s="2514"/>
      <c r="P480" s="2514"/>
      <c r="Q480" s="2514"/>
      <c r="R480" s="2514"/>
      <c r="S480" s="2514"/>
      <c r="T480" s="2514"/>
      <c r="U480" s="2508"/>
    </row>
    <row r="481" spans="1:21">
      <c r="A481" s="45"/>
      <c r="B481" s="2505">
        <f t="shared" si="25"/>
        <v>3.2</v>
      </c>
      <c r="C481" s="2506" t="str">
        <f t="shared" si="25"/>
        <v>荷重のゆとり</v>
      </c>
      <c r="D481" s="2506"/>
      <c r="E481" s="1773"/>
      <c r="F481" s="1773"/>
      <c r="G481" s="1773"/>
      <c r="H481" s="1773"/>
      <c r="I481" s="2525" t="s">
        <v>2922</v>
      </c>
      <c r="J481" s="2525"/>
      <c r="K481" s="2536">
        <f>採点Q2!G392</f>
        <v>4000</v>
      </c>
      <c r="L481" s="2525" t="s">
        <v>3099</v>
      </c>
      <c r="M481" s="2514"/>
      <c r="N481" s="2514"/>
      <c r="O481" s="2514"/>
      <c r="P481" s="2514"/>
      <c r="Q481" s="2514"/>
      <c r="R481" s="2514"/>
      <c r="S481" s="2514"/>
      <c r="T481" s="2514"/>
      <c r="U481" s="2508"/>
    </row>
    <row r="482" spans="1:21" hidden="1">
      <c r="A482" s="45"/>
      <c r="B482" s="2505">
        <f t="shared" si="25"/>
        <v>3.3</v>
      </c>
      <c r="C482" s="2506" t="str">
        <f t="shared" si="25"/>
        <v>設備の更新性</v>
      </c>
      <c r="D482" s="2506"/>
      <c r="E482" s="1773"/>
      <c r="F482" s="1773"/>
      <c r="G482" s="1773"/>
      <c r="H482" s="1773"/>
      <c r="I482" s="2514"/>
      <c r="J482" s="2514"/>
      <c r="K482" s="2514"/>
      <c r="L482" s="2514"/>
      <c r="M482" s="2514"/>
      <c r="N482" s="2514"/>
      <c r="O482" s="2514"/>
      <c r="P482" s="2514"/>
      <c r="Q482" s="2514"/>
      <c r="R482" s="2514"/>
      <c r="S482" s="2514"/>
      <c r="T482" s="2514"/>
      <c r="U482" s="2508"/>
    </row>
    <row r="483" spans="1:21" hidden="1">
      <c r="A483" s="45"/>
      <c r="B483" s="2505" t="str">
        <f t="shared" si="25"/>
        <v>3.3.1</v>
      </c>
      <c r="C483" s="2506" t="str">
        <f t="shared" si="25"/>
        <v>空調配管の更新性</v>
      </c>
      <c r="D483" s="2506"/>
      <c r="E483" s="1773"/>
      <c r="F483" s="1773"/>
      <c r="G483" s="1773"/>
      <c r="H483" s="1773"/>
      <c r="I483" s="2514"/>
      <c r="J483" s="2514"/>
      <c r="K483" s="2514"/>
      <c r="L483" s="2514"/>
      <c r="M483" s="2514"/>
      <c r="N483" s="2514"/>
      <c r="O483" s="2514"/>
      <c r="P483" s="2514"/>
      <c r="Q483" s="2514"/>
      <c r="R483" s="2514"/>
      <c r="S483" s="2514"/>
      <c r="T483" s="2514"/>
      <c r="U483" s="2508"/>
    </row>
    <row r="484" spans="1:21" hidden="1">
      <c r="A484" s="45"/>
      <c r="B484" s="2505" t="str">
        <f t="shared" ref="B484:C501" si="26">B296</f>
        <v>3.3.2</v>
      </c>
      <c r="C484" s="2506" t="str">
        <f t="shared" si="26"/>
        <v>給排水管の更新性</v>
      </c>
      <c r="D484" s="2506"/>
      <c r="E484" s="1773"/>
      <c r="F484" s="1773"/>
      <c r="G484" s="1773"/>
      <c r="H484" s="1773"/>
      <c r="I484" s="2514"/>
      <c r="J484" s="2514"/>
      <c r="K484" s="2514"/>
      <c r="L484" s="2514"/>
      <c r="M484" s="2514"/>
      <c r="N484" s="2514"/>
      <c r="O484" s="2514"/>
      <c r="P484" s="2514"/>
      <c r="Q484" s="2514"/>
      <c r="R484" s="2514"/>
      <c r="S484" s="2514"/>
      <c r="T484" s="2514"/>
      <c r="U484" s="2508"/>
    </row>
    <row r="485" spans="1:21" hidden="1">
      <c r="A485" s="45"/>
      <c r="B485" s="2505" t="str">
        <f t="shared" si="26"/>
        <v>3.3.3</v>
      </c>
      <c r="C485" s="2506" t="str">
        <f t="shared" si="26"/>
        <v>電気配線の更新性</v>
      </c>
      <c r="D485" s="2506"/>
      <c r="E485" s="1773"/>
      <c r="F485" s="1773"/>
      <c r="G485" s="1773"/>
      <c r="H485" s="1773"/>
      <c r="I485" s="2514"/>
      <c r="J485" s="2514"/>
      <c r="K485" s="2514"/>
      <c r="L485" s="2514"/>
      <c r="M485" s="2514"/>
      <c r="N485" s="2514"/>
      <c r="O485" s="2514"/>
      <c r="P485" s="2514"/>
      <c r="Q485" s="2514"/>
      <c r="R485" s="2514"/>
      <c r="S485" s="2514"/>
      <c r="T485" s="2514"/>
      <c r="U485" s="2508"/>
    </row>
    <row r="486" spans="1:21" hidden="1">
      <c r="A486" s="45"/>
      <c r="B486" s="2505" t="str">
        <f t="shared" si="26"/>
        <v>3.3.4</v>
      </c>
      <c r="C486" s="2506" t="str">
        <f t="shared" si="26"/>
        <v>通信配線の更新性</v>
      </c>
      <c r="D486" s="2506"/>
      <c r="E486" s="1773"/>
      <c r="F486" s="1773"/>
      <c r="G486" s="1773"/>
      <c r="H486" s="1773"/>
      <c r="I486" s="2514"/>
      <c r="J486" s="2514"/>
      <c r="K486" s="2514"/>
      <c r="L486" s="2514"/>
      <c r="M486" s="2514"/>
      <c r="N486" s="2514"/>
      <c r="O486" s="2514"/>
      <c r="P486" s="2514"/>
      <c r="Q486" s="2514"/>
      <c r="R486" s="2514"/>
      <c r="S486" s="2514"/>
      <c r="T486" s="2514"/>
      <c r="U486" s="2508"/>
    </row>
    <row r="487" spans="1:21" hidden="1">
      <c r="A487" s="45"/>
      <c r="B487" s="2505" t="str">
        <f t="shared" si="26"/>
        <v>3.3.5</v>
      </c>
      <c r="C487" s="2506" t="str">
        <f t="shared" si="26"/>
        <v>設備機器の更新性</v>
      </c>
      <c r="D487" s="2506"/>
      <c r="E487" s="1773"/>
      <c r="F487" s="1773"/>
      <c r="G487" s="1773"/>
      <c r="H487" s="1773"/>
      <c r="I487" s="2514"/>
      <c r="J487" s="2514"/>
      <c r="K487" s="2514"/>
      <c r="L487" s="2514"/>
      <c r="M487" s="2514"/>
      <c r="N487" s="2514"/>
      <c r="O487" s="2514"/>
      <c r="P487" s="2514"/>
      <c r="Q487" s="2514"/>
      <c r="R487" s="2514"/>
      <c r="S487" s="2514"/>
      <c r="T487" s="2514"/>
      <c r="U487" s="2508"/>
    </row>
    <row r="488" spans="1:21" hidden="1">
      <c r="A488" s="45"/>
      <c r="B488" s="2505" t="str">
        <f t="shared" si="26"/>
        <v>3.3.6</v>
      </c>
      <c r="C488" s="2506" t="str">
        <f t="shared" si="26"/>
        <v>バックアップスペースの確保</v>
      </c>
      <c r="D488" s="2506"/>
      <c r="E488" s="1773"/>
      <c r="F488" s="1773"/>
      <c r="G488" s="1773"/>
      <c r="H488" s="1773"/>
      <c r="I488" s="2514"/>
      <c r="J488" s="2514"/>
      <c r="K488" s="2514"/>
      <c r="L488" s="2514"/>
      <c r="M488" s="2514"/>
      <c r="N488" s="2514"/>
      <c r="O488" s="2514"/>
      <c r="P488" s="2514"/>
      <c r="Q488" s="2514"/>
      <c r="R488" s="2514"/>
      <c r="S488" s="2514"/>
      <c r="T488" s="2514"/>
      <c r="U488" s="2508"/>
    </row>
    <row r="489" spans="1:21">
      <c r="A489" s="45"/>
      <c r="B489" s="2523" t="str">
        <f t="shared" si="26"/>
        <v>Q3</v>
      </c>
      <c r="C489" s="2524" t="str">
        <f t="shared" si="26"/>
        <v>室外環境（敷地内）</v>
      </c>
      <c r="D489" s="2506"/>
      <c r="E489" s="1773"/>
      <c r="F489" s="1773"/>
      <c r="G489" s="1773"/>
      <c r="H489" s="1773"/>
      <c r="I489" s="2514"/>
      <c r="J489" s="2514"/>
      <c r="K489" s="2514"/>
      <c r="L489" s="2514"/>
      <c r="M489" s="2514"/>
      <c r="N489" s="2514"/>
      <c r="O489" s="2514"/>
      <c r="P489" s="2514"/>
      <c r="Q489" s="2514"/>
      <c r="R489" s="2514"/>
      <c r="S489" s="2514"/>
      <c r="T489" s="2514"/>
      <c r="U489" s="2508"/>
    </row>
    <row r="490" spans="1:21">
      <c r="A490" s="45"/>
      <c r="B490" s="2505">
        <f t="shared" si="26"/>
        <v>1</v>
      </c>
      <c r="C490" s="2506" t="str">
        <f t="shared" si="26"/>
        <v>生物資源の保全と創出</v>
      </c>
      <c r="D490" s="2506"/>
      <c r="E490" s="1773"/>
      <c r="F490" s="1773"/>
      <c r="G490" s="1773"/>
      <c r="H490" s="1773"/>
      <c r="I490" s="2525" t="s">
        <v>2923</v>
      </c>
      <c r="J490" s="2525"/>
      <c r="K490" s="2537">
        <f>採点Q3!G20</f>
        <v>0</v>
      </c>
      <c r="L490" s="2525"/>
      <c r="M490" s="2525" t="s">
        <v>2924</v>
      </c>
      <c r="N490" s="2525"/>
      <c r="O490" s="2537">
        <f>採点Q3!G21</f>
        <v>0</v>
      </c>
      <c r="P490" s="2514"/>
      <c r="Q490" s="2514"/>
      <c r="R490" s="2514"/>
      <c r="S490" s="2514"/>
      <c r="T490" s="2514"/>
      <c r="U490" s="2508"/>
    </row>
    <row r="491" spans="1:21" hidden="1">
      <c r="A491" s="45"/>
      <c r="B491" s="2505">
        <f t="shared" si="26"/>
        <v>1</v>
      </c>
      <c r="C491" s="2506">
        <f t="shared" si="26"/>
        <v>0</v>
      </c>
      <c r="D491" s="2506"/>
      <c r="E491" s="1773"/>
      <c r="F491" s="1773"/>
      <c r="G491" s="1773"/>
      <c r="H491" s="1773"/>
      <c r="I491" s="2514"/>
      <c r="J491" s="2514"/>
      <c r="K491" s="2514"/>
      <c r="L491" s="2514"/>
      <c r="M491" s="2514"/>
      <c r="N491" s="2514"/>
      <c r="O491" s="2514"/>
      <c r="P491" s="2514"/>
      <c r="Q491" s="2514"/>
      <c r="R491" s="2514"/>
      <c r="S491" s="2514"/>
      <c r="T491" s="2514"/>
      <c r="U491" s="2508"/>
    </row>
    <row r="492" spans="1:21" hidden="1">
      <c r="A492" s="45"/>
      <c r="B492" s="2505">
        <f t="shared" si="26"/>
        <v>1.1000000000000001</v>
      </c>
      <c r="C492" s="2506">
        <f t="shared" si="26"/>
        <v>0</v>
      </c>
      <c r="D492" s="2506"/>
      <c r="E492" s="1773"/>
      <c r="F492" s="1773"/>
      <c r="G492" s="1773"/>
      <c r="H492" s="1773"/>
      <c r="I492" s="2514"/>
      <c r="J492" s="2514"/>
      <c r="K492" s="2514"/>
      <c r="L492" s="2514"/>
      <c r="M492" s="2514"/>
      <c r="N492" s="2514"/>
      <c r="O492" s="2514"/>
      <c r="P492" s="2514"/>
      <c r="Q492" s="2514"/>
      <c r="R492" s="2514"/>
      <c r="S492" s="2514"/>
      <c r="T492" s="2514"/>
      <c r="U492" s="2508"/>
    </row>
    <row r="493" spans="1:21" hidden="1">
      <c r="A493" s="45"/>
      <c r="B493" s="2505">
        <f t="shared" si="26"/>
        <v>2</v>
      </c>
      <c r="C493" s="2506" t="str">
        <f t="shared" si="26"/>
        <v>まちなみ・景観への配慮</v>
      </c>
      <c r="D493" s="2506"/>
      <c r="E493" s="1773"/>
      <c r="F493" s="1773"/>
      <c r="G493" s="1773"/>
      <c r="H493" s="1773"/>
      <c r="I493" s="2514"/>
      <c r="J493" s="2514"/>
      <c r="K493" s="2514"/>
      <c r="L493" s="2514"/>
      <c r="M493" s="2514"/>
      <c r="N493" s="2514"/>
      <c r="O493" s="2514"/>
      <c r="P493" s="2514"/>
      <c r="Q493" s="2514"/>
      <c r="R493" s="2514"/>
      <c r="S493" s="2514"/>
      <c r="T493" s="2514"/>
      <c r="U493" s="2508"/>
    </row>
    <row r="494" spans="1:21" hidden="1">
      <c r="A494" s="45"/>
      <c r="B494" s="2505">
        <f t="shared" si="26"/>
        <v>3</v>
      </c>
      <c r="C494" s="2506" t="str">
        <f t="shared" si="26"/>
        <v>地域性・アメニティへの配慮</v>
      </c>
      <c r="D494" s="2506"/>
      <c r="E494" s="1773"/>
      <c r="F494" s="1773"/>
      <c r="G494" s="1773"/>
      <c r="H494" s="1773"/>
      <c r="I494" s="2514"/>
      <c r="J494" s="2514"/>
      <c r="K494" s="2514"/>
      <c r="L494" s="2514"/>
      <c r="M494" s="2514"/>
      <c r="N494" s="2514"/>
      <c r="O494" s="2514"/>
      <c r="P494" s="2514"/>
      <c r="Q494" s="2514"/>
      <c r="R494" s="2514"/>
      <c r="S494" s="2514"/>
      <c r="T494" s="2514"/>
      <c r="U494" s="2508"/>
    </row>
    <row r="495" spans="1:21" hidden="1">
      <c r="A495" s="45"/>
      <c r="B495" s="2505" t="str">
        <f t="shared" si="26"/>
        <v>3.1</v>
      </c>
      <c r="C495" s="2506" t="str">
        <f t="shared" si="26"/>
        <v>地域性への配慮、快適性の向上</v>
      </c>
      <c r="D495" s="2506"/>
      <c r="E495" s="1773"/>
      <c r="F495" s="1773"/>
      <c r="G495" s="1773"/>
      <c r="H495" s="1773"/>
      <c r="I495" s="2514"/>
      <c r="J495" s="2514"/>
      <c r="K495" s="2514"/>
      <c r="L495" s="2514"/>
      <c r="M495" s="2514"/>
      <c r="N495" s="2514"/>
      <c r="O495" s="2514"/>
      <c r="P495" s="2514"/>
      <c r="Q495" s="2514"/>
      <c r="R495" s="2514"/>
      <c r="S495" s="2514"/>
      <c r="T495" s="2514"/>
      <c r="U495" s="2508"/>
    </row>
    <row r="496" spans="1:21">
      <c r="A496" s="45"/>
      <c r="B496" s="2505" t="str">
        <f t="shared" si="26"/>
        <v>3.2</v>
      </c>
      <c r="C496" s="2506" t="str">
        <f t="shared" si="26"/>
        <v>敷地内温熱環境の向上</v>
      </c>
      <c r="D496" s="2506"/>
      <c r="E496" s="1773"/>
      <c r="F496" s="1773"/>
      <c r="G496" s="1773"/>
      <c r="H496" s="1773"/>
      <c r="I496" s="2525" t="s">
        <v>2925</v>
      </c>
      <c r="J496" s="2538">
        <f>採点Q3!H107</f>
        <v>0.74</v>
      </c>
      <c r="K496" s="2525"/>
      <c r="L496" s="2525"/>
      <c r="M496" s="2529" t="s">
        <v>2926</v>
      </c>
      <c r="N496" s="2538">
        <f>採点Q3!H109</f>
        <v>0.44</v>
      </c>
      <c r="O496" s="2525"/>
      <c r="P496" s="2529" t="s">
        <v>3100</v>
      </c>
      <c r="Q496" s="2538">
        <f>採点Q3!H110</f>
        <v>0.39</v>
      </c>
      <c r="R496" s="2525"/>
      <c r="S496" s="2525" t="s">
        <v>2928</v>
      </c>
      <c r="T496" s="2538">
        <f>採点Q3!H111</f>
        <v>1.03</v>
      </c>
      <c r="U496" s="2508"/>
    </row>
    <row r="497" spans="1:21" hidden="1">
      <c r="A497" s="45"/>
      <c r="B497" s="2505">
        <f t="shared" si="26"/>
        <v>0</v>
      </c>
      <c r="C497" s="2506">
        <f t="shared" si="26"/>
        <v>0</v>
      </c>
      <c r="D497" s="2506"/>
      <c r="E497" s="1773"/>
      <c r="F497" s="1773"/>
      <c r="G497" s="1773"/>
      <c r="H497" s="1773"/>
      <c r="I497" s="2514"/>
      <c r="J497" s="2514"/>
      <c r="K497" s="2514"/>
      <c r="L497" s="2514"/>
      <c r="M497" s="2514"/>
      <c r="N497" s="2514"/>
      <c r="O497" s="2514"/>
      <c r="P497" s="2514"/>
      <c r="Q497" s="2514"/>
      <c r="R497" s="2514"/>
      <c r="S497" s="2514"/>
      <c r="T497" s="2514"/>
      <c r="U497" s="2508"/>
    </row>
    <row r="498" spans="1:21" hidden="1">
      <c r="A498" s="45"/>
      <c r="B498" s="2505" t="str">
        <f t="shared" si="26"/>
        <v>LR</v>
      </c>
      <c r="C498" s="2506" t="str">
        <f t="shared" si="26"/>
        <v>建築物の環境負荷低減性</v>
      </c>
      <c r="D498" s="2506"/>
      <c r="E498" s="1773"/>
      <c r="F498" s="1773"/>
      <c r="G498" s="1773"/>
      <c r="H498" s="1773"/>
      <c r="I498" s="2514"/>
      <c r="J498" s="2514"/>
      <c r="K498" s="2514"/>
      <c r="L498" s="2514"/>
      <c r="M498" s="2514"/>
      <c r="N498" s="2514"/>
      <c r="O498" s="2514"/>
      <c r="P498" s="2514"/>
      <c r="Q498" s="2514"/>
      <c r="R498" s="2514"/>
      <c r="S498" s="2514"/>
      <c r="T498" s="2514"/>
      <c r="U498" s="2508"/>
    </row>
    <row r="499" spans="1:21">
      <c r="A499" s="45"/>
      <c r="B499" s="2523" t="str">
        <f t="shared" si="26"/>
        <v>LR1</v>
      </c>
      <c r="C499" s="2524" t="str">
        <f t="shared" si="26"/>
        <v>エネルギー</v>
      </c>
      <c r="D499" s="2506"/>
      <c r="E499" s="1773"/>
      <c r="F499" s="1773"/>
      <c r="G499" s="1773"/>
      <c r="H499" s="1773"/>
      <c r="I499" s="2514"/>
      <c r="J499" s="2514"/>
      <c r="K499" s="2514"/>
      <c r="L499" s="2514"/>
      <c r="M499" s="2514"/>
      <c r="N499" s="2514"/>
      <c r="O499" s="2514"/>
      <c r="P499" s="2514"/>
      <c r="Q499" s="2514"/>
      <c r="R499" s="2514"/>
      <c r="S499" s="2514"/>
      <c r="T499" s="2514"/>
      <c r="U499" s="2508"/>
    </row>
    <row r="500" spans="1:21">
      <c r="A500" s="45"/>
      <c r="B500" s="2505">
        <f t="shared" si="26"/>
        <v>1</v>
      </c>
      <c r="C500" s="2506" t="str">
        <f t="shared" si="26"/>
        <v>建物外皮の熱負荷抑制</v>
      </c>
      <c r="D500" s="2506"/>
      <c r="E500" s="1773"/>
      <c r="F500" s="1773"/>
      <c r="G500" s="1773"/>
      <c r="H500" s="1773"/>
      <c r="I500" s="2525" t="s">
        <v>2929</v>
      </c>
      <c r="J500" s="2525"/>
      <c r="K500" s="2539">
        <f>計画書!H6</f>
        <v>0.7</v>
      </c>
      <c r="L500" s="2525"/>
      <c r="M500" s="2529" t="s">
        <v>3299</v>
      </c>
      <c r="N500" s="2529"/>
      <c r="O500" s="2540" t="str">
        <f>計画書!H9</f>
        <v>等級4</v>
      </c>
      <c r="P500" s="2528" t="s">
        <v>3298</v>
      </c>
      <c r="Q500" s="2525"/>
      <c r="R500" s="2525"/>
      <c r="S500" s="2529"/>
      <c r="T500" s="2525"/>
      <c r="U500" s="2508"/>
    </row>
    <row r="501" spans="1:21">
      <c r="A501" s="45"/>
      <c r="B501" s="2505">
        <f t="shared" si="26"/>
        <v>2</v>
      </c>
      <c r="C501" s="2506" t="str">
        <f t="shared" si="26"/>
        <v>自然エネルギー利用</v>
      </c>
      <c r="D501" s="2506"/>
      <c r="E501" s="1773"/>
      <c r="F501" s="1773"/>
      <c r="G501" s="1773"/>
      <c r="H501" s="1773"/>
      <c r="I501" s="2525" t="s">
        <v>3122</v>
      </c>
      <c r="J501" s="2525"/>
      <c r="K501" s="2525"/>
      <c r="L501" s="2525">
        <f>'採点LR1 '!H41</f>
        <v>0</v>
      </c>
      <c r="M501" s="2525" t="s">
        <v>3101</v>
      </c>
      <c r="N501" s="2525"/>
      <c r="O501" s="2525"/>
      <c r="P501" s="2529" t="s">
        <v>3112</v>
      </c>
      <c r="Q501" s="2525">
        <f>'採点LR1 '!L41</f>
        <v>0.8</v>
      </c>
      <c r="R501" s="2525"/>
      <c r="S501" s="2529" t="s">
        <v>2930</v>
      </c>
      <c r="T501" s="2525">
        <f>'採点LR1 '!O41</f>
        <v>0.8</v>
      </c>
      <c r="U501" s="2508"/>
    </row>
    <row r="502" spans="1:21">
      <c r="A502" s="45"/>
      <c r="B502" s="2505"/>
      <c r="C502" s="2506"/>
      <c r="D502" s="2506"/>
      <c r="E502" s="1773"/>
      <c r="F502" s="1773"/>
      <c r="G502" s="1773"/>
      <c r="H502" s="1773"/>
      <c r="I502" s="2514"/>
      <c r="J502" s="2514"/>
      <c r="K502" s="2514"/>
      <c r="L502" s="2514"/>
      <c r="M502" s="2514"/>
      <c r="N502" s="2514"/>
      <c r="O502" s="2525"/>
      <c r="P502" s="2529" t="s">
        <v>3120</v>
      </c>
      <c r="Q502" s="2525">
        <f>'採点LR1 '!L42</f>
        <v>0.8</v>
      </c>
      <c r="R502" s="2525"/>
      <c r="S502" s="2529" t="s">
        <v>3121</v>
      </c>
      <c r="T502" s="2525">
        <f>'採点LR1 '!O42</f>
        <v>0.8</v>
      </c>
      <c r="U502" s="2508"/>
    </row>
    <row r="503" spans="1:21" hidden="1">
      <c r="A503" s="45"/>
      <c r="B503" s="2505">
        <f t="shared" ref="B503:C522" si="27">B315</f>
        <v>0</v>
      </c>
      <c r="C503" s="2506">
        <f t="shared" si="27"/>
        <v>0</v>
      </c>
      <c r="D503" s="2506"/>
      <c r="E503" s="1773"/>
      <c r="F503" s="1773"/>
      <c r="G503" s="1773"/>
      <c r="H503" s="1773"/>
      <c r="I503" s="2514"/>
      <c r="J503" s="2514"/>
      <c r="K503" s="2514"/>
      <c r="L503" s="2514"/>
      <c r="M503" s="2514"/>
      <c r="N503" s="2514"/>
      <c r="O503" s="2514"/>
      <c r="P503" s="2514"/>
      <c r="Q503" s="2514"/>
      <c r="R503" s="2514"/>
      <c r="S503" s="2514"/>
      <c r="T503" s="2514"/>
      <c r="U503" s="2508"/>
    </row>
    <row r="504" spans="1:21" hidden="1">
      <c r="A504" s="45"/>
      <c r="B504" s="2505" t="str">
        <f t="shared" si="27"/>
        <v>2.1</v>
      </c>
      <c r="C504" s="2506">
        <f t="shared" si="27"/>
        <v>0</v>
      </c>
      <c r="D504" s="2506"/>
      <c r="E504" s="1773"/>
      <c r="F504" s="1773"/>
      <c r="G504" s="1773"/>
      <c r="H504" s="1773"/>
      <c r="I504" s="2514"/>
      <c r="J504" s="2514"/>
      <c r="K504" s="2514"/>
      <c r="L504" s="2514"/>
      <c r="M504" s="2514"/>
      <c r="N504" s="2514"/>
      <c r="O504" s="2514"/>
      <c r="P504" s="2514"/>
      <c r="Q504" s="2514"/>
      <c r="R504" s="2514"/>
      <c r="S504" s="2514"/>
      <c r="T504" s="2514"/>
      <c r="U504" s="2508"/>
    </row>
    <row r="505" spans="1:21" hidden="1">
      <c r="A505" s="45"/>
      <c r="B505" s="2505" t="str">
        <f t="shared" si="27"/>
        <v>2.2</v>
      </c>
      <c r="C505" s="2506">
        <f t="shared" si="27"/>
        <v>0</v>
      </c>
      <c r="D505" s="2506"/>
      <c r="E505" s="1773"/>
      <c r="F505" s="1773"/>
      <c r="G505" s="1773"/>
      <c r="H505" s="1773"/>
      <c r="I505" s="2514"/>
      <c r="J505" s="2514"/>
      <c r="K505" s="2514"/>
      <c r="L505" s="2514"/>
      <c r="M505" s="2514"/>
      <c r="N505" s="2514"/>
      <c r="O505" s="2514"/>
      <c r="P505" s="2514"/>
      <c r="Q505" s="2514"/>
      <c r="R505" s="2514"/>
      <c r="S505" s="2514"/>
      <c r="T505" s="2514"/>
      <c r="U505" s="2508"/>
    </row>
    <row r="506" spans="1:21">
      <c r="A506" s="45"/>
      <c r="B506" s="2505">
        <f t="shared" si="27"/>
        <v>3</v>
      </c>
      <c r="C506" s="2506" t="str">
        <f t="shared" si="27"/>
        <v>設備システムの高効率化</v>
      </c>
      <c r="D506" s="2506"/>
      <c r="E506" s="1773"/>
      <c r="F506" s="1773"/>
      <c r="G506" s="1773"/>
      <c r="H506" s="1773"/>
      <c r="I506" s="2525"/>
      <c r="J506" s="2525"/>
      <c r="K506" s="2525"/>
      <c r="L506" s="2525"/>
      <c r="M506" s="2525"/>
      <c r="N506" s="2525"/>
      <c r="O506" s="2529" t="s">
        <v>3309</v>
      </c>
      <c r="P506" s="3181" t="e">
        <f>[1]採点LR1!I85</f>
        <v>#REF!</v>
      </c>
      <c r="Q506" s="2529" t="s">
        <v>3310</v>
      </c>
      <c r="R506" s="3181" t="e">
        <f>[1]採点LR1!K85</f>
        <v>#REF!</v>
      </c>
      <c r="S506" s="2529" t="s">
        <v>2931</v>
      </c>
      <c r="T506" s="3181" t="e">
        <f>[1]採点LR1!M85</f>
        <v>#REF!</v>
      </c>
      <c r="U506" s="2508"/>
    </row>
    <row r="507" spans="1:21">
      <c r="A507" s="45"/>
      <c r="B507" s="2505" t="str">
        <f t="shared" si="27"/>
        <v>3a.3b</v>
      </c>
      <c r="C507" s="2506" t="str">
        <f t="shared" si="27"/>
        <v>非住宅部分</v>
      </c>
      <c r="D507" s="2506"/>
      <c r="E507" s="1773"/>
      <c r="F507" s="1773"/>
      <c r="G507" s="1773"/>
      <c r="H507" s="1773"/>
      <c r="I507" s="3182" t="s">
        <v>4261</v>
      </c>
      <c r="J507" s="3182"/>
      <c r="K507" s="3182" t="s">
        <v>4262</v>
      </c>
      <c r="L507" s="3183">
        <f>計画書!G21</f>
        <v>0.8</v>
      </c>
      <c r="M507" s="3184" t="s">
        <v>4263</v>
      </c>
      <c r="N507" s="3183">
        <f>計画書!G20</f>
        <v>0.85</v>
      </c>
      <c r="O507" s="3182"/>
      <c r="P507" s="3184" t="s">
        <v>4264</v>
      </c>
      <c r="Q507" s="3183">
        <f>計画書!G22</f>
        <v>0</v>
      </c>
      <c r="R507" s="3183">
        <f>計画書!H26</f>
        <v>0</v>
      </c>
      <c r="S507" s="3182"/>
      <c r="T507" s="3182"/>
      <c r="U507" s="2508"/>
    </row>
    <row r="508" spans="1:21">
      <c r="A508" s="45"/>
      <c r="B508" s="2505" t="str">
        <f t="shared" si="27"/>
        <v>3b.c</v>
      </c>
      <c r="C508" s="2506" t="str">
        <f t="shared" si="27"/>
        <v>集合住宅の評価</v>
      </c>
      <c r="D508" s="2506"/>
      <c r="E508" s="1773"/>
      <c r="F508" s="1773"/>
      <c r="G508" s="1773"/>
      <c r="H508" s="1773"/>
      <c r="I508" s="3185" t="s">
        <v>4265</v>
      </c>
      <c r="J508" s="3185"/>
      <c r="K508" s="3185" t="s">
        <v>4262</v>
      </c>
      <c r="L508" s="3186" t="str">
        <f>IF(計画書!H21="","",(1-計画書!H21))</f>
        <v/>
      </c>
      <c r="M508" s="3187" t="s">
        <v>4263</v>
      </c>
      <c r="N508" s="3186" t="str">
        <f>IF(計画書!H20="","",(1-計画書!H20))</f>
        <v/>
      </c>
      <c r="O508" s="3188"/>
      <c r="P508" s="3188" t="str">
        <f>IF(計画書!H31=計画書!S30,"",計画書!G31)</f>
        <v>仕様基準で評価する　</v>
      </c>
      <c r="Q508" s="3185"/>
      <c r="R508" s="3183">
        <f>計画書!H30</f>
        <v>0</v>
      </c>
      <c r="S508" s="3185"/>
      <c r="T508" s="3185"/>
      <c r="U508" s="2508"/>
    </row>
    <row r="509" spans="1:21" hidden="1">
      <c r="A509" s="45"/>
      <c r="B509" s="2505">
        <f t="shared" si="27"/>
        <v>3.1</v>
      </c>
      <c r="C509" s="2506" t="str">
        <f t="shared" si="27"/>
        <v>空調設備</v>
      </c>
      <c r="D509" s="2506"/>
      <c r="E509" s="1773"/>
      <c r="F509" s="1773"/>
      <c r="G509" s="1773"/>
      <c r="H509" s="1773"/>
      <c r="I509" s="2514"/>
      <c r="J509" s="2514"/>
      <c r="K509" s="2514"/>
      <c r="L509" s="2514"/>
      <c r="M509" s="2514"/>
      <c r="N509" s="2514"/>
      <c r="O509" s="2514"/>
      <c r="P509" s="2514"/>
      <c r="Q509" s="2514"/>
      <c r="R509" s="2514"/>
      <c r="S509" s="2514"/>
      <c r="T509" s="2514"/>
      <c r="U509" s="2508"/>
    </row>
    <row r="510" spans="1:21" hidden="1">
      <c r="A510" s="45"/>
      <c r="B510" s="2505">
        <f t="shared" si="27"/>
        <v>3.2</v>
      </c>
      <c r="C510" s="2506" t="str">
        <f t="shared" si="27"/>
        <v>換気設備</v>
      </c>
      <c r="D510" s="2506"/>
      <c r="E510" s="1773"/>
      <c r="F510" s="1773"/>
      <c r="G510" s="1773"/>
      <c r="H510" s="1773"/>
      <c r="I510" s="2514"/>
      <c r="J510" s="2514"/>
      <c r="K510" s="2514"/>
      <c r="L510" s="2514"/>
      <c r="M510" s="2514"/>
      <c r="N510" s="2514"/>
      <c r="O510" s="2514"/>
      <c r="P510" s="2514"/>
      <c r="Q510" s="2514"/>
      <c r="R510" s="2514"/>
      <c r="S510" s="2514"/>
      <c r="T510" s="2514"/>
      <c r="U510" s="2508"/>
    </row>
    <row r="511" spans="1:21" hidden="1">
      <c r="A511" s="45"/>
      <c r="B511" s="2505">
        <f t="shared" si="27"/>
        <v>3.3</v>
      </c>
      <c r="C511" s="2506" t="str">
        <f t="shared" si="27"/>
        <v>照明設備</v>
      </c>
      <c r="D511" s="2506"/>
      <c r="E511" s="1773"/>
      <c r="F511" s="1773"/>
      <c r="G511" s="1773"/>
      <c r="H511" s="1773"/>
      <c r="I511" s="2514"/>
      <c r="J511" s="2514"/>
      <c r="K511" s="2514"/>
      <c r="L511" s="2514"/>
      <c r="M511" s="2514"/>
      <c r="N511" s="2514"/>
      <c r="O511" s="2514"/>
      <c r="P511" s="2514"/>
      <c r="Q511" s="2514"/>
      <c r="R511" s="2514"/>
      <c r="S511" s="2514"/>
      <c r="T511" s="2514"/>
      <c r="U511" s="2508"/>
    </row>
    <row r="512" spans="1:21" hidden="1">
      <c r="A512" s="45"/>
      <c r="B512" s="2505">
        <f t="shared" si="27"/>
        <v>3.4</v>
      </c>
      <c r="C512" s="2506" t="str">
        <f t="shared" si="27"/>
        <v>給湯設備</v>
      </c>
      <c r="D512" s="2506"/>
      <c r="E512" s="1773"/>
      <c r="F512" s="1773"/>
      <c r="G512" s="1773"/>
      <c r="H512" s="1773"/>
      <c r="I512" s="2514"/>
      <c r="J512" s="2514"/>
      <c r="K512" s="2514"/>
      <c r="L512" s="2514"/>
      <c r="M512" s="2514"/>
      <c r="N512" s="2514"/>
      <c r="O512" s="2514"/>
      <c r="P512" s="2514"/>
      <c r="Q512" s="2514"/>
      <c r="R512" s="2514"/>
      <c r="S512" s="2514"/>
      <c r="T512" s="2514"/>
      <c r="U512" s="2508"/>
    </row>
    <row r="513" spans="1:21" hidden="1">
      <c r="A513" s="45"/>
      <c r="B513" s="2505">
        <f t="shared" si="27"/>
        <v>3.5</v>
      </c>
      <c r="C513" s="2506" t="str">
        <f t="shared" si="27"/>
        <v>昇降機設備</v>
      </c>
      <c r="D513" s="2506"/>
      <c r="E513" s="1773"/>
      <c r="F513" s="1773"/>
      <c r="G513" s="1773"/>
      <c r="H513" s="1773"/>
      <c r="I513" s="2514"/>
      <c r="J513" s="2514"/>
      <c r="K513" s="2514"/>
      <c r="L513" s="2514"/>
      <c r="M513" s="2525">
        <f>'採点LR1 '!H53</f>
        <v>0</v>
      </c>
      <c r="N513" s="2514"/>
      <c r="O513" s="2514"/>
      <c r="P513" s="2514"/>
      <c r="Q513" s="2514"/>
      <c r="R513" s="2514"/>
      <c r="S513" s="2514"/>
      <c r="T513" s="2514"/>
      <c r="U513" s="2508"/>
    </row>
    <row r="514" spans="1:21" hidden="1">
      <c r="A514" s="45"/>
      <c r="B514" s="2505">
        <f t="shared" si="27"/>
        <v>0</v>
      </c>
      <c r="C514" s="2506">
        <f t="shared" si="27"/>
        <v>0</v>
      </c>
      <c r="D514" s="2506"/>
      <c r="E514" s="1773"/>
      <c r="F514" s="1773"/>
      <c r="G514" s="1773"/>
      <c r="H514" s="1773"/>
      <c r="I514" s="2514"/>
      <c r="J514" s="2514"/>
      <c r="K514" s="2514"/>
      <c r="L514" s="2514"/>
      <c r="M514" s="2514"/>
      <c r="N514" s="2514"/>
      <c r="O514" s="2514"/>
      <c r="P514" s="2514"/>
      <c r="Q514" s="2514"/>
      <c r="R514" s="2514"/>
      <c r="S514" s="2514"/>
      <c r="T514" s="2514"/>
      <c r="U514" s="2508"/>
    </row>
    <row r="515" spans="1:21" hidden="1">
      <c r="A515" s="45"/>
      <c r="B515" s="2505">
        <f t="shared" si="27"/>
        <v>4</v>
      </c>
      <c r="C515" s="2506" t="str">
        <f t="shared" si="27"/>
        <v>効率的運用</v>
      </c>
      <c r="D515" s="2506"/>
      <c r="E515" s="1773"/>
      <c r="F515" s="1773"/>
      <c r="G515" s="1773"/>
      <c r="H515" s="1773"/>
      <c r="I515" s="2514"/>
      <c r="J515" s="2514"/>
      <c r="K515" s="2514"/>
      <c r="L515" s="2514"/>
      <c r="M515" s="2514"/>
      <c r="N515" s="2514"/>
      <c r="O515" s="2514"/>
      <c r="P515" s="2514"/>
      <c r="Q515" s="2514"/>
      <c r="R515" s="2514"/>
      <c r="S515" s="2514"/>
      <c r="T515" s="2514"/>
      <c r="U515" s="2508"/>
    </row>
    <row r="516" spans="1:21" hidden="1">
      <c r="A516" s="45"/>
      <c r="B516" s="2505">
        <f t="shared" si="27"/>
        <v>4.0999999999999996</v>
      </c>
      <c r="C516" s="2506" t="str">
        <f t="shared" si="27"/>
        <v>住宅以外の評価</v>
      </c>
      <c r="D516" s="2506"/>
      <c r="E516" s="1773"/>
      <c r="F516" s="1773"/>
      <c r="G516" s="1773"/>
      <c r="H516" s="1773"/>
      <c r="I516" s="2514"/>
      <c r="J516" s="2514"/>
      <c r="K516" s="2514"/>
      <c r="L516" s="2514"/>
      <c r="M516" s="2514"/>
      <c r="N516" s="2514"/>
      <c r="O516" s="2514"/>
      <c r="P516" s="2514"/>
      <c r="Q516" s="2514"/>
      <c r="R516" s="2514"/>
      <c r="S516" s="2514"/>
      <c r="T516" s="2514"/>
      <c r="U516" s="2508"/>
    </row>
    <row r="517" spans="1:21" hidden="1">
      <c r="A517" s="45"/>
      <c r="B517" s="2505" t="str">
        <f t="shared" si="27"/>
        <v>4.1.1</v>
      </c>
      <c r="C517" s="2506" t="str">
        <f t="shared" si="27"/>
        <v>モニタリング</v>
      </c>
      <c r="D517" s="2506"/>
      <c r="E517" s="1773"/>
      <c r="F517" s="1773"/>
      <c r="G517" s="1773"/>
      <c r="H517" s="1773"/>
      <c r="I517" s="2514"/>
      <c r="J517" s="2514"/>
      <c r="K517" s="2514"/>
      <c r="L517" s="2514"/>
      <c r="M517" s="2514"/>
      <c r="N517" s="2514"/>
      <c r="O517" s="2514"/>
      <c r="P517" s="2514"/>
      <c r="Q517" s="2514"/>
      <c r="R517" s="2514"/>
      <c r="S517" s="2514"/>
      <c r="T517" s="2514"/>
      <c r="U517" s="2508"/>
    </row>
    <row r="518" spans="1:21" hidden="1">
      <c r="A518" s="45"/>
      <c r="B518" s="2505" t="str">
        <f t="shared" si="27"/>
        <v>4.1.2</v>
      </c>
      <c r="C518" s="2506" t="str">
        <f t="shared" si="27"/>
        <v>運用管理体制</v>
      </c>
      <c r="D518" s="2506"/>
      <c r="E518" s="1773"/>
      <c r="F518" s="1773"/>
      <c r="G518" s="1773"/>
      <c r="H518" s="1773"/>
      <c r="I518" s="2514"/>
      <c r="J518" s="2514"/>
      <c r="K518" s="2514"/>
      <c r="L518" s="2514"/>
      <c r="M518" s="2514"/>
      <c r="N518" s="2514"/>
      <c r="O518" s="2514"/>
      <c r="P518" s="2514"/>
      <c r="Q518" s="2514"/>
      <c r="R518" s="2514"/>
      <c r="S518" s="2514"/>
      <c r="T518" s="2514"/>
      <c r="U518" s="2508"/>
    </row>
    <row r="519" spans="1:21" hidden="1">
      <c r="A519" s="45"/>
      <c r="B519" s="2505">
        <f t="shared" si="27"/>
        <v>4.2</v>
      </c>
      <c r="C519" s="2506" t="str">
        <f t="shared" si="27"/>
        <v>住宅の評価</v>
      </c>
      <c r="D519" s="2506"/>
      <c r="E519" s="1773"/>
      <c r="F519" s="1773"/>
      <c r="G519" s="1773"/>
      <c r="H519" s="1773"/>
      <c r="I519" s="2514"/>
      <c r="J519" s="2514"/>
      <c r="K519" s="2514"/>
      <c r="L519" s="2514"/>
      <c r="M519" s="2514"/>
      <c r="N519" s="2514"/>
      <c r="O519" s="2514"/>
      <c r="P519" s="2514"/>
      <c r="Q519" s="2514"/>
      <c r="R519" s="2514"/>
      <c r="S519" s="2514"/>
      <c r="T519" s="2514"/>
      <c r="U519" s="2508"/>
    </row>
    <row r="520" spans="1:21" hidden="1">
      <c r="A520" s="45"/>
      <c r="B520" s="2505" t="str">
        <f t="shared" si="27"/>
        <v>4.2.1</v>
      </c>
      <c r="C520" s="2506" t="str">
        <f t="shared" si="27"/>
        <v>モニタリング</v>
      </c>
      <c r="D520" s="2506"/>
      <c r="E520" s="1773"/>
      <c r="F520" s="1773"/>
      <c r="G520" s="1773"/>
      <c r="H520" s="1773"/>
      <c r="I520" s="2514"/>
      <c r="J520" s="2514"/>
      <c r="K520" s="2514"/>
      <c r="L520" s="2514"/>
      <c r="M520" s="2514"/>
      <c r="N520" s="2514"/>
      <c r="O520" s="2514"/>
      <c r="P520" s="2514"/>
      <c r="Q520" s="2514"/>
      <c r="R520" s="2514"/>
      <c r="S520" s="2514"/>
      <c r="T520" s="2514"/>
      <c r="U520" s="2508"/>
    </row>
    <row r="521" spans="1:21" hidden="1">
      <c r="A521" s="45"/>
      <c r="B521" s="2505" t="str">
        <f t="shared" si="27"/>
        <v>4.2.2</v>
      </c>
      <c r="C521" s="2506" t="str">
        <f t="shared" si="27"/>
        <v>運用管理体制</v>
      </c>
      <c r="D521" s="2506"/>
      <c r="E521" s="1773"/>
      <c r="F521" s="1773"/>
      <c r="G521" s="1773"/>
      <c r="H521" s="1773"/>
      <c r="I521" s="2514"/>
      <c r="J521" s="2514"/>
      <c r="K521" s="2514"/>
      <c r="L521" s="2514"/>
      <c r="M521" s="2514"/>
      <c r="N521" s="2514"/>
      <c r="O521" s="2514"/>
      <c r="P521" s="2514"/>
      <c r="Q521" s="2514"/>
      <c r="R521" s="2514"/>
      <c r="S521" s="2514"/>
      <c r="T521" s="2514"/>
      <c r="U521" s="2508"/>
    </row>
    <row r="522" spans="1:21">
      <c r="A522" s="45"/>
      <c r="B522" s="2523" t="str">
        <f t="shared" si="27"/>
        <v>LR2</v>
      </c>
      <c r="C522" s="2524" t="str">
        <f t="shared" si="27"/>
        <v>資源・マテリアル</v>
      </c>
      <c r="D522" s="2506"/>
      <c r="E522" s="1773"/>
      <c r="F522" s="1773"/>
      <c r="G522" s="1773"/>
      <c r="H522" s="1773"/>
      <c r="I522" s="2514"/>
      <c r="J522" s="2514"/>
      <c r="K522" s="2514"/>
      <c r="L522" s="2514"/>
      <c r="M522" s="2514"/>
      <c r="N522" s="2514"/>
      <c r="O522" s="2514"/>
      <c r="P522" s="2514"/>
      <c r="Q522" s="2514"/>
      <c r="R522" s="2514"/>
      <c r="S522" s="2514"/>
      <c r="T522" s="2514"/>
      <c r="U522" s="2508"/>
    </row>
    <row r="523" spans="1:21" hidden="1">
      <c r="A523" s="45"/>
      <c r="B523" s="2505">
        <f t="shared" ref="B523:C542" si="28">B335</f>
        <v>1</v>
      </c>
      <c r="C523" s="2506" t="str">
        <f t="shared" si="28"/>
        <v>水資源保護</v>
      </c>
      <c r="D523" s="2506"/>
      <c r="E523" s="1773"/>
      <c r="F523" s="1773"/>
      <c r="G523" s="1773"/>
      <c r="H523" s="1773"/>
      <c r="I523" s="2514"/>
      <c r="J523" s="2514"/>
      <c r="K523" s="2514"/>
      <c r="L523" s="2514"/>
      <c r="M523" s="2514"/>
      <c r="N523" s="2514"/>
      <c r="O523" s="2514"/>
      <c r="P523" s="2514"/>
      <c r="Q523" s="2514"/>
      <c r="R523" s="2514"/>
      <c r="S523" s="2514"/>
      <c r="T523" s="2514"/>
      <c r="U523" s="2508"/>
    </row>
    <row r="524" spans="1:21" hidden="1">
      <c r="A524" s="45"/>
      <c r="B524" s="2505">
        <f t="shared" si="28"/>
        <v>1.1000000000000001</v>
      </c>
      <c r="C524" s="2506" t="str">
        <f t="shared" si="28"/>
        <v>節水</v>
      </c>
      <c r="D524" s="2506"/>
      <c r="E524" s="1773"/>
      <c r="F524" s="1773"/>
      <c r="G524" s="1773"/>
      <c r="H524" s="1773"/>
      <c r="I524" s="2514"/>
      <c r="J524" s="2514"/>
      <c r="K524" s="2514"/>
      <c r="L524" s="2514"/>
      <c r="M524" s="2514"/>
      <c r="N524" s="2514"/>
      <c r="O524" s="2514"/>
      <c r="P524" s="2514"/>
      <c r="Q524" s="2514"/>
      <c r="R524" s="2514"/>
      <c r="S524" s="2514"/>
      <c r="T524" s="2514"/>
      <c r="U524" s="2508"/>
    </row>
    <row r="525" spans="1:21" hidden="1">
      <c r="A525" s="45"/>
      <c r="B525" s="2505">
        <f t="shared" si="28"/>
        <v>1.2</v>
      </c>
      <c r="C525" s="2506" t="str">
        <f t="shared" si="28"/>
        <v>雨水利用・雑排水再利用</v>
      </c>
      <c r="D525" s="2506"/>
      <c r="E525" s="1773"/>
      <c r="F525" s="1773"/>
      <c r="G525" s="1773"/>
      <c r="H525" s="1773"/>
      <c r="I525" s="2514"/>
      <c r="J525" s="2514"/>
      <c r="K525" s="2514"/>
      <c r="L525" s="2514"/>
      <c r="M525" s="2514"/>
      <c r="N525" s="2514"/>
      <c r="O525" s="2514"/>
      <c r="P525" s="2514"/>
      <c r="Q525" s="2514"/>
      <c r="R525" s="2514"/>
      <c r="S525" s="2514"/>
      <c r="T525" s="2514"/>
      <c r="U525" s="2508"/>
    </row>
    <row r="526" spans="1:21">
      <c r="A526" s="45"/>
      <c r="B526" s="2505" t="str">
        <f t="shared" si="28"/>
        <v>1.2.1</v>
      </c>
      <c r="C526" s="2506" t="str">
        <f t="shared" si="28"/>
        <v>雨水利用システム導入の有無</v>
      </c>
      <c r="D526" s="2506"/>
      <c r="E526" s="1773"/>
      <c r="F526" s="1773"/>
      <c r="G526" s="1773"/>
      <c r="H526" s="1773"/>
      <c r="I526" s="2525" t="s">
        <v>2932</v>
      </c>
      <c r="J526" s="2525"/>
      <c r="K526" s="2532">
        <f>採点LR2!G32</f>
        <v>0</v>
      </c>
      <c r="L526" s="2514"/>
      <c r="M526" s="2514"/>
      <c r="N526" s="2514"/>
      <c r="O526" s="2514"/>
      <c r="P526" s="2514"/>
      <c r="Q526" s="2514"/>
      <c r="R526" s="2514"/>
      <c r="S526" s="2514"/>
      <c r="T526" s="2514"/>
      <c r="U526" s="2508"/>
    </row>
    <row r="527" spans="1:21" hidden="1">
      <c r="A527" s="45"/>
      <c r="B527" s="2505" t="str">
        <f t="shared" si="28"/>
        <v>1.2.2</v>
      </c>
      <c r="C527" s="2506" t="str">
        <f t="shared" si="28"/>
        <v>雑排水等再利用システム導入の有無</v>
      </c>
      <c r="D527" s="2506"/>
      <c r="E527" s="1773"/>
      <c r="F527" s="1773"/>
      <c r="G527" s="1773"/>
      <c r="H527" s="1773"/>
      <c r="I527" s="2541"/>
      <c r="J527" s="2541"/>
      <c r="K527" s="2514"/>
      <c r="L527" s="2514"/>
      <c r="M527" s="2514"/>
      <c r="N527" s="2514"/>
      <c r="O527" s="2514"/>
      <c r="P527" s="2514"/>
      <c r="Q527" s="2514"/>
      <c r="R527" s="2514"/>
      <c r="S527" s="2514"/>
      <c r="T527" s="2514"/>
      <c r="U527" s="2508"/>
    </row>
    <row r="528" spans="1:21" hidden="1">
      <c r="A528" s="45"/>
      <c r="B528" s="2505">
        <f t="shared" si="28"/>
        <v>2</v>
      </c>
      <c r="C528" s="2506" t="str">
        <f t="shared" si="28"/>
        <v>非再生性資源の使用量削減</v>
      </c>
      <c r="D528" s="2506"/>
      <c r="E528" s="1773"/>
      <c r="F528" s="1773"/>
      <c r="G528" s="1773"/>
      <c r="H528" s="1773"/>
      <c r="I528" s="2514"/>
      <c r="J528" s="2514"/>
      <c r="K528" s="2514"/>
      <c r="L528" s="2514"/>
      <c r="M528" s="2514"/>
      <c r="N528" s="2514"/>
      <c r="O528" s="2514"/>
      <c r="P528" s="2514"/>
      <c r="Q528" s="2514"/>
      <c r="R528" s="2514"/>
      <c r="S528" s="2514"/>
      <c r="T528" s="2514"/>
      <c r="U528" s="2508"/>
    </row>
    <row r="529" spans="1:21" hidden="1">
      <c r="A529" s="45"/>
      <c r="B529" s="2505" t="str">
        <f t="shared" si="28"/>
        <v>2.1</v>
      </c>
      <c r="C529" s="2506" t="str">
        <f t="shared" si="28"/>
        <v>材料使用量の削減</v>
      </c>
      <c r="D529" s="2506"/>
      <c r="E529" s="1773"/>
      <c r="F529" s="1773"/>
      <c r="G529" s="1773"/>
      <c r="H529" s="1773"/>
      <c r="I529" s="2514"/>
      <c r="J529" s="2514"/>
      <c r="K529" s="2514"/>
      <c r="L529" s="2514"/>
      <c r="M529" s="2514"/>
      <c r="N529" s="2514"/>
      <c r="O529" s="2514"/>
      <c r="P529" s="2514"/>
      <c r="Q529" s="2514"/>
      <c r="R529" s="2514"/>
      <c r="S529" s="2514"/>
      <c r="T529" s="2514"/>
      <c r="U529" s="2508"/>
    </row>
    <row r="530" spans="1:21" hidden="1">
      <c r="A530" s="45"/>
      <c r="B530" s="2505" t="str">
        <f t="shared" si="28"/>
        <v>2.2</v>
      </c>
      <c r="C530" s="2506" t="str">
        <f t="shared" si="28"/>
        <v>既存建築躯体等の継続使用</v>
      </c>
      <c r="D530" s="2506"/>
      <c r="E530" s="1773"/>
      <c r="F530" s="1773"/>
      <c r="G530" s="1773"/>
      <c r="H530" s="1773"/>
      <c r="I530" s="2514"/>
      <c r="J530" s="2514"/>
      <c r="K530" s="2514"/>
      <c r="L530" s="2514"/>
      <c r="M530" s="2514"/>
      <c r="N530" s="2514"/>
      <c r="O530" s="2514"/>
      <c r="P530" s="2514"/>
      <c r="Q530" s="2514"/>
      <c r="R530" s="2514"/>
      <c r="S530" s="2514"/>
      <c r="T530" s="2514"/>
      <c r="U530" s="2508"/>
    </row>
    <row r="531" spans="1:21" hidden="1">
      <c r="A531" s="45"/>
      <c r="B531" s="2505" t="str">
        <f t="shared" si="28"/>
        <v>2.3</v>
      </c>
      <c r="C531" s="2506" t="str">
        <f t="shared" si="28"/>
        <v>躯体材料におけるリサイクル材の使用</v>
      </c>
      <c r="D531" s="2506"/>
      <c r="E531" s="1773"/>
      <c r="F531" s="1773"/>
      <c r="G531" s="1773"/>
      <c r="H531" s="1773"/>
      <c r="I531" s="2514"/>
      <c r="J531" s="2514"/>
      <c r="K531" s="2514"/>
      <c r="L531" s="2514"/>
      <c r="M531" s="2514"/>
      <c r="N531" s="2514"/>
      <c r="O531" s="2514"/>
      <c r="P531" s="2514"/>
      <c r="Q531" s="2514"/>
      <c r="R531" s="2514"/>
      <c r="S531" s="2514"/>
      <c r="T531" s="2514"/>
      <c r="U531" s="2508"/>
    </row>
    <row r="532" spans="1:21">
      <c r="A532" s="45"/>
      <c r="B532" s="2505" t="str">
        <f t="shared" si="28"/>
        <v>2.4</v>
      </c>
      <c r="C532" s="2506" t="str">
        <f t="shared" si="28"/>
        <v>躯体材料以外におけるリサイクル材の使用</v>
      </c>
      <c r="D532" s="2506"/>
      <c r="E532" s="1773"/>
      <c r="F532" s="1773"/>
      <c r="G532" s="1773"/>
      <c r="H532" s="1773"/>
      <c r="I532" s="2525" t="s">
        <v>2944</v>
      </c>
      <c r="J532" s="2525"/>
      <c r="K532" s="2539" t="str">
        <f>採点LR2!I95</f>
        <v>断熱材、タイル</v>
      </c>
      <c r="L532" s="2525"/>
      <c r="M532" s="2525" t="s">
        <v>2945</v>
      </c>
      <c r="N532" s="2525"/>
      <c r="O532" s="2539" t="str">
        <f>採点LR2!I96</f>
        <v>ビニル床シート</v>
      </c>
      <c r="P532" s="2525"/>
      <c r="Q532" s="2525"/>
      <c r="R532" s="2529" t="s">
        <v>3282</v>
      </c>
      <c r="S532" s="2539">
        <f>採点LR2!I97</f>
        <v>0</v>
      </c>
      <c r="T532" s="2525"/>
      <c r="U532" s="2508"/>
    </row>
    <row r="533" spans="1:21">
      <c r="A533" s="45"/>
      <c r="B533" s="2505" t="str">
        <f t="shared" si="28"/>
        <v>2.5</v>
      </c>
      <c r="C533" s="2506" t="str">
        <f t="shared" si="28"/>
        <v>持続可能な森林から産出された木材</v>
      </c>
      <c r="D533" s="2506"/>
      <c r="E533" s="1773"/>
      <c r="F533" s="1773"/>
      <c r="G533" s="1773"/>
      <c r="H533" s="1773"/>
      <c r="I533" s="2532" t="s">
        <v>2933</v>
      </c>
      <c r="J533" s="2532"/>
      <c r="K533" s="2532">
        <f>採点LR2!G108</f>
        <v>0.05</v>
      </c>
      <c r="L533" s="2514"/>
      <c r="M533" s="2514"/>
      <c r="N533" s="2514"/>
      <c r="O533" s="2514"/>
      <c r="P533" s="2514"/>
      <c r="Q533" s="2514"/>
      <c r="R533" s="2514"/>
      <c r="S533" s="2514"/>
      <c r="T533" s="2514"/>
      <c r="U533" s="2508"/>
    </row>
    <row r="534" spans="1:21" hidden="1">
      <c r="A534" s="45"/>
      <c r="B534" s="2505" t="str">
        <f t="shared" si="28"/>
        <v>2.6</v>
      </c>
      <c r="C534" s="2506" t="str">
        <f t="shared" si="28"/>
        <v>部材の再利用可能性向上への取組み</v>
      </c>
      <c r="D534" s="2506"/>
      <c r="E534" s="1773"/>
      <c r="F534" s="1773"/>
      <c r="G534" s="1773"/>
      <c r="H534" s="1773"/>
      <c r="I534" s="2514"/>
      <c r="J534" s="2514"/>
      <c r="K534" s="2514"/>
      <c r="L534" s="2514"/>
      <c r="M534" s="2514"/>
      <c r="N534" s="2514"/>
      <c r="O534" s="2514"/>
      <c r="P534" s="2514"/>
      <c r="Q534" s="2514"/>
      <c r="R534" s="2514"/>
      <c r="S534" s="2514"/>
      <c r="T534" s="2514"/>
      <c r="U534" s="2508"/>
    </row>
    <row r="535" spans="1:21" hidden="1">
      <c r="A535" s="45"/>
      <c r="B535" s="2505" t="str">
        <f t="shared" si="28"/>
        <v>2.6</v>
      </c>
      <c r="C535" s="2506">
        <f t="shared" si="28"/>
        <v>0</v>
      </c>
      <c r="D535" s="2506"/>
      <c r="E535" s="1773"/>
      <c r="F535" s="1773"/>
      <c r="G535" s="1773"/>
      <c r="H535" s="1773"/>
      <c r="I535" s="2514"/>
      <c r="J535" s="2514"/>
      <c r="K535" s="2514"/>
      <c r="L535" s="2514"/>
      <c r="M535" s="2514"/>
      <c r="N535" s="2514"/>
      <c r="O535" s="2514"/>
      <c r="P535" s="2514"/>
      <c r="Q535" s="2514"/>
      <c r="R535" s="2514"/>
      <c r="S535" s="2514"/>
      <c r="T535" s="2514"/>
      <c r="U535" s="2508"/>
    </row>
    <row r="536" spans="1:21" hidden="1">
      <c r="A536" s="45"/>
      <c r="B536" s="2505" t="str">
        <f t="shared" si="28"/>
        <v>2.6.1</v>
      </c>
      <c r="C536" s="2506">
        <f t="shared" si="28"/>
        <v>0</v>
      </c>
      <c r="D536" s="2506"/>
      <c r="E536" s="1773"/>
      <c r="F536" s="1773"/>
      <c r="G536" s="1773"/>
      <c r="H536" s="1773"/>
      <c r="I536" s="2514"/>
      <c r="J536" s="2514"/>
      <c r="K536" s="2514"/>
      <c r="L536" s="2514"/>
      <c r="M536" s="2514"/>
      <c r="N536" s="2514"/>
      <c r="O536" s="2514"/>
      <c r="P536" s="2514"/>
      <c r="Q536" s="2514"/>
      <c r="R536" s="2514"/>
      <c r="S536" s="2514"/>
      <c r="T536" s="2514"/>
      <c r="U536" s="2508"/>
    </row>
    <row r="537" spans="1:21" hidden="1">
      <c r="A537" s="45"/>
      <c r="B537" s="2505" t="str">
        <f t="shared" si="28"/>
        <v>2.6.2</v>
      </c>
      <c r="C537" s="2506">
        <f t="shared" si="28"/>
        <v>0</v>
      </c>
      <c r="D537" s="2506"/>
      <c r="E537" s="1773"/>
      <c r="F537" s="1773"/>
      <c r="G537" s="1773"/>
      <c r="H537" s="1773"/>
      <c r="I537" s="2514"/>
      <c r="J537" s="2514"/>
      <c r="K537" s="2514"/>
      <c r="L537" s="2514"/>
      <c r="M537" s="2514"/>
      <c r="N537" s="2514"/>
      <c r="O537" s="2514"/>
      <c r="P537" s="2514"/>
      <c r="Q537" s="2514"/>
      <c r="R537" s="2514"/>
      <c r="S537" s="2514"/>
      <c r="T537" s="2514"/>
      <c r="U537" s="2508"/>
    </row>
    <row r="538" spans="1:21" hidden="1">
      <c r="A538" s="45"/>
      <c r="B538" s="2505" t="str">
        <f t="shared" si="28"/>
        <v>2.6.3</v>
      </c>
      <c r="C538" s="2506">
        <f t="shared" si="28"/>
        <v>0</v>
      </c>
      <c r="D538" s="2506"/>
      <c r="E538" s="1773"/>
      <c r="F538" s="1773"/>
      <c r="G538" s="1773"/>
      <c r="H538" s="1773"/>
      <c r="I538" s="2514"/>
      <c r="J538" s="2514"/>
      <c r="K538" s="2514"/>
      <c r="L538" s="2514"/>
      <c r="M538" s="2514"/>
      <c r="N538" s="2514"/>
      <c r="O538" s="2514"/>
      <c r="P538" s="2514"/>
      <c r="Q538" s="2514"/>
      <c r="R538" s="2514"/>
      <c r="S538" s="2514"/>
      <c r="T538" s="2514"/>
      <c r="U538" s="2508"/>
    </row>
    <row r="539" spans="1:21" hidden="1">
      <c r="A539" s="45"/>
      <c r="B539" s="2505" t="str">
        <f t="shared" si="28"/>
        <v>2.6.4</v>
      </c>
      <c r="C539" s="2506">
        <f t="shared" si="28"/>
        <v>0</v>
      </c>
      <c r="D539" s="2506"/>
      <c r="E539" s="1773"/>
      <c r="F539" s="1773"/>
      <c r="G539" s="1773"/>
      <c r="H539" s="1773"/>
      <c r="I539" s="2514"/>
      <c r="J539" s="2514"/>
      <c r="K539" s="2514"/>
      <c r="L539" s="2514"/>
      <c r="M539" s="2514"/>
      <c r="N539" s="2514"/>
      <c r="O539" s="2514"/>
      <c r="P539" s="2514"/>
      <c r="Q539" s="2514"/>
      <c r="R539" s="2514"/>
      <c r="S539" s="2514"/>
      <c r="T539" s="2514"/>
      <c r="U539" s="2508"/>
    </row>
    <row r="540" spans="1:21" hidden="1">
      <c r="A540" s="45"/>
      <c r="B540" s="2505" t="str">
        <f t="shared" si="28"/>
        <v>2.6.5</v>
      </c>
      <c r="C540" s="2506">
        <f t="shared" si="28"/>
        <v>0</v>
      </c>
      <c r="D540" s="2506"/>
      <c r="E540" s="1773"/>
      <c r="F540" s="1773"/>
      <c r="G540" s="1773"/>
      <c r="H540" s="1773"/>
      <c r="I540" s="2514"/>
      <c r="J540" s="2514"/>
      <c r="K540" s="2514"/>
      <c r="L540" s="2514"/>
      <c r="M540" s="2514"/>
      <c r="N540" s="2514"/>
      <c r="O540" s="2514"/>
      <c r="P540" s="2514"/>
      <c r="Q540" s="2514"/>
      <c r="R540" s="2514"/>
      <c r="S540" s="2514"/>
      <c r="T540" s="2514"/>
      <c r="U540" s="2508"/>
    </row>
    <row r="541" spans="1:21" hidden="1">
      <c r="A541" s="45"/>
      <c r="B541" s="2505" t="str">
        <f t="shared" si="28"/>
        <v>2.6.6</v>
      </c>
      <c r="C541" s="2506">
        <f t="shared" si="28"/>
        <v>0</v>
      </c>
      <c r="D541" s="2506"/>
      <c r="E541" s="1773"/>
      <c r="F541" s="1773"/>
      <c r="G541" s="1773"/>
      <c r="H541" s="1773"/>
      <c r="I541" s="2514"/>
      <c r="J541" s="2514"/>
      <c r="K541" s="2514"/>
      <c r="L541" s="2514"/>
      <c r="M541" s="2514"/>
      <c r="N541" s="2514"/>
      <c r="O541" s="2514"/>
      <c r="P541" s="2514"/>
      <c r="Q541" s="2514"/>
      <c r="R541" s="2514"/>
      <c r="S541" s="2514"/>
      <c r="T541" s="2514"/>
      <c r="U541" s="2508"/>
    </row>
    <row r="542" spans="1:21" hidden="1">
      <c r="A542" s="45"/>
      <c r="B542" s="2505">
        <f t="shared" si="28"/>
        <v>2.7</v>
      </c>
      <c r="C542" s="2506">
        <f t="shared" si="28"/>
        <v>0</v>
      </c>
      <c r="D542" s="2506"/>
      <c r="E542" s="1773"/>
      <c r="F542" s="1773"/>
      <c r="G542" s="1773"/>
      <c r="H542" s="1773"/>
      <c r="I542" s="2514"/>
      <c r="J542" s="2514"/>
      <c r="K542" s="2514"/>
      <c r="L542" s="2514"/>
      <c r="M542" s="2514"/>
      <c r="N542" s="2514"/>
      <c r="O542" s="2514"/>
      <c r="P542" s="2514"/>
      <c r="Q542" s="2514"/>
      <c r="R542" s="2514"/>
      <c r="S542" s="2514"/>
      <c r="T542" s="2514"/>
      <c r="U542" s="2508"/>
    </row>
    <row r="543" spans="1:21" hidden="1">
      <c r="A543" s="45"/>
      <c r="B543" s="2505">
        <f t="shared" ref="B543:C562" si="29">B355</f>
        <v>3</v>
      </c>
      <c r="C543" s="2506" t="str">
        <f t="shared" si="29"/>
        <v>汚染物質含有材料の使用回避</v>
      </c>
      <c r="D543" s="2506"/>
      <c r="E543" s="1773"/>
      <c r="F543" s="1773"/>
      <c r="G543" s="1773"/>
      <c r="H543" s="1773"/>
      <c r="I543" s="2514"/>
      <c r="J543" s="2514"/>
      <c r="K543" s="2514"/>
      <c r="L543" s="2514"/>
      <c r="M543" s="2514"/>
      <c r="N543" s="2514"/>
      <c r="O543" s="2514"/>
      <c r="P543" s="2514"/>
      <c r="Q543" s="2514"/>
      <c r="R543" s="2514"/>
      <c r="S543" s="2514"/>
      <c r="T543" s="2514"/>
      <c r="U543" s="2508"/>
    </row>
    <row r="544" spans="1:21" hidden="1">
      <c r="A544" s="45"/>
      <c r="B544" s="2505" t="str">
        <f t="shared" si="29"/>
        <v>3.1</v>
      </c>
      <c r="C544" s="2506" t="str">
        <f t="shared" si="29"/>
        <v>有害物質を含まない材料の使用</v>
      </c>
      <c r="D544" s="2506"/>
      <c r="E544" s="1773"/>
      <c r="F544" s="1773"/>
      <c r="G544" s="1773"/>
      <c r="H544" s="1773"/>
      <c r="I544" s="2514"/>
      <c r="J544" s="2514"/>
      <c r="K544" s="2514"/>
      <c r="L544" s="2514"/>
      <c r="M544" s="2514"/>
      <c r="N544" s="2514"/>
      <c r="O544" s="2514"/>
      <c r="P544" s="2514"/>
      <c r="Q544" s="2514"/>
      <c r="R544" s="2514"/>
      <c r="S544" s="2514"/>
      <c r="T544" s="2514"/>
      <c r="U544" s="2508"/>
    </row>
    <row r="545" spans="1:21" hidden="1">
      <c r="A545" s="45"/>
      <c r="B545" s="2505" t="str">
        <f t="shared" si="29"/>
        <v>3.2</v>
      </c>
      <c r="C545" s="2506" t="str">
        <f t="shared" si="29"/>
        <v>フロン・ハロンの回避</v>
      </c>
      <c r="D545" s="2506"/>
      <c r="E545" s="1773"/>
      <c r="F545" s="1773"/>
      <c r="G545" s="1773"/>
      <c r="H545" s="1773"/>
      <c r="I545" s="2514"/>
      <c r="J545" s="2514"/>
      <c r="K545" s="2514"/>
      <c r="L545" s="2514"/>
      <c r="M545" s="2514"/>
      <c r="N545" s="2514"/>
      <c r="O545" s="2514"/>
      <c r="P545" s="2514"/>
      <c r="Q545" s="2514"/>
      <c r="R545" s="2514"/>
      <c r="S545" s="2514"/>
      <c r="T545" s="2514"/>
      <c r="U545" s="2508"/>
    </row>
    <row r="546" spans="1:21">
      <c r="A546" s="45"/>
      <c r="B546" s="2505" t="str">
        <f t="shared" si="29"/>
        <v>3.2.1</v>
      </c>
      <c r="C546" s="2506" t="str">
        <f t="shared" si="29"/>
        <v>消火剤</v>
      </c>
      <c r="D546" s="2506"/>
      <c r="E546" s="1773"/>
      <c r="F546" s="1773"/>
      <c r="G546" s="1773"/>
      <c r="H546" s="1773"/>
      <c r="I546" s="2525" t="s">
        <v>2934</v>
      </c>
      <c r="J546" s="2529"/>
      <c r="K546" s="2525"/>
      <c r="L546" s="2525" t="str">
        <f>IF(採点LR2!G219="","",採点LR2!G219)</f>
        <v/>
      </c>
      <c r="M546" s="2525"/>
      <c r="N546" s="2525"/>
      <c r="O546" s="2529" t="s">
        <v>2935</v>
      </c>
      <c r="P546" s="2525" t="str">
        <f>IF(採点LR2!I219="","",採点LR2!I219)</f>
        <v/>
      </c>
      <c r="Q546" s="2542"/>
      <c r="R546" s="2514"/>
      <c r="S546" s="2514"/>
      <c r="T546" s="2514"/>
      <c r="U546" s="2508"/>
    </row>
    <row r="547" spans="1:21">
      <c r="A547" s="45"/>
      <c r="B547" s="2505" t="str">
        <f t="shared" si="29"/>
        <v>3.2.2</v>
      </c>
      <c r="C547" s="2506" t="str">
        <f t="shared" si="29"/>
        <v>発泡剤（断熱材等）</v>
      </c>
      <c r="D547" s="2506"/>
      <c r="E547" s="1773"/>
      <c r="F547" s="1773"/>
      <c r="G547" s="1773"/>
      <c r="H547" s="1773"/>
      <c r="I547" s="2543" t="s">
        <v>2934</v>
      </c>
      <c r="J547" s="2544"/>
      <c r="K547" s="2543"/>
      <c r="L547" s="2543">
        <f>IF(採点LR2!G230="","",採点LR2!G230)</f>
        <v>0</v>
      </c>
      <c r="M547" s="2543"/>
      <c r="N547" s="2543"/>
      <c r="O547" s="2544" t="s">
        <v>2935</v>
      </c>
      <c r="P547" s="2543">
        <f>IF(採点LR2!I230="","",採点LR2!I230)</f>
        <v>1430</v>
      </c>
      <c r="Q547" s="2542"/>
      <c r="R547" s="2514"/>
      <c r="S547" s="2514"/>
      <c r="T547" s="2514"/>
      <c r="U547" s="2508"/>
    </row>
    <row r="548" spans="1:21">
      <c r="A548" s="45"/>
      <c r="B548" s="2505" t="str">
        <f t="shared" si="29"/>
        <v>3.2.3</v>
      </c>
      <c r="C548" s="2506" t="str">
        <f t="shared" si="29"/>
        <v>冷媒</v>
      </c>
      <c r="D548" s="2506"/>
      <c r="E548" s="1773"/>
      <c r="F548" s="1773"/>
      <c r="G548" s="1773"/>
      <c r="H548" s="1773"/>
      <c r="I548" s="2525" t="s">
        <v>2934</v>
      </c>
      <c r="J548" s="2529"/>
      <c r="K548" s="2525"/>
      <c r="L548" s="2525">
        <f>IF(採点LR2!G296="","",採点LR2!G296)</f>
        <v>0</v>
      </c>
      <c r="M548" s="2525"/>
      <c r="N548" s="2525"/>
      <c r="O548" s="2529" t="s">
        <v>2935</v>
      </c>
      <c r="P548" s="2525">
        <f>IF(採点LR2!I296="","",採点LR2!I296)</f>
        <v>8</v>
      </c>
      <c r="Q548" s="2542"/>
      <c r="R548" s="2514"/>
      <c r="S548" s="2514"/>
      <c r="T548" s="2514"/>
      <c r="U548" s="2508"/>
    </row>
    <row r="549" spans="1:21">
      <c r="A549" s="45"/>
      <c r="B549" s="2523" t="str">
        <f t="shared" si="29"/>
        <v>LR3</v>
      </c>
      <c r="C549" s="2524" t="str">
        <f t="shared" si="29"/>
        <v>敷地外環境</v>
      </c>
      <c r="D549" s="2506"/>
      <c r="E549" s="1773"/>
      <c r="F549" s="1773"/>
      <c r="G549" s="1773"/>
      <c r="H549" s="1773"/>
      <c r="I549" s="2514"/>
      <c r="J549" s="2514"/>
      <c r="K549" s="2514"/>
      <c r="L549" s="2514"/>
      <c r="M549" s="2514"/>
      <c r="N549" s="2514"/>
      <c r="O549" s="2514"/>
      <c r="P549" s="2514"/>
      <c r="Q549" s="2542"/>
      <c r="R549" s="2514"/>
      <c r="S549" s="2514"/>
      <c r="T549" s="2514"/>
      <c r="U549" s="2508"/>
    </row>
    <row r="550" spans="1:21" hidden="1">
      <c r="A550" s="45"/>
      <c r="B550" s="2505">
        <f t="shared" si="29"/>
        <v>1</v>
      </c>
      <c r="C550" s="2506" t="str">
        <f t="shared" si="29"/>
        <v>地球温暖化への配慮</v>
      </c>
      <c r="D550" s="2506"/>
      <c r="E550" s="1773"/>
      <c r="F550" s="1773"/>
      <c r="G550" s="1773"/>
      <c r="H550" s="1773"/>
      <c r="I550" s="2514"/>
      <c r="J550" s="2514"/>
      <c r="K550" s="2514"/>
      <c r="L550" s="2514"/>
      <c r="M550" s="2514"/>
      <c r="N550" s="2514"/>
      <c r="O550" s="2514"/>
      <c r="P550" s="2514"/>
      <c r="Q550" s="2514"/>
      <c r="R550" s="2514"/>
      <c r="S550" s="2514"/>
      <c r="T550" s="2514"/>
      <c r="U550" s="2508"/>
    </row>
    <row r="551" spans="1:21" hidden="1">
      <c r="A551" s="45"/>
      <c r="B551" s="2505">
        <f t="shared" si="29"/>
        <v>2</v>
      </c>
      <c r="C551" s="2506" t="str">
        <f t="shared" si="29"/>
        <v>地域環境への配慮</v>
      </c>
      <c r="D551" s="2506"/>
      <c r="E551" s="1773"/>
      <c r="F551" s="1773"/>
      <c r="G551" s="1773"/>
      <c r="H551" s="1773"/>
      <c r="I551" s="2514"/>
      <c r="J551" s="2514"/>
      <c r="K551" s="2514"/>
      <c r="L551" s="2514"/>
      <c r="M551" s="2514"/>
      <c r="N551" s="2514"/>
      <c r="O551" s="2514"/>
      <c r="P551" s="2514"/>
      <c r="Q551" s="2514"/>
      <c r="R551" s="2514"/>
      <c r="S551" s="2514"/>
      <c r="T551" s="2514"/>
      <c r="U551" s="2508"/>
    </row>
    <row r="552" spans="1:21" hidden="1">
      <c r="A552" s="45"/>
      <c r="B552" s="2505" t="str">
        <f t="shared" si="29"/>
        <v>2.1</v>
      </c>
      <c r="C552" s="2506" t="str">
        <f t="shared" si="29"/>
        <v>大気汚染防止</v>
      </c>
      <c r="D552" s="2506"/>
      <c r="E552" s="1773"/>
      <c r="F552" s="1773"/>
      <c r="G552" s="1773"/>
      <c r="H552" s="1773"/>
      <c r="I552" s="2514"/>
      <c r="J552" s="2514"/>
      <c r="K552" s="2514"/>
      <c r="L552" s="2514"/>
      <c r="M552" s="2514"/>
      <c r="N552" s="2514"/>
      <c r="O552" s="2514"/>
      <c r="P552" s="2514"/>
      <c r="Q552" s="2514"/>
      <c r="R552" s="2514"/>
      <c r="S552" s="2514"/>
      <c r="T552" s="2514"/>
      <c r="U552" s="2508"/>
    </row>
    <row r="553" spans="1:21">
      <c r="A553" s="45"/>
      <c r="B553" s="2505" t="str">
        <f t="shared" si="29"/>
        <v>2.2</v>
      </c>
      <c r="C553" s="2506" t="str">
        <f t="shared" si="29"/>
        <v>温熱環境悪化の改善</v>
      </c>
      <c r="D553" s="2506"/>
      <c r="E553" s="1773"/>
      <c r="F553" s="1773"/>
      <c r="G553" s="1773"/>
      <c r="H553" s="1773"/>
      <c r="I553" s="2528" t="s">
        <v>2903</v>
      </c>
      <c r="J553" s="2525"/>
      <c r="K553" s="2545" t="e">
        <f>採点LR3!H45</f>
        <v>#DIV/0!</v>
      </c>
      <c r="L553" s="2525"/>
      <c r="M553" s="2529" t="s">
        <v>2904</v>
      </c>
      <c r="N553" s="2546">
        <f>採点LR3!H46</f>
        <v>0</v>
      </c>
      <c r="O553" s="2514"/>
      <c r="P553" s="2514"/>
      <c r="Q553" s="2514"/>
      <c r="R553" s="2514"/>
      <c r="S553" s="2514"/>
      <c r="T553" s="2514"/>
      <c r="U553" s="2508"/>
    </row>
    <row r="554" spans="1:21" hidden="1">
      <c r="B554" s="2505" t="str">
        <f t="shared" si="29"/>
        <v>2.3</v>
      </c>
      <c r="C554" s="2506" t="str">
        <f t="shared" si="29"/>
        <v>地域インフラへの負荷抑制</v>
      </c>
      <c r="D554" s="2506"/>
      <c r="E554" s="1773"/>
      <c r="F554" s="1773"/>
      <c r="G554" s="1773"/>
      <c r="H554" s="1773"/>
      <c r="I554" s="2514"/>
      <c r="J554" s="2514"/>
      <c r="K554" s="2514"/>
      <c r="L554" s="2514"/>
      <c r="M554" s="2514"/>
      <c r="N554" s="2514"/>
      <c r="O554" s="2514"/>
      <c r="P554" s="2514"/>
      <c r="Q554" s="2514"/>
      <c r="R554" s="2514"/>
      <c r="S554" s="2514"/>
      <c r="T554" s="2514"/>
      <c r="U554" s="2508"/>
    </row>
    <row r="555" spans="1:21" hidden="1">
      <c r="B555" s="2505" t="str">
        <f t="shared" si="29"/>
        <v>2.3.1</v>
      </c>
      <c r="C555" s="2506" t="str">
        <f t="shared" si="29"/>
        <v>雨水排水負荷低減</v>
      </c>
      <c r="D555" s="2506"/>
      <c r="E555" s="1773"/>
      <c r="F555" s="1773"/>
      <c r="G555" s="1773"/>
      <c r="H555" s="1773"/>
      <c r="I555" s="2514"/>
      <c r="J555" s="2514"/>
      <c r="K555" s="2514"/>
      <c r="L555" s="2514"/>
      <c r="M555" s="2514"/>
      <c r="N555" s="2514"/>
      <c r="O555" s="2514"/>
      <c r="P555" s="2514"/>
      <c r="Q555" s="2514"/>
      <c r="R555" s="2514"/>
      <c r="S555" s="2514"/>
      <c r="T555" s="2514"/>
      <c r="U555" s="2508"/>
    </row>
    <row r="556" spans="1:21" hidden="1">
      <c r="B556" s="2505" t="str">
        <f t="shared" si="29"/>
        <v>2.3.2</v>
      </c>
      <c r="C556" s="2506" t="str">
        <f t="shared" si="29"/>
        <v>汚水処理負荷抑制</v>
      </c>
      <c r="D556" s="2506"/>
      <c r="E556" s="1773"/>
      <c r="F556" s="1773"/>
      <c r="G556" s="1773"/>
      <c r="H556" s="1773"/>
      <c r="I556" s="2514"/>
      <c r="J556" s="2514"/>
      <c r="K556" s="2514"/>
      <c r="L556" s="2514"/>
      <c r="M556" s="2514"/>
      <c r="N556" s="2514"/>
      <c r="O556" s="2514"/>
      <c r="P556" s="2514"/>
      <c r="Q556" s="2514"/>
      <c r="R556" s="2514"/>
      <c r="S556" s="2514"/>
      <c r="T556" s="2514"/>
      <c r="U556" s="2508"/>
    </row>
    <row r="557" spans="1:21" hidden="1">
      <c r="B557" s="2505" t="str">
        <f t="shared" si="29"/>
        <v>2.3.3</v>
      </c>
      <c r="C557" s="2506" t="str">
        <f t="shared" si="29"/>
        <v>交通負荷抑制</v>
      </c>
      <c r="D557" s="2506"/>
      <c r="E557" s="1773"/>
      <c r="F557" s="1773"/>
      <c r="G557" s="1773"/>
      <c r="H557" s="1773"/>
      <c r="I557" s="2514"/>
      <c r="J557" s="2514"/>
      <c r="K557" s="2514"/>
      <c r="L557" s="2514"/>
      <c r="M557" s="2514"/>
      <c r="N557" s="2514"/>
      <c r="O557" s="2514"/>
      <c r="P557" s="2514"/>
      <c r="Q557" s="2514"/>
      <c r="R557" s="2514"/>
      <c r="S557" s="2514"/>
      <c r="T557" s="2514"/>
      <c r="U557" s="2508"/>
    </row>
    <row r="558" spans="1:21" hidden="1">
      <c r="B558" s="2505" t="str">
        <f t="shared" si="29"/>
        <v>2.3.4</v>
      </c>
      <c r="C558" s="2506" t="str">
        <f t="shared" si="29"/>
        <v>廃棄物処理負荷抑制</v>
      </c>
      <c r="D558" s="2506"/>
      <c r="E558" s="1773"/>
      <c r="F558" s="1773"/>
      <c r="G558" s="1773"/>
      <c r="H558" s="1773"/>
      <c r="I558" s="2514"/>
      <c r="J558" s="2514"/>
      <c r="K558" s="2514"/>
      <c r="L558" s="2514"/>
      <c r="M558" s="2514"/>
      <c r="N558" s="2514"/>
      <c r="O558" s="2514"/>
      <c r="P558" s="2514"/>
      <c r="Q558" s="2514"/>
      <c r="R558" s="2514"/>
      <c r="S558" s="2514"/>
      <c r="T558" s="2514"/>
      <c r="U558" s="2508"/>
    </row>
    <row r="559" spans="1:21" hidden="1">
      <c r="B559" s="2505">
        <f t="shared" si="29"/>
        <v>0</v>
      </c>
      <c r="C559" s="2506">
        <f t="shared" si="29"/>
        <v>0</v>
      </c>
      <c r="D559" s="2506"/>
      <c r="E559" s="1773"/>
      <c r="F559" s="1773"/>
      <c r="G559" s="1773"/>
      <c r="H559" s="1773"/>
      <c r="I559" s="2514"/>
      <c r="J559" s="2514"/>
      <c r="K559" s="2514"/>
      <c r="L559" s="2514"/>
      <c r="M559" s="2514"/>
      <c r="N559" s="2514"/>
      <c r="O559" s="2514"/>
      <c r="P559" s="2514"/>
      <c r="Q559" s="2514"/>
      <c r="R559" s="2514"/>
      <c r="S559" s="2514"/>
      <c r="T559" s="2514"/>
      <c r="U559" s="2508"/>
    </row>
    <row r="560" spans="1:21" hidden="1">
      <c r="B560" s="2505">
        <f t="shared" si="29"/>
        <v>3</v>
      </c>
      <c r="C560" s="2506" t="str">
        <f t="shared" si="29"/>
        <v>周辺環境への配慮</v>
      </c>
      <c r="D560" s="2506"/>
      <c r="E560" s="1773"/>
      <c r="F560" s="1773"/>
      <c r="G560" s="1773"/>
      <c r="H560" s="1773"/>
      <c r="I560" s="2514"/>
      <c r="J560" s="2514"/>
      <c r="K560" s="2514"/>
      <c r="L560" s="2514"/>
      <c r="M560" s="2514"/>
      <c r="N560" s="2514"/>
      <c r="O560" s="2514"/>
      <c r="P560" s="2514"/>
      <c r="Q560" s="2514"/>
      <c r="R560" s="2514"/>
      <c r="S560" s="2514"/>
      <c r="T560" s="2514"/>
      <c r="U560" s="2508"/>
    </row>
    <row r="561" spans="2:21" hidden="1">
      <c r="B561" s="2505" t="str">
        <f t="shared" si="29"/>
        <v>3.1</v>
      </c>
      <c r="C561" s="2506" t="str">
        <f t="shared" si="29"/>
        <v>騒音・振動・悪臭の防止</v>
      </c>
      <c r="D561" s="2506"/>
      <c r="E561" s="1773"/>
      <c r="F561" s="1773"/>
      <c r="G561" s="1773"/>
      <c r="H561" s="1773"/>
      <c r="I561" s="2514"/>
      <c r="J561" s="2514"/>
      <c r="K561" s="2514"/>
      <c r="L561" s="2514"/>
      <c r="M561" s="2514"/>
      <c r="N561" s="2514"/>
      <c r="O561" s="2514"/>
      <c r="P561" s="2514"/>
      <c r="Q561" s="2514"/>
      <c r="R561" s="2514"/>
      <c r="S561" s="2514"/>
      <c r="T561" s="2514"/>
      <c r="U561" s="2508"/>
    </row>
    <row r="562" spans="2:21" hidden="1">
      <c r="B562" s="2505" t="str">
        <f t="shared" si="29"/>
        <v>3.1.1</v>
      </c>
      <c r="C562" s="2506" t="str">
        <f t="shared" si="29"/>
        <v>騒音</v>
      </c>
      <c r="D562" s="2506"/>
      <c r="E562" s="1773"/>
      <c r="F562" s="1773"/>
      <c r="G562" s="1773"/>
      <c r="H562" s="1773"/>
      <c r="I562" s="2514"/>
      <c r="J562" s="2514"/>
      <c r="K562" s="2514"/>
      <c r="L562" s="2514"/>
      <c r="M562" s="2514"/>
      <c r="N562" s="2514"/>
      <c r="O562" s="2514"/>
      <c r="P562" s="2514"/>
      <c r="Q562" s="2514"/>
      <c r="R562" s="2514"/>
      <c r="S562" s="2514"/>
      <c r="T562" s="2514"/>
      <c r="U562" s="2508"/>
    </row>
    <row r="563" spans="2:21" hidden="1">
      <c r="B563" s="2505" t="str">
        <f t="shared" ref="B563:C571" si="30">B375</f>
        <v>3.1.2</v>
      </c>
      <c r="C563" s="2506" t="str">
        <f t="shared" si="30"/>
        <v>振動</v>
      </c>
      <c r="D563" s="2506"/>
      <c r="E563" s="1773"/>
      <c r="F563" s="1773"/>
      <c r="G563" s="1773"/>
      <c r="H563" s="1773"/>
      <c r="I563" s="2514"/>
      <c r="J563" s="2514"/>
      <c r="K563" s="2514"/>
      <c r="L563" s="2514"/>
      <c r="M563" s="2514"/>
      <c r="N563" s="2514"/>
      <c r="O563" s="2514"/>
      <c r="P563" s="2514"/>
      <c r="Q563" s="2514"/>
      <c r="R563" s="2514"/>
      <c r="S563" s="2514"/>
      <c r="T563" s="2514"/>
      <c r="U563" s="2508"/>
    </row>
    <row r="564" spans="2:21" hidden="1">
      <c r="B564" s="2505" t="str">
        <f t="shared" si="30"/>
        <v>3.1.3</v>
      </c>
      <c r="C564" s="2506" t="str">
        <f t="shared" si="30"/>
        <v>悪臭</v>
      </c>
      <c r="D564" s="2506"/>
      <c r="E564" s="1773"/>
      <c r="F564" s="1773"/>
      <c r="G564" s="1773"/>
      <c r="H564" s="1773"/>
      <c r="I564" s="2514"/>
      <c r="J564" s="2514"/>
      <c r="K564" s="2514"/>
      <c r="L564" s="2514"/>
      <c r="M564" s="2514"/>
      <c r="N564" s="2514"/>
      <c r="O564" s="2514"/>
      <c r="P564" s="2514"/>
      <c r="Q564" s="2514"/>
      <c r="R564" s="2514"/>
      <c r="S564" s="2514"/>
      <c r="T564" s="2514"/>
      <c r="U564" s="2508"/>
    </row>
    <row r="565" spans="2:21" hidden="1">
      <c r="B565" s="2505" t="str">
        <f t="shared" si="30"/>
        <v>3.2</v>
      </c>
      <c r="C565" s="2506" t="str">
        <f t="shared" si="30"/>
        <v>風害・砂塵、日照阻害の抑制</v>
      </c>
      <c r="D565" s="2506"/>
      <c r="E565" s="1773"/>
      <c r="F565" s="1773"/>
      <c r="G565" s="1773"/>
      <c r="H565" s="1773"/>
      <c r="I565" s="2514"/>
      <c r="J565" s="2514"/>
      <c r="K565" s="2514"/>
      <c r="L565" s="2514"/>
      <c r="M565" s="2514"/>
      <c r="N565" s="2514"/>
      <c r="O565" s="2514"/>
      <c r="P565" s="2514"/>
      <c r="Q565" s="2514"/>
      <c r="R565" s="2514"/>
      <c r="S565" s="2514"/>
      <c r="T565" s="2514"/>
      <c r="U565" s="2508"/>
    </row>
    <row r="566" spans="2:21" hidden="1">
      <c r="B566" s="2505" t="str">
        <f t="shared" si="30"/>
        <v>3.2.1</v>
      </c>
      <c r="C566" s="2506" t="str">
        <f t="shared" si="30"/>
        <v>風害の抑制</v>
      </c>
      <c r="D566" s="2506"/>
      <c r="E566" s="1773"/>
      <c r="F566" s="1773"/>
      <c r="G566" s="1773"/>
      <c r="H566" s="1773"/>
      <c r="I566" s="2514"/>
      <c r="J566" s="2514"/>
      <c r="K566" s="2514"/>
      <c r="L566" s="2514"/>
      <c r="M566" s="2514"/>
      <c r="N566" s="2514"/>
      <c r="O566" s="2514"/>
      <c r="P566" s="2514"/>
      <c r="Q566" s="2514"/>
      <c r="R566" s="2514"/>
      <c r="S566" s="2514"/>
      <c r="T566" s="2514"/>
      <c r="U566" s="2508"/>
    </row>
    <row r="567" spans="2:21" hidden="1">
      <c r="B567" s="2505" t="str">
        <f t="shared" si="30"/>
        <v>3.2.2</v>
      </c>
      <c r="C567" s="2506" t="str">
        <f t="shared" si="30"/>
        <v>砂塵の抑制</v>
      </c>
      <c r="D567" s="2506"/>
      <c r="E567" s="1773"/>
      <c r="F567" s="1773"/>
      <c r="G567" s="1773"/>
      <c r="H567" s="1773"/>
      <c r="I567" s="2514"/>
      <c r="J567" s="2514"/>
      <c r="K567" s="2514"/>
      <c r="L567" s="2514"/>
      <c r="M567" s="2514"/>
      <c r="N567" s="2514"/>
      <c r="O567" s="2514"/>
      <c r="P567" s="2514"/>
      <c r="Q567" s="2514"/>
      <c r="R567" s="2514"/>
      <c r="S567" s="2514"/>
      <c r="T567" s="2514"/>
      <c r="U567" s="2508"/>
    </row>
    <row r="568" spans="2:21" hidden="1">
      <c r="B568" s="2505" t="str">
        <f t="shared" si="30"/>
        <v>3.2.3</v>
      </c>
      <c r="C568" s="2506" t="str">
        <f t="shared" si="30"/>
        <v>日照阻害の抑制</v>
      </c>
      <c r="D568" s="2506"/>
      <c r="E568" s="1773"/>
      <c r="F568" s="1773"/>
      <c r="G568" s="1773"/>
      <c r="H568" s="1773"/>
      <c r="I568" s="2514"/>
      <c r="J568" s="2514"/>
      <c r="K568" s="2514"/>
      <c r="L568" s="2514"/>
      <c r="M568" s="2514"/>
      <c r="N568" s="2514"/>
      <c r="O568" s="2514"/>
      <c r="P568" s="2514"/>
      <c r="Q568" s="2514"/>
      <c r="R568" s="2514"/>
      <c r="S568" s="2514"/>
      <c r="T568" s="2514"/>
      <c r="U568" s="2508"/>
    </row>
    <row r="569" spans="2:21" hidden="1">
      <c r="B569" s="2505" t="str">
        <f t="shared" si="30"/>
        <v>3.3</v>
      </c>
      <c r="C569" s="2506" t="str">
        <f t="shared" si="30"/>
        <v>光害の抑制</v>
      </c>
      <c r="D569" s="2506"/>
      <c r="E569" s="1773"/>
      <c r="F569" s="1773"/>
      <c r="G569" s="1773"/>
      <c r="H569" s="1773"/>
      <c r="I569" s="2514"/>
      <c r="J569" s="2514"/>
      <c r="K569" s="2514"/>
      <c r="L569" s="2514"/>
      <c r="M569" s="2514"/>
      <c r="N569" s="2514"/>
      <c r="O569" s="2514"/>
      <c r="P569" s="2514"/>
      <c r="Q569" s="2514"/>
      <c r="R569" s="2514"/>
      <c r="S569" s="2514"/>
      <c r="T569" s="2514"/>
      <c r="U569" s="2508"/>
    </row>
    <row r="570" spans="2:21" hidden="1">
      <c r="B570" s="2505" t="str">
        <f t="shared" si="30"/>
        <v>3.3.1</v>
      </c>
      <c r="C570" s="2506" t="str">
        <f t="shared" si="30"/>
        <v>屋外照明及び屋内照明のうち外に漏れる光への対策</v>
      </c>
      <c r="D570" s="2506"/>
      <c r="E570" s="1773"/>
      <c r="F570" s="1773"/>
      <c r="G570" s="1773"/>
      <c r="H570" s="1773"/>
      <c r="I570" s="2514"/>
      <c r="J570" s="2514"/>
      <c r="K570" s="2514"/>
      <c r="L570" s="2514"/>
      <c r="M570" s="2514"/>
      <c r="N570" s="2514"/>
      <c r="O570" s="2514"/>
      <c r="P570" s="2514"/>
      <c r="Q570" s="2514"/>
      <c r="R570" s="2514"/>
      <c r="S570" s="2514"/>
      <c r="T570" s="2514"/>
      <c r="U570" s="2508"/>
    </row>
    <row r="571" spans="2:21" hidden="1">
      <c r="B571" s="2505" t="str">
        <f t="shared" si="30"/>
        <v>3.3.2</v>
      </c>
      <c r="C571" s="2506" t="str">
        <f t="shared" si="30"/>
        <v>昼光の建物外壁による反射光（グレア）への対策</v>
      </c>
      <c r="D571" s="2506"/>
      <c r="E571" s="1773"/>
      <c r="F571" s="1773"/>
      <c r="G571" s="1773"/>
      <c r="H571" s="1773"/>
      <c r="I571" s="2514"/>
      <c r="J571" s="2514"/>
      <c r="K571" s="2514"/>
      <c r="L571" s="2514"/>
      <c r="M571" s="2514"/>
      <c r="N571" s="2514"/>
      <c r="O571" s="2514"/>
      <c r="P571" s="2514"/>
      <c r="Q571" s="2514"/>
      <c r="R571" s="2514"/>
      <c r="S571" s="2514"/>
      <c r="T571" s="2514"/>
      <c r="U571" s="2508"/>
    </row>
    <row r="572" spans="2:21">
      <c r="B572" s="2505"/>
      <c r="C572" s="2506"/>
      <c r="D572" s="2506"/>
      <c r="E572" s="1773"/>
      <c r="F572" s="1773"/>
      <c r="G572" s="1773"/>
      <c r="H572" s="1773"/>
      <c r="I572" s="2528" t="s">
        <v>2900</v>
      </c>
      <c r="J572" s="2525"/>
      <c r="K572" s="2525"/>
      <c r="L572" s="2547">
        <f>採点LR3!H48</f>
        <v>0.39</v>
      </c>
      <c r="M572" s="2525"/>
      <c r="N572" s="2525"/>
      <c r="O572" s="2529" t="s">
        <v>2901</v>
      </c>
      <c r="P572" s="2547" t="e">
        <f>採点LR3!H49</f>
        <v>#DIV/0!</v>
      </c>
      <c r="Q572" s="2525"/>
      <c r="R572" s="2529" t="s">
        <v>2902</v>
      </c>
      <c r="S572" s="2547">
        <f>採点LR3!H50</f>
        <v>0</v>
      </c>
      <c r="T572" s="2514"/>
      <c r="U572" s="2508"/>
    </row>
    <row r="573" spans="2:21">
      <c r="B573" s="2505"/>
      <c r="C573" s="2506"/>
      <c r="D573" s="2506"/>
      <c r="E573" s="1773"/>
      <c r="F573" s="1773"/>
      <c r="G573" s="1773"/>
      <c r="H573" s="1773"/>
      <c r="I573" s="2543" t="s">
        <v>3107</v>
      </c>
      <c r="J573" s="2543"/>
      <c r="K573" s="2798">
        <f>採点LR3!J45</f>
        <v>0</v>
      </c>
      <c r="L573" s="2543"/>
      <c r="M573" s="2543"/>
      <c r="N573" s="2543"/>
      <c r="O573" s="2544" t="s">
        <v>2995</v>
      </c>
      <c r="P573" s="2543">
        <f>採点LR3!M45</f>
        <v>0</v>
      </c>
      <c r="Q573" s="2543" t="s">
        <v>3096</v>
      </c>
      <c r="R573" s="2544" t="s">
        <v>2994</v>
      </c>
      <c r="S573" s="2543">
        <f>採点LR3!O45</f>
        <v>8.5399999999999991</v>
      </c>
      <c r="T573" s="2525" t="s">
        <v>3117</v>
      </c>
      <c r="U573" s="2508"/>
    </row>
    <row r="574" spans="2:21">
      <c r="B574" s="2505"/>
      <c r="C574" s="2506"/>
      <c r="D574" s="2506"/>
      <c r="E574" s="1773"/>
      <c r="F574" s="1773"/>
      <c r="G574" s="1773"/>
      <c r="H574" s="1773"/>
      <c r="I574" s="2548" t="s">
        <v>3111</v>
      </c>
      <c r="J574" s="2549">
        <f>採点LR3!J55</f>
        <v>391.9</v>
      </c>
      <c r="K574" s="2544" t="s">
        <v>3108</v>
      </c>
      <c r="L574" s="2549">
        <f>採点LR3!K55</f>
        <v>0</v>
      </c>
      <c r="M574" s="2543"/>
      <c r="N574" s="2544" t="s">
        <v>3109</v>
      </c>
      <c r="O574" s="2550">
        <f>採点LR3!L55</f>
        <v>0</v>
      </c>
      <c r="P574" s="2551" t="s">
        <v>3110</v>
      </c>
      <c r="Q574" s="2550">
        <f>採点LR3!N55</f>
        <v>0</v>
      </c>
      <c r="R574" s="2543"/>
      <c r="S574" s="2544" t="s">
        <v>3114</v>
      </c>
      <c r="T574" s="2550">
        <f>採点LR3!O55</f>
        <v>0</v>
      </c>
      <c r="U574" s="2508"/>
    </row>
    <row r="575" spans="2:21" ht="5.25" customHeight="1" thickBot="1">
      <c r="B575" s="2515"/>
      <c r="C575" s="2517"/>
      <c r="D575" s="2517"/>
      <c r="E575" s="2552"/>
      <c r="F575" s="2552"/>
      <c r="G575" s="2552"/>
      <c r="H575" s="2552"/>
      <c r="I575" s="2552"/>
      <c r="J575" s="2552"/>
      <c r="K575" s="2552"/>
      <c r="L575" s="2552"/>
      <c r="M575" s="2552"/>
      <c r="N575" s="2552"/>
      <c r="O575" s="2552"/>
      <c r="P575" s="2552"/>
      <c r="Q575" s="2552"/>
      <c r="R575" s="2552"/>
      <c r="S575" s="2552"/>
      <c r="T575" s="2552"/>
      <c r="U575" s="2553"/>
    </row>
    <row r="576" spans="2:21"/>
  </sheetData>
  <sheetProtection algorithmName="SHA-512" hashValue="EVyNNruLQIRMFtWQtLf/FlLoin35X00kpNluXUgGFJ60IiSSNxcRO61+2FnSMJUtc+HU/uhFXmt2AoLvxBtW7g==" saltValue="kPg/lghpwUoytaCOI2DmnQ==" spinCount="100000" sheet="1" formatRows="0"/>
  <mergeCells count="103">
    <mergeCell ref="M193:P193"/>
    <mergeCell ref="M194:P194"/>
    <mergeCell ref="M186:P186"/>
    <mergeCell ref="M187:P187"/>
    <mergeCell ref="M189:P189"/>
    <mergeCell ref="M190:P190"/>
    <mergeCell ref="M191:P191"/>
    <mergeCell ref="M178:P178"/>
    <mergeCell ref="M179:P179"/>
    <mergeCell ref="M180:P180"/>
    <mergeCell ref="M181:P181"/>
    <mergeCell ref="M185:P185"/>
    <mergeCell ref="M170:P170"/>
    <mergeCell ref="M171:P171"/>
    <mergeCell ref="M173:P173"/>
    <mergeCell ref="M175:P175"/>
    <mergeCell ref="M176:P176"/>
    <mergeCell ref="M155:P155"/>
    <mergeCell ref="M156:P156"/>
    <mergeCell ref="M157:P157"/>
    <mergeCell ref="M167:P167"/>
    <mergeCell ref="M169:P169"/>
    <mergeCell ref="M149:P149"/>
    <mergeCell ref="M150:P150"/>
    <mergeCell ref="M152:P152"/>
    <mergeCell ref="M153:P153"/>
    <mergeCell ref="M154:P154"/>
    <mergeCell ref="M140:P140"/>
    <mergeCell ref="M141:P141"/>
    <mergeCell ref="M143:P143"/>
    <mergeCell ref="M144:P144"/>
    <mergeCell ref="M147:P147"/>
    <mergeCell ref="M118:P118"/>
    <mergeCell ref="M119:P119"/>
    <mergeCell ref="M123:P123"/>
    <mergeCell ref="M124:P124"/>
    <mergeCell ref="M129:P129"/>
    <mergeCell ref="M109:P109"/>
    <mergeCell ref="M110:P110"/>
    <mergeCell ref="M111:P111"/>
    <mergeCell ref="M113:P113"/>
    <mergeCell ref="M116:P116"/>
    <mergeCell ref="M103:P103"/>
    <mergeCell ref="M104:P104"/>
    <mergeCell ref="M106:P106"/>
    <mergeCell ref="M107:P107"/>
    <mergeCell ref="M108:P108"/>
    <mergeCell ref="M95:P95"/>
    <mergeCell ref="M96:P96"/>
    <mergeCell ref="M97:P97"/>
    <mergeCell ref="M98:P98"/>
    <mergeCell ref="M102:P102"/>
    <mergeCell ref="M86:P86"/>
    <mergeCell ref="M87:P87"/>
    <mergeCell ref="M88:P88"/>
    <mergeCell ref="M94:P94"/>
    <mergeCell ref="M76:P76"/>
    <mergeCell ref="M80:P80"/>
    <mergeCell ref="M81:P81"/>
    <mergeCell ref="M83:P83"/>
    <mergeCell ref="M84:P84"/>
    <mergeCell ref="M71:P71"/>
    <mergeCell ref="M72:P72"/>
    <mergeCell ref="M75:P75"/>
    <mergeCell ref="M57:P57"/>
    <mergeCell ref="M60:P60"/>
    <mergeCell ref="M61:P61"/>
    <mergeCell ref="M65:P65"/>
    <mergeCell ref="M66:P66"/>
    <mergeCell ref="M85:P85"/>
    <mergeCell ref="M55:P55"/>
    <mergeCell ref="M56:P56"/>
    <mergeCell ref="M31:P31"/>
    <mergeCell ref="M37:P37"/>
    <mergeCell ref="M38:P38"/>
    <mergeCell ref="M39:P39"/>
    <mergeCell ref="M42:P42"/>
    <mergeCell ref="M67:P67"/>
    <mergeCell ref="M69:P69"/>
    <mergeCell ref="D155:H155"/>
    <mergeCell ref="E194:H194"/>
    <mergeCell ref="E193:H193"/>
    <mergeCell ref="E87:H87"/>
    <mergeCell ref="E85:H85"/>
    <mergeCell ref="W5:X6"/>
    <mergeCell ref="I6:L6"/>
    <mergeCell ref="D47:E47"/>
    <mergeCell ref="B3:H3"/>
    <mergeCell ref="E150:H150"/>
    <mergeCell ref="E5:H5"/>
    <mergeCell ref="M11:P11"/>
    <mergeCell ref="M15:P15"/>
    <mergeCell ref="M16:P16"/>
    <mergeCell ref="M17:P17"/>
    <mergeCell ref="M18:P18"/>
    <mergeCell ref="M19:P19"/>
    <mergeCell ref="M22:P22"/>
    <mergeCell ref="M24:P24"/>
    <mergeCell ref="M25:P25"/>
    <mergeCell ref="M30:P30"/>
    <mergeCell ref="M44:P44"/>
    <mergeCell ref="M47:P47"/>
    <mergeCell ref="M50:P50"/>
  </mergeCells>
  <phoneticPr fontId="39" type="noConversion"/>
  <conditionalFormatting sqref="M11:M13">
    <cfRule type="expression" dxfId="318" priority="5">
      <formula>OR($Z11&gt;3,$AB11&gt;3)</formula>
    </cfRule>
  </conditionalFormatting>
  <conditionalFormatting sqref="M15:M19 M22:M31 M33:P34 M37:M39 M41:M47 M50:M53 M55:M58 M60:M62 M65:M67 M69:M73 M75:M77 M80:M81 M83:M88 M90:P92 M94:M99 M102:M104 M106:M113 M115:M137 M140:M141 M143:M145 M147 M149:M150 M152:M157 M159:P165 M167 M169:M173 M175:M176 M178:M182 M185:M187 M189:M191 M193:M194">
    <cfRule type="expression" dxfId="317" priority="6">
      <formula>OR($Z15&gt;3,$AB15&gt;3)</formula>
    </cfRule>
  </conditionalFormatting>
  <conditionalFormatting sqref="N12:P13">
    <cfRule type="expression" dxfId="316" priority="11">
      <formula>OR($Z12&gt;3,$AB12&gt;3)</formula>
    </cfRule>
  </conditionalFormatting>
  <conditionalFormatting sqref="N23:P23 N26:P29 N41:P41 N43:P43 N45:P46 N51:P53 N58:P58 N62:P62 N70:P70 N73:P73 N77:P77 N99:P99 N112:P112 N115:P115 N117:P117 N120:P122 N125:P128 N130:P137 N145:P145 N172:P172 N182:P182">
    <cfRule type="expression" dxfId="315" priority="36">
      <formula>OR($Z23&gt;3,$AB23&gt;3)</formula>
    </cfRule>
  </conditionalFormatting>
  <conditionalFormatting sqref="Q10">
    <cfRule type="expression" dxfId="314" priority="317" stopIfTrue="1">
      <formula>AND(AF10=0)</formula>
    </cfRule>
  </conditionalFormatting>
  <conditionalFormatting sqref="Q10:Q61">
    <cfRule type="expression" dxfId="313" priority="41" stopIfTrue="1">
      <formula>AND(AF10&gt;0,Q10="")</formula>
    </cfRule>
  </conditionalFormatting>
  <conditionalFormatting sqref="Q11:Q61">
    <cfRule type="expression" dxfId="312" priority="42" stopIfTrue="1">
      <formula>(AF11=0)</formula>
    </cfRule>
  </conditionalFormatting>
  <conditionalFormatting sqref="Q63:Q111">
    <cfRule type="expression" dxfId="311" priority="33" stopIfTrue="1">
      <formula>AND(AF63&gt;0,Q63="")</formula>
    </cfRule>
    <cfRule type="expression" dxfId="310" priority="34" stopIfTrue="1">
      <formula>(AF63=0)</formula>
    </cfRule>
  </conditionalFormatting>
  <conditionalFormatting sqref="Q113:Q120">
    <cfRule type="expression" dxfId="309" priority="56" stopIfTrue="1">
      <formula>AND(AF113&gt;0,Q113="")</formula>
    </cfRule>
    <cfRule type="expression" dxfId="308" priority="57" stopIfTrue="1">
      <formula>(AF113=0)</formula>
    </cfRule>
  </conditionalFormatting>
  <conditionalFormatting sqref="Q123:Q144">
    <cfRule type="expression" dxfId="307" priority="1" stopIfTrue="1">
      <formula>AND(AF123&gt;0,Q123="")</formula>
    </cfRule>
    <cfRule type="expression" dxfId="306" priority="2" stopIfTrue="1">
      <formula>(AF123=0)</formula>
    </cfRule>
  </conditionalFormatting>
  <conditionalFormatting sqref="Q173:Q194">
    <cfRule type="expression" dxfId="305" priority="7" stopIfTrue="1">
      <formula>AND(AF173&gt;0,Q173="")</formula>
    </cfRule>
    <cfRule type="expression" dxfId="304" priority="8" stopIfTrue="1">
      <formula>(AF173=0)</formula>
    </cfRule>
  </conditionalFormatting>
  <conditionalFormatting sqref="S10:S61">
    <cfRule type="expression" dxfId="303" priority="39" stopIfTrue="1">
      <formula>AND(AH10&gt;0,S10="")</formula>
    </cfRule>
  </conditionalFormatting>
  <conditionalFormatting sqref="S21:S34">
    <cfRule type="expression" dxfId="302" priority="40" stopIfTrue="1">
      <formula>(AH21=0)</formula>
    </cfRule>
  </conditionalFormatting>
  <conditionalFormatting sqref="S63 S78 S100 S10 S20 S35 S48">
    <cfRule type="expression" dxfId="301" priority="103" stopIfTrue="1">
      <formula>AND(AH10=0)</formula>
    </cfRule>
  </conditionalFormatting>
  <conditionalFormatting sqref="S63:S111 S123:S144 Q146:Q171">
    <cfRule type="expression" dxfId="300" priority="100" stopIfTrue="1">
      <formula>AND(AF63&gt;0,Q63="")</formula>
    </cfRule>
  </conditionalFormatting>
  <conditionalFormatting sqref="S64:S77 S79:S99 S101:S111 S123:S144 Q146:Q171 S11:S19 S36:S47 S49:S61">
    <cfRule type="expression" dxfId="299" priority="101" stopIfTrue="1">
      <formula>(AF11=0)</formula>
    </cfRule>
  </conditionalFormatting>
  <conditionalFormatting sqref="S113:S120">
    <cfRule type="expression" dxfId="298" priority="54" stopIfTrue="1">
      <formula>AND(AH113&gt;0,S113="")</formula>
    </cfRule>
    <cfRule type="expression" dxfId="297" priority="55" stopIfTrue="1">
      <formula>(AH113=0)</formula>
    </cfRule>
  </conditionalFormatting>
  <conditionalFormatting sqref="S146:S171">
    <cfRule type="expression" dxfId="296" priority="83" stopIfTrue="1">
      <formula>AND(AH146&gt;0,S146="")</formula>
    </cfRule>
    <cfRule type="expression" dxfId="295" priority="84" stopIfTrue="1">
      <formula>(AH146=0)</formula>
    </cfRule>
  </conditionalFormatting>
  <conditionalFormatting sqref="S173:S194">
    <cfRule type="expression" dxfId="294" priority="47" stopIfTrue="1">
      <formula>AND(AH173&gt;0,S173="")</formula>
    </cfRule>
    <cfRule type="expression" dxfId="293" priority="48" stopIfTrue="1">
      <formula>(AH173=0)</formula>
    </cfRule>
  </conditionalFormatting>
  <dataValidations disablePrompts="1" xWindow="895" yWindow="482" count="1">
    <dataValidation allowBlank="1" showErrorMessage="1" sqref="Z192 AB192 Z166 AB166 Z148 Z183:Z184 Z168 AB168 Z188 AB188 AB32 Z174 AB183:AB184 Z177 AB100:AB101 Z10:AB10 AB93 AB78:AB79 AB105 AB138:AB139 AB146 AB148 Z93 Z100:Z101 Z105 Z117:AB117 AB177 Z138:Z139 Z146 AB14 AB74 Z74 Z142 Z82 Z78:Z79 Z68 Z63:Z64 Z59 Z54 Z48:Z49 Z40 Z35:Z36 Z20:Z21 Z14 Z158 AB82 AB63:AB64 AB59 AB54 AB48:AB49 AB20:AB21 AB40 AB35:AB36 Z89 AB89 AB142 AB68 Z151 AB158 Z114:AB114 AA118:AA194 AB174 Z32 AA115:AA116 AA11:AA113 AB151 Q10:S194" xr:uid="{00000000-0002-0000-0500-000000000000}"/>
  </dataValidations>
  <printOptions horizontalCentered="1"/>
  <pageMargins left="0.59055118110236227" right="0.59055118110236227" top="0.78740157480314965" bottom="0.59055118110236227" header="0.51181102362204722" footer="0.51181102362204722"/>
  <pageSetup paperSize="9" scale="70" fitToHeight="0" orientation="portrait" verticalDpi="4294967293" r:id="rId1"/>
  <headerFooter alignWithMargins="0">
    <oddHeader>&amp;L&amp;F&amp;R&amp;A</oddHeader>
    <oddFooter>&amp;C&amp;P/&amp;N</oddFooter>
  </headerFooter>
  <rowBreaks count="2" manualBreakCount="2">
    <brk id="99" max="20" man="1"/>
    <brk id="195"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1">
    <pageSetUpPr autoPageBreaks="0" fitToPage="1"/>
  </sheetPr>
  <dimension ref="A1:AA503"/>
  <sheetViews>
    <sheetView showGridLines="0" topLeftCell="A448" zoomScale="85" zoomScaleNormal="85" workbookViewId="0">
      <selection activeCell="H446" sqref="H446"/>
    </sheetView>
  </sheetViews>
  <sheetFormatPr defaultColWidth="0" defaultRowHeight="13.5" zeroHeight="1"/>
  <cols>
    <col min="1" max="1" width="2.625" customWidth="1"/>
    <col min="2" max="3" width="6" hidden="1" customWidth="1"/>
    <col min="4" max="4" width="5" style="1387" customWidth="1"/>
    <col min="5" max="5" width="1.375" style="44" customWidth="1"/>
    <col min="6" max="15" width="10.625" style="44" customWidth="1"/>
    <col min="16" max="16" width="2.5" customWidth="1"/>
    <col min="17" max="17" width="9.75" hidden="1" customWidth="1"/>
    <col min="18" max="18" width="16.25" hidden="1" customWidth="1"/>
    <col min="19" max="19" width="3.375" hidden="1" customWidth="1"/>
    <col min="20" max="20" width="10.25" hidden="1" customWidth="1"/>
    <col min="21" max="21" width="13" hidden="1" customWidth="1"/>
    <col min="22" max="22" width="9.75" hidden="1" customWidth="1"/>
    <col min="23" max="23" width="13.75" hidden="1" customWidth="1"/>
    <col min="24" max="26" width="9" hidden="1" customWidth="1"/>
    <col min="27" max="27" width="10.125" hidden="1" customWidth="1"/>
    <col min="28" max="16384" width="9" hidden="1"/>
  </cols>
  <sheetData>
    <row r="1" spans="2:15" ht="15.75">
      <c r="D1" s="499"/>
      <c r="E1" s="500"/>
      <c r="F1" s="500"/>
      <c r="G1" s="500"/>
      <c r="H1" s="500"/>
      <c r="I1" s="500"/>
      <c r="J1" s="500"/>
      <c r="K1" s="500"/>
      <c r="L1" s="500"/>
      <c r="M1" s="501" t="s">
        <v>2243</v>
      </c>
      <c r="N1" s="502" t="str">
        <f>メイン!C11</f>
        <v>○○ビル</v>
      </c>
      <c r="O1" s="502"/>
    </row>
    <row r="2" spans="2:15" ht="16.5" hidden="1" customHeight="1">
      <c r="D2" s="503"/>
      <c r="E2" s="404"/>
      <c r="F2">
        <v>1</v>
      </c>
      <c r="G2" t="s">
        <v>1791</v>
      </c>
      <c r="H2" t="s">
        <v>1792</v>
      </c>
      <c r="I2" s="404"/>
      <c r="J2" s="404"/>
      <c r="K2" s="404"/>
      <c r="L2" s="404"/>
      <c r="M2" s="404"/>
      <c r="N2" s="404"/>
      <c r="O2" s="404"/>
    </row>
    <row r="3" spans="2:15" ht="18.75" hidden="1" customHeight="1">
      <c r="D3" s="503"/>
      <c r="E3" s="404"/>
      <c r="F3">
        <v>2</v>
      </c>
      <c r="G3" t="s">
        <v>1099</v>
      </c>
      <c r="H3" t="s">
        <v>1100</v>
      </c>
      <c r="I3" s="404"/>
      <c r="J3" s="404"/>
      <c r="K3" t="s">
        <v>1098</v>
      </c>
      <c r="L3" t="s">
        <v>1123</v>
      </c>
      <c r="M3"/>
      <c r="N3" t="s">
        <v>2691</v>
      </c>
      <c r="O3" t="str">
        <f>メイン!I37</f>
        <v>基本設計段階</v>
      </c>
    </row>
    <row r="4" spans="2:15" ht="18.75" hidden="1" customHeight="1">
      <c r="D4" s="503"/>
      <c r="E4" s="404"/>
      <c r="F4">
        <v>3</v>
      </c>
      <c r="G4" t="s">
        <v>1105</v>
      </c>
      <c r="H4" t="s">
        <v>1106</v>
      </c>
      <c r="I4" s="404"/>
      <c r="J4" s="404"/>
      <c r="K4" s="404"/>
      <c r="L4"/>
      <c r="M4" t="s">
        <v>1610</v>
      </c>
      <c r="N4" t="s">
        <v>1611</v>
      </c>
      <c r="O4" t="str">
        <f>メイン!I38</f>
        <v>実施設計段階</v>
      </c>
    </row>
    <row r="5" spans="2:15" ht="18.75" hidden="1" customHeight="1">
      <c r="D5" s="503"/>
      <c r="E5" s="404"/>
      <c r="F5">
        <v>4</v>
      </c>
      <c r="G5" t="s">
        <v>1001</v>
      </c>
      <c r="H5" t="s">
        <v>1002</v>
      </c>
      <c r="I5" s="404"/>
      <c r="J5" s="404"/>
      <c r="K5" s="404"/>
      <c r="L5"/>
      <c r="M5"/>
      <c r="N5"/>
      <c r="O5" t="str">
        <f>メイン!I39</f>
        <v>竣工段階</v>
      </c>
    </row>
    <row r="6" spans="2:15" ht="18.75" hidden="1" customHeight="1">
      <c r="D6" s="503"/>
      <c r="E6" s="404"/>
      <c r="F6">
        <v>5</v>
      </c>
      <c r="G6" t="s">
        <v>1008</v>
      </c>
      <c r="H6" t="s">
        <v>1009</v>
      </c>
      <c r="I6" s="404"/>
      <c r="J6" s="404"/>
      <c r="K6" s="404"/>
      <c r="L6"/>
      <c r="M6"/>
      <c r="N6"/>
      <c r="O6">
        <f>メイン!Q42</f>
        <v>0</v>
      </c>
    </row>
    <row r="7" spans="2:15" ht="18.75" hidden="1" customHeight="1">
      <c r="D7" s="503"/>
      <c r="E7" s="404"/>
      <c r="F7">
        <v>0</v>
      </c>
      <c r="G7" t="s">
        <v>1419</v>
      </c>
      <c r="H7" t="s">
        <v>1419</v>
      </c>
      <c r="I7" s="404"/>
      <c r="J7" s="404"/>
      <c r="K7" s="404"/>
      <c r="L7" s="404"/>
      <c r="M7" s="404"/>
      <c r="N7" s="404"/>
      <c r="O7" s="404"/>
    </row>
    <row r="8" spans="2:15" ht="16.5" thickBot="1">
      <c r="D8" s="503"/>
      <c r="E8" s="404"/>
      <c r="F8"/>
      <c r="G8"/>
      <c r="H8"/>
      <c r="I8" s="404"/>
      <c r="J8" s="404"/>
      <c r="K8" s="404"/>
      <c r="L8" s="404"/>
      <c r="M8" s="404"/>
      <c r="N8" s="404"/>
      <c r="O8" s="404"/>
    </row>
    <row r="9" spans="2:15" ht="18.75" thickBot="1">
      <c r="D9" s="785" t="s">
        <v>1609</v>
      </c>
      <c r="E9" s="504"/>
      <c r="F9" s="404"/>
      <c r="G9" s="404"/>
      <c r="H9" s="404"/>
      <c r="I9" s="505"/>
      <c r="J9" s="506" t="s">
        <v>3234</v>
      </c>
      <c r="K9" s="63"/>
      <c r="L9" s="63"/>
      <c r="M9" s="404"/>
      <c r="N9" s="404"/>
      <c r="O9" s="507" t="str">
        <f>IF(メイン!E39=0,"",メイン!E39)</f>
        <v>実施設計段階</v>
      </c>
    </row>
    <row r="10" spans="2:15" ht="17.25">
      <c r="D10" s="503"/>
      <c r="E10" s="504"/>
      <c r="F10" s="404"/>
      <c r="G10" s="404"/>
      <c r="H10" s="404"/>
      <c r="I10" s="404"/>
      <c r="J10" s="2257" t="s">
        <v>4182</v>
      </c>
      <c r="K10" s="404"/>
      <c r="L10" s="404"/>
      <c r="M10" s="404"/>
      <c r="N10" s="404"/>
      <c r="O10" s="404"/>
    </row>
    <row r="11" spans="2:15" ht="15.75">
      <c r="D11" s="499">
        <v>1</v>
      </c>
      <c r="E11" s="508" t="s">
        <v>1124</v>
      </c>
      <c r="F11" s="508"/>
      <c r="G11" s="508"/>
      <c r="H11" s="509"/>
      <c r="I11" s="509"/>
      <c r="J11" s="509"/>
      <c r="K11" s="509"/>
      <c r="L11" s="509"/>
      <c r="M11" s="509"/>
      <c r="N11" s="509"/>
      <c r="O11" s="509"/>
    </row>
    <row r="12" spans="2:15" ht="15.75">
      <c r="D12" s="499">
        <v>1.1000000000000001</v>
      </c>
      <c r="E12" s="510" t="s">
        <v>785</v>
      </c>
      <c r="F12" s="508"/>
      <c r="G12" s="508"/>
      <c r="H12" s="509"/>
      <c r="I12"/>
      <c r="J12" t="str">
        <f>IF(OR(F14=0,AND(J13=0,O13=0)),$L$3,"")</f>
        <v/>
      </c>
      <c r="K12"/>
      <c r="L12" s="509"/>
      <c r="M12" s="509"/>
      <c r="N12" s="509"/>
      <c r="O12" s="514" t="s">
        <v>1612</v>
      </c>
    </row>
    <row r="13" spans="2:15" ht="15.75" customHeight="1" thickBot="1">
      <c r="E13" s="63"/>
      <c r="F13" s="515" t="s">
        <v>1613</v>
      </c>
      <c r="G13" s="516"/>
      <c r="H13" s="517"/>
      <c r="I13" s="518" t="s">
        <v>1126</v>
      </c>
      <c r="J13" s="519">
        <f>重み!M11</f>
        <v>0.46666666666666667</v>
      </c>
      <c r="K13" s="520"/>
      <c r="L13" s="515" t="s">
        <v>1614</v>
      </c>
      <c r="M13" s="516"/>
      <c r="N13" s="518" t="s">
        <v>1126</v>
      </c>
      <c r="O13" s="521">
        <f>重み!N11</f>
        <v>0.33333333333333331</v>
      </c>
    </row>
    <row r="14" spans="2:15" ht="27" customHeight="1" thickBot="1">
      <c r="E14" s="63"/>
      <c r="F14" s="522">
        <v>3</v>
      </c>
      <c r="G14" s="2083" t="s">
        <v>3129</v>
      </c>
      <c r="H14" s="1462" t="s">
        <v>2543</v>
      </c>
      <c r="I14" s="525" t="s">
        <v>2544</v>
      </c>
      <c r="J14" s="524" t="s">
        <v>3130</v>
      </c>
      <c r="K14" s="523" t="s">
        <v>1127</v>
      </c>
      <c r="L14" s="522">
        <v>3</v>
      </c>
      <c r="M14" s="526" t="s">
        <v>1128</v>
      </c>
      <c r="N14" s="527"/>
      <c r="O14" s="528"/>
    </row>
    <row r="15" spans="2:15" ht="27" customHeight="1">
      <c r="B15" s="1">
        <v>1</v>
      </c>
      <c r="C15" s="1">
        <v>1</v>
      </c>
      <c r="E15" s="63"/>
      <c r="F15" s="529" t="str">
        <f>IF(F14=$F$7,$G$2,IF(ROUNDDOWN(F14,0)=$F$2,$H$2,$G$2))</f>
        <v>　レベル　1</v>
      </c>
      <c r="G15" s="530" t="s">
        <v>1129</v>
      </c>
      <c r="H15" s="530" t="s">
        <v>1130</v>
      </c>
      <c r="I15" s="530" t="s">
        <v>1131</v>
      </c>
      <c r="J15" s="530" t="s">
        <v>1132</v>
      </c>
      <c r="K15" s="530" t="s">
        <v>1789</v>
      </c>
      <c r="L15" s="529" t="str">
        <f>IF(L14=$F$7,$G$2,IF(ROUNDDOWN(L14,0)=$F$2,$H$2,$G$2))</f>
        <v>　レベル　1</v>
      </c>
      <c r="M15" s="531" t="s">
        <v>1790</v>
      </c>
      <c r="N15" s="532"/>
      <c r="O15" s="533"/>
    </row>
    <row r="16" spans="2:15" ht="27" customHeight="1">
      <c r="B16" s="1">
        <v>2</v>
      </c>
      <c r="C16" s="1" t="s">
        <v>1793</v>
      </c>
      <c r="E16" s="63"/>
      <c r="F16" s="534" t="str">
        <f>IF(F14=$F$7,$G$3,IF(ROUNDDOWN(F14,0)=$F$3,$H$3,$G$3))</f>
        <v>　レベル　2</v>
      </c>
      <c r="G16" s="542" t="s">
        <v>1794</v>
      </c>
      <c r="H16" s="542" t="s">
        <v>1794</v>
      </c>
      <c r="I16" s="543" t="s">
        <v>1794</v>
      </c>
      <c r="J16" s="543" t="s">
        <v>1794</v>
      </c>
      <c r="K16" s="536" t="s">
        <v>1795</v>
      </c>
      <c r="L16" s="534" t="str">
        <f>IF(L14=$F$7,$G$3,IF(ROUNDDOWN(L14,0)=$F$3,$H$3,$G$3))</f>
        <v>　レベル　2</v>
      </c>
      <c r="M16" s="537" t="s">
        <v>1794</v>
      </c>
      <c r="N16" s="538"/>
      <c r="O16" s="539"/>
    </row>
    <row r="17" spans="2:15" ht="27" customHeight="1">
      <c r="B17" s="1">
        <v>3</v>
      </c>
      <c r="C17" s="1">
        <v>3</v>
      </c>
      <c r="E17" s="63"/>
      <c r="F17" s="534" t="str">
        <f>IF(F14=$F$7,$G$4,IF(ROUNDDOWN(F14,0)=$F$4,$H$4,$G$4))</f>
        <v>■レベル　3</v>
      </c>
      <c r="G17" s="536" t="s">
        <v>1101</v>
      </c>
      <c r="H17" s="536" t="s">
        <v>1102</v>
      </c>
      <c r="I17" s="536" t="s">
        <v>1103</v>
      </c>
      <c r="J17" s="540" t="s">
        <v>1104</v>
      </c>
      <c r="K17" s="536" t="s">
        <v>1101</v>
      </c>
      <c r="L17" s="534" t="str">
        <f>IF(L14=$F$7,$G$4,IF(ROUNDDOWN(L14,0)=$F$4,$H$4,$G$4))</f>
        <v>■レベル　3</v>
      </c>
      <c r="M17" s="537" t="s">
        <v>1102</v>
      </c>
      <c r="N17" s="538"/>
      <c r="O17" s="539"/>
    </row>
    <row r="18" spans="2:15" ht="27" customHeight="1">
      <c r="B18" s="1">
        <v>4</v>
      </c>
      <c r="C18" s="1">
        <v>4</v>
      </c>
      <c r="E18" s="63"/>
      <c r="F18" s="534" t="str">
        <f>IF(F14=$F$7,$G$5,IF(ROUNDDOWN(F14,0)=$F$5,$H$5,$G$5))</f>
        <v>　レベル　4</v>
      </c>
      <c r="G18" s="541" t="s">
        <v>1102</v>
      </c>
      <c r="H18" s="542" t="s">
        <v>1104</v>
      </c>
      <c r="I18" s="543" t="s">
        <v>1101</v>
      </c>
      <c r="J18" s="543" t="s">
        <v>1107</v>
      </c>
      <c r="K18" s="541" t="s">
        <v>1108</v>
      </c>
      <c r="L18" s="534" t="str">
        <f>IF(L14=$F$7,$G$5,IF(ROUNDDOWN(L14,0)=$F$5,$H$5,$G$5))</f>
        <v>　レベル　4</v>
      </c>
      <c r="M18" s="537" t="s">
        <v>1000</v>
      </c>
      <c r="N18" s="538"/>
      <c r="O18" s="539"/>
    </row>
    <row r="19" spans="2:15" ht="27" customHeight="1">
      <c r="B19" s="1">
        <v>5</v>
      </c>
      <c r="C19" s="1">
        <v>5</v>
      </c>
      <c r="E19" s="63"/>
      <c r="F19" s="544" t="str">
        <f>IF(F14=$F$7,$G$6,IF(ROUNDDOWN(F14,0)=$F$6,$H$6,$G$6))</f>
        <v>　レベル　5</v>
      </c>
      <c r="G19" s="545" t="s">
        <v>1003</v>
      </c>
      <c r="H19" s="546" t="s">
        <v>1004</v>
      </c>
      <c r="I19" s="547" t="s">
        <v>1005</v>
      </c>
      <c r="J19" s="547" t="s">
        <v>1006</v>
      </c>
      <c r="K19" s="545" t="s">
        <v>1007</v>
      </c>
      <c r="L19" s="544" t="str">
        <f>IF(L14=$F$7,$G$6,IF(ROUNDDOWN(L14,0)=$F$6,$H$6,$G$6))</f>
        <v>　レベル　5</v>
      </c>
      <c r="M19" s="548" t="s">
        <v>1007</v>
      </c>
      <c r="N19" s="549"/>
      <c r="O19" s="550"/>
    </row>
    <row r="20" spans="2:15">
      <c r="B20" s="551">
        <v>0</v>
      </c>
      <c r="C20" s="551">
        <v>0</v>
      </c>
      <c r="E20" s="63"/>
      <c r="F20" s="839" t="s">
        <v>2938</v>
      </c>
      <c r="G20" s="1941"/>
      <c r="H20" s="1915"/>
      <c r="I20" s="1915"/>
      <c r="J20" s="1916"/>
      <c r="K20" s="1918"/>
      <c r="L20" s="1231"/>
      <c r="M20"/>
      <c r="N20"/>
      <c r="O20"/>
    </row>
    <row r="21" spans="2:15" hidden="1">
      <c r="B21" s="870"/>
      <c r="C21" s="870"/>
      <c r="E21" s="63"/>
      <c r="F21" t="s">
        <v>1010</v>
      </c>
      <c r="G21"/>
      <c r="H21"/>
      <c r="I21"/>
      <c r="J21"/>
      <c r="K21"/>
      <c r="L21"/>
      <c r="M21"/>
      <c r="N21"/>
      <c r="O21"/>
    </row>
    <row r="22" spans="2:15" hidden="1">
      <c r="E22" s="63"/>
      <c r="F22" s="553" t="s">
        <v>2541</v>
      </c>
      <c r="G22" s="554" t="s">
        <v>1420</v>
      </c>
      <c r="H22" s="554" t="s">
        <v>1421</v>
      </c>
      <c r="I22" s="554" t="s">
        <v>1422</v>
      </c>
      <c r="J22" s="554" t="s">
        <v>1423</v>
      </c>
      <c r="K22" s="554" t="s">
        <v>1424</v>
      </c>
      <c r="L22" s="554" t="s">
        <v>1420</v>
      </c>
      <c r="M22" s="554" t="s">
        <v>1421</v>
      </c>
      <c r="N22" s="554" t="s">
        <v>1422</v>
      </c>
      <c r="O22" s="554" t="s">
        <v>1423</v>
      </c>
    </row>
    <row r="23" spans="2:15" hidden="1">
      <c r="E23" s="63"/>
      <c r="F23" s="553" t="s">
        <v>1425</v>
      </c>
      <c r="G23" s="555" t="s">
        <v>1426</v>
      </c>
      <c r="H23" s="555" t="s">
        <v>1427</v>
      </c>
      <c r="I23" s="555" t="s">
        <v>1428</v>
      </c>
      <c r="J23" s="555" t="s">
        <v>894</v>
      </c>
      <c r="K23" s="555" t="s">
        <v>895</v>
      </c>
      <c r="L23" s="555" t="s">
        <v>1426</v>
      </c>
      <c r="M23" s="555" t="s">
        <v>1427</v>
      </c>
      <c r="N23" s="555" t="s">
        <v>1428</v>
      </c>
      <c r="O23" s="555" t="s">
        <v>894</v>
      </c>
    </row>
    <row r="24" spans="2:15" hidden="1">
      <c r="E24" s="63"/>
      <c r="F24" s="556" t="s">
        <v>896</v>
      </c>
      <c r="G24" s="557" t="s">
        <v>1011</v>
      </c>
      <c r="H24" s="558" t="s">
        <v>1012</v>
      </c>
      <c r="I24" s="558"/>
      <c r="J24" s="558"/>
      <c r="K24" s="558" t="s">
        <v>1013</v>
      </c>
      <c r="L24" s="557" t="s">
        <v>1011</v>
      </c>
      <c r="M24" s="558" t="s">
        <v>1012</v>
      </c>
      <c r="N24" s="558"/>
      <c r="O24" s="558"/>
    </row>
    <row r="25" spans="2:15" hidden="1">
      <c r="E25" s="63"/>
      <c r="F25" s="3316" t="s">
        <v>1014</v>
      </c>
      <c r="G25" s="559"/>
      <c r="H25" s="560"/>
      <c r="I25" s="561" t="s">
        <v>1015</v>
      </c>
      <c r="J25" s="561"/>
      <c r="K25" s="562" t="s">
        <v>1016</v>
      </c>
      <c r="L25" s="559"/>
      <c r="M25" s="560"/>
      <c r="N25" s="561" t="s">
        <v>1015</v>
      </c>
      <c r="O25" s="561"/>
    </row>
    <row r="26" spans="2:15" hidden="1">
      <c r="E26" s="63"/>
      <c r="F26" s="3317"/>
      <c r="G26" s="563"/>
      <c r="H26" s="564"/>
      <c r="I26" s="565" t="s">
        <v>897</v>
      </c>
      <c r="J26" s="564"/>
      <c r="K26" s="566" t="s">
        <v>898</v>
      </c>
      <c r="L26" s="563"/>
      <c r="M26" s="564"/>
      <c r="N26" s="565" t="s">
        <v>897</v>
      </c>
      <c r="O26" s="564"/>
    </row>
    <row r="27" spans="2:15" hidden="1">
      <c r="E27" s="63"/>
      <c r="F27" s="567" t="s">
        <v>899</v>
      </c>
      <c r="G27" s="560" t="s">
        <v>147</v>
      </c>
      <c r="H27" s="560" t="s">
        <v>900</v>
      </c>
      <c r="I27" s="560" t="s">
        <v>901</v>
      </c>
      <c r="J27" s="560" t="s">
        <v>902</v>
      </c>
      <c r="K27" s="560" t="s">
        <v>148</v>
      </c>
      <c r="L27" s="560" t="s">
        <v>147</v>
      </c>
      <c r="M27" s="560" t="s">
        <v>900</v>
      </c>
      <c r="N27" s="560" t="s">
        <v>901</v>
      </c>
      <c r="O27" s="560" t="s">
        <v>902</v>
      </c>
    </row>
    <row r="28" spans="2:15" hidden="1">
      <c r="E28" s="63"/>
      <c r="F28" s="568" t="s">
        <v>150</v>
      </c>
      <c r="G28" s="569"/>
      <c r="H28" s="569" t="s">
        <v>151</v>
      </c>
      <c r="I28" s="569" t="s">
        <v>152</v>
      </c>
      <c r="J28" s="569" t="s">
        <v>153</v>
      </c>
      <c r="K28" s="570" t="s">
        <v>154</v>
      </c>
      <c r="L28" s="569"/>
      <c r="M28" s="569" t="s">
        <v>151</v>
      </c>
      <c r="N28" s="569" t="s">
        <v>152</v>
      </c>
      <c r="O28" s="569" t="s">
        <v>153</v>
      </c>
    </row>
    <row r="29" spans="2:15" hidden="1">
      <c r="E29" s="63"/>
      <c r="F29" s="568" t="s">
        <v>1620</v>
      </c>
      <c r="G29" s="569"/>
      <c r="H29" s="569" t="s">
        <v>155</v>
      </c>
      <c r="I29" s="569" t="s">
        <v>156</v>
      </c>
      <c r="J29" s="569" t="s">
        <v>862</v>
      </c>
      <c r="K29" s="569" t="s">
        <v>1533</v>
      </c>
      <c r="L29" s="569"/>
      <c r="M29" s="569" t="s">
        <v>155</v>
      </c>
      <c r="N29" s="569" t="s">
        <v>156</v>
      </c>
      <c r="O29" s="569" t="s">
        <v>862</v>
      </c>
    </row>
    <row r="30" spans="2:15" hidden="1">
      <c r="E30" s="63"/>
      <c r="F30" s="568" t="s">
        <v>989</v>
      </c>
      <c r="G30" s="569"/>
      <c r="H30" s="569"/>
      <c r="I30" s="569"/>
      <c r="J30" s="569" t="s">
        <v>990</v>
      </c>
      <c r="K30" s="569" t="s">
        <v>991</v>
      </c>
      <c r="L30" s="569"/>
      <c r="M30" s="569"/>
      <c r="N30" s="569"/>
      <c r="O30" s="569" t="s">
        <v>990</v>
      </c>
    </row>
    <row r="31" spans="2:15" hidden="1">
      <c r="E31" s="63"/>
      <c r="F31" s="568" t="s">
        <v>149</v>
      </c>
      <c r="G31" s="569"/>
      <c r="H31" s="569"/>
      <c r="I31" s="569"/>
      <c r="J31" s="570" t="s">
        <v>1781</v>
      </c>
      <c r="K31" s="569" t="s">
        <v>1782</v>
      </c>
      <c r="L31" s="569"/>
      <c r="M31" s="569"/>
      <c r="N31" s="569"/>
      <c r="O31" s="570" t="s">
        <v>1781</v>
      </c>
    </row>
    <row r="32" spans="2:15" hidden="1">
      <c r="E32" s="63"/>
      <c r="F32" s="568" t="s">
        <v>1805</v>
      </c>
      <c r="G32" s="569"/>
      <c r="H32" s="569"/>
      <c r="I32" s="569"/>
      <c r="J32" s="569" t="s">
        <v>1806</v>
      </c>
      <c r="K32" s="569" t="s">
        <v>1807</v>
      </c>
      <c r="L32" s="569"/>
      <c r="M32" s="569"/>
      <c r="N32" s="569"/>
      <c r="O32" s="569" t="s">
        <v>1806</v>
      </c>
    </row>
    <row r="33" spans="5:15" hidden="1">
      <c r="E33" s="63"/>
      <c r="F33" s="568" t="s">
        <v>1808</v>
      </c>
      <c r="G33" s="569"/>
      <c r="H33" s="569"/>
      <c r="I33" s="569"/>
      <c r="J33" s="569" t="s">
        <v>1809</v>
      </c>
      <c r="K33" s="569" t="s">
        <v>671</v>
      </c>
      <c r="L33" s="569"/>
      <c r="M33" s="569"/>
      <c r="N33" s="569"/>
      <c r="O33" s="569" t="s">
        <v>1809</v>
      </c>
    </row>
    <row r="34" spans="5:15" hidden="1">
      <c r="E34" s="63"/>
      <c r="F34" s="3318" t="s">
        <v>1803</v>
      </c>
      <c r="G34" s="569"/>
      <c r="H34" s="569"/>
      <c r="I34" s="569"/>
      <c r="J34" s="569"/>
      <c r="K34" s="571" t="s">
        <v>1804</v>
      </c>
      <c r="L34" s="569"/>
      <c r="M34" s="569"/>
      <c r="N34" s="569"/>
      <c r="O34" s="569"/>
    </row>
    <row r="35" spans="5:15" ht="21" hidden="1">
      <c r="E35" s="63"/>
      <c r="F35" s="3319"/>
      <c r="G35" s="564"/>
      <c r="H35" s="564"/>
      <c r="I35" s="564"/>
      <c r="J35" s="564"/>
      <c r="K35" s="572" t="s">
        <v>903</v>
      </c>
      <c r="L35" s="564"/>
      <c r="M35" s="564"/>
      <c r="N35" s="564"/>
      <c r="O35" s="564"/>
    </row>
    <row r="36" spans="5:15" hidden="1">
      <c r="E36" s="63"/>
      <c r="F36" s="404"/>
      <c r="G36" s="573"/>
      <c r="H36" s="573"/>
      <c r="I36" s="573"/>
      <c r="J36" s="573"/>
      <c r="K36" s="573"/>
      <c r="L36" s="573"/>
      <c r="M36" s="573"/>
      <c r="N36" s="573"/>
      <c r="O36" s="573"/>
    </row>
    <row r="37" spans="5:15" hidden="1">
      <c r="E37" s="63"/>
      <c r="F37" s="404"/>
      <c r="G37" s="574"/>
      <c r="H37" s="574"/>
      <c r="I37" s="574"/>
      <c r="J37" s="574"/>
      <c r="K37" s="574"/>
      <c r="L37" s="574"/>
      <c r="M37" s="574"/>
      <c r="N37" s="574"/>
      <c r="O37" s="574"/>
    </row>
    <row r="38" spans="5:15" ht="14.25" hidden="1">
      <c r="E38" s="63"/>
      <c r="F38" s="1350" t="s">
        <v>2053</v>
      </c>
      <c r="G38" s="575"/>
      <c r="H38" s="576"/>
      <c r="I38" s="577"/>
      <c r="J38" s="578" t="str">
        <f>IF(OR(F40=0,AND(J39=0,O39=0)),$L$3,"")</f>
        <v>&lt;評価しない&gt;</v>
      </c>
      <c r="K38" s="577"/>
      <c r="L38" s="575"/>
      <c r="M38" s="576"/>
      <c r="N38" s="577"/>
      <c r="O38" s="578"/>
    </row>
    <row r="39" spans="5:15" ht="14.25" hidden="1" thickBot="1">
      <c r="E39" s="63"/>
      <c r="F39" s="515" t="s">
        <v>904</v>
      </c>
      <c r="G39" s="516"/>
      <c r="H39" s="517"/>
      <c r="I39" s="518" t="s">
        <v>1126</v>
      </c>
      <c r="J39" s="521">
        <f>重み!M13</f>
        <v>0</v>
      </c>
      <c r="K39" s="515" t="s">
        <v>1614</v>
      </c>
      <c r="L39" s="516"/>
      <c r="M39" s="517"/>
      <c r="N39" s="518" t="s">
        <v>1126</v>
      </c>
      <c r="O39" s="521">
        <f>重み!N13</f>
        <v>0</v>
      </c>
    </row>
    <row r="40" spans="5:15" ht="14.25" hidden="1" thickBot="1">
      <c r="E40" s="63"/>
      <c r="F40" s="579">
        <f>IF(J39=0,0,F51)</f>
        <v>0</v>
      </c>
      <c r="G40" s="527" t="s">
        <v>905</v>
      </c>
      <c r="H40" s="527"/>
      <c r="I40" s="3330" t="s">
        <v>906</v>
      </c>
      <c r="J40" s="3331"/>
      <c r="K40" s="579">
        <f>IF(O39=0,0,IF(O51+K63=0,0,ROUND(G51*O51/(O51+K63)+G63*K63/(O51+K63),0)))</f>
        <v>0</v>
      </c>
      <c r="L40" s="580" t="s">
        <v>907</v>
      </c>
      <c r="M40" s="581" t="s">
        <v>908</v>
      </c>
      <c r="N40" s="3320" t="s">
        <v>2055</v>
      </c>
      <c r="O40" s="3321"/>
    </row>
    <row r="41" spans="5:15" ht="56.25" hidden="1">
      <c r="E41" s="63"/>
      <c r="F41" s="534" t="str">
        <f>IF(F40=$F$7,$G$2,IF(ROUNDDOWN(F40,0)=$F$2,$H$2,$G$2))</f>
        <v>　レベル　1</v>
      </c>
      <c r="G41" s="3322" t="s">
        <v>2056</v>
      </c>
      <c r="H41" s="3323"/>
      <c r="I41" s="3322" t="s">
        <v>2056</v>
      </c>
      <c r="J41" s="3323"/>
      <c r="K41" s="534" t="str">
        <f>IF(K40=$F$7,$G$2,IF(ROUNDDOWN(K40,0)=$F$2,$H$2,$G$2))</f>
        <v>　レベル　1</v>
      </c>
      <c r="L41" s="582" t="s">
        <v>2056</v>
      </c>
      <c r="M41" s="582" t="s">
        <v>2056</v>
      </c>
      <c r="N41" s="3322" t="s">
        <v>2056</v>
      </c>
      <c r="O41" s="3329"/>
    </row>
    <row r="42" spans="5:15" ht="56.25" hidden="1">
      <c r="E42" s="63"/>
      <c r="F42" s="534" t="str">
        <f>IF(F40=$F$7,$G$3,IF(ROUNDDOWN(F40,0)=$F$3,$H$3,$G$3))</f>
        <v>　レベル　2</v>
      </c>
      <c r="G42" s="3328" t="s">
        <v>1371</v>
      </c>
      <c r="H42" s="3334"/>
      <c r="I42" s="3328" t="s">
        <v>909</v>
      </c>
      <c r="J42" s="3334"/>
      <c r="K42" s="534" t="str">
        <f>IF(K40=$F$7,$G$3,IF(ROUNDDOWN(K40,0)=$F$3,$H$3,$G$3))</f>
        <v>　レベル　2</v>
      </c>
      <c r="L42" s="541" t="s">
        <v>1371</v>
      </c>
      <c r="M42" s="541" t="s">
        <v>909</v>
      </c>
      <c r="N42" s="3328"/>
      <c r="O42" s="3327"/>
    </row>
    <row r="43" spans="5:15" ht="56.25" hidden="1">
      <c r="E43" s="63"/>
      <c r="F43" s="534" t="str">
        <f>IF(F40=$F$7,$G$4,IF(ROUNDDOWN(F40,0)=$F$4,$H$4,$G$4))</f>
        <v>　レベル　3</v>
      </c>
      <c r="G43" s="3328" t="s">
        <v>1372</v>
      </c>
      <c r="H43" s="3334"/>
      <c r="I43" s="3328" t="s">
        <v>158</v>
      </c>
      <c r="J43" s="3334"/>
      <c r="K43" s="534" t="str">
        <f>IF(K40=$F$7,$G$4,IF(ROUNDDOWN(K40,0)=$F$4,$H$4,$G$4))</f>
        <v>　レベル　3</v>
      </c>
      <c r="L43" s="541" t="s">
        <v>1372</v>
      </c>
      <c r="M43" s="541" t="s">
        <v>158</v>
      </c>
      <c r="N43" s="3328" t="s">
        <v>1373</v>
      </c>
      <c r="O43" s="3327"/>
    </row>
    <row r="44" spans="5:15" ht="56.25" hidden="1">
      <c r="E44" s="63"/>
      <c r="F44" s="534" t="str">
        <f>IF(F40=$F$7,$G$5,IF(ROUNDDOWN(F40,0)=$F$5,$H$5,$G$5))</f>
        <v>　レベル　4</v>
      </c>
      <c r="G44" s="3328" t="s">
        <v>1374</v>
      </c>
      <c r="H44" s="3334"/>
      <c r="I44" s="3328" t="s">
        <v>567</v>
      </c>
      <c r="J44" s="3334"/>
      <c r="K44" s="534" t="str">
        <f>IF(K40=$F$7,$G$5,IF(ROUNDDOWN(K40,0)=$F$5,$H$5,$G$5))</f>
        <v>　レベル　4</v>
      </c>
      <c r="L44" s="541" t="s">
        <v>1374</v>
      </c>
      <c r="M44" s="541" t="s">
        <v>567</v>
      </c>
      <c r="N44" s="3328"/>
      <c r="O44" s="3327"/>
    </row>
    <row r="45" spans="5:15" ht="56.25" hidden="1">
      <c r="E45" s="500"/>
      <c r="F45" s="544" t="str">
        <f>IF(F40=$F$7,$G$6,IF(ROUNDDOWN(F40,0)=$F$6,$H$6,$G$6))</f>
        <v>　レベル　5</v>
      </c>
      <c r="G45" s="3332" t="s">
        <v>1375</v>
      </c>
      <c r="H45" s="3333"/>
      <c r="I45" s="3332" t="s">
        <v>1375</v>
      </c>
      <c r="J45" s="3333"/>
      <c r="K45" s="544" t="str">
        <f>IF(K40=$F$7,$G$6,IF(ROUNDDOWN(K40,0)=$F$6,$H$6,$G$6))</f>
        <v>　レベル　5</v>
      </c>
      <c r="L45" s="545" t="s">
        <v>1375</v>
      </c>
      <c r="M45" s="545" t="s">
        <v>1375</v>
      </c>
      <c r="N45" s="3332" t="s">
        <v>1375</v>
      </c>
      <c r="O45" s="3325"/>
    </row>
    <row r="46" spans="5:15" ht="14.25" hidden="1" thickBot="1">
      <c r="E46" s="583"/>
      <c r="F46" s="56" t="s">
        <v>1376</v>
      </c>
      <c r="G46" s="584"/>
      <c r="H46" s="584"/>
      <c r="I46" s="584"/>
      <c r="J46" s="584"/>
      <c r="K46" s="585"/>
      <c r="L46" s="585"/>
      <c r="M46" s="584"/>
      <c r="N46" s="584"/>
      <c r="O46" s="584"/>
    </row>
    <row r="47" spans="5:15" ht="14.25" hidden="1" thickBot="1">
      <c r="E47" s="583"/>
      <c r="F47" s="586"/>
      <c r="G47" s="585" t="s">
        <v>1377</v>
      </c>
      <c r="H47" s="585"/>
      <c r="I47" s="587"/>
      <c r="J47" s="585"/>
      <c r="K47" s="585"/>
      <c r="L47" s="585"/>
      <c r="M47" s="585"/>
      <c r="N47" s="585"/>
      <c r="O47" s="585"/>
    </row>
    <row r="48" spans="5:15" ht="15.75" hidden="1">
      <c r="E48" s="588"/>
      <c r="F48" s="588"/>
      <c r="G48" s="589"/>
      <c r="H48" s="589"/>
      <c r="I48" s="589"/>
      <c r="J48" s="584"/>
      <c r="K48" s="585"/>
      <c r="L48" s="585"/>
      <c r="M48" s="585"/>
      <c r="N48" s="585"/>
      <c r="O48" s="585"/>
    </row>
    <row r="49" spans="2:15" ht="14.25" hidden="1" thickBot="1">
      <c r="E49" s="583"/>
      <c r="F49" s="590" t="s">
        <v>568</v>
      </c>
      <c r="G49" s="591" t="s">
        <v>569</v>
      </c>
      <c r="H49" s="585"/>
      <c r="I49" s="585"/>
      <c r="J49" s="584"/>
      <c r="K49" s="585"/>
      <c r="L49" s="585"/>
      <c r="M49" s="585"/>
      <c r="N49" s="585"/>
      <c r="O49" s="585"/>
    </row>
    <row r="50" spans="2:15" ht="14.25" hidden="1" thickBot="1">
      <c r="E50" s="583"/>
      <c r="F50" s="522">
        <v>0</v>
      </c>
      <c r="G50" s="522">
        <v>0</v>
      </c>
      <c r="H50" s="592" t="s">
        <v>2217</v>
      </c>
      <c r="I50" s="593" t="s">
        <v>2426</v>
      </c>
      <c r="J50" s="585"/>
      <c r="K50" s="584"/>
      <c r="L50" s="585"/>
      <c r="M50" s="585"/>
      <c r="N50" s="585"/>
      <c r="O50" s="585"/>
    </row>
    <row r="51" spans="2:15" ht="14.25" hidden="1" thickBot="1">
      <c r="B51" s="1">
        <v>1</v>
      </c>
      <c r="C51" s="1">
        <v>1</v>
      </c>
      <c r="E51" s="583"/>
      <c r="F51" s="524">
        <f>IF(I50=N4,F50,IF(AND(M51&lt;2000,F47=M4),IF($F$60&lt;1,1,IF($F$60&lt;2,2,IF($F$60&lt;3,3,IF($F$60&lt;4,4,5)))),IF($F$60&lt;2,1,IF($F$60&lt;4,2,IF($F$60&lt;6,3,IF($F$60&lt;8,4,5))))))</f>
        <v>0</v>
      </c>
      <c r="G51" s="524">
        <f>IF(I50=N4,G50,IF(AND(M51&lt;2000,F47=M4),IF($G$60&lt;1,1,IF($G$60&lt;2,2,IF($G$60&lt;3,3,IF($G$60&lt;4,4,5)))),IF($G$60&lt;2,1,IF($G$60&lt;4,2,IF($G$60&lt;6,3,IF($G$60&lt;8,4,5))))))</f>
        <v>0</v>
      </c>
      <c r="H51" s="527" t="s">
        <v>570</v>
      </c>
      <c r="I51" s="517"/>
      <c r="J51" s="594" t="s">
        <v>571</v>
      </c>
      <c r="K51" s="595"/>
      <c r="L51" s="596" t="s">
        <v>2218</v>
      </c>
      <c r="M51" s="597">
        <f>メイン!C19</f>
        <v>1500</v>
      </c>
      <c r="N51" s="598" t="s">
        <v>2142</v>
      </c>
      <c r="O51" s="599">
        <f>メイン!L69-メイン!L67</f>
        <v>0</v>
      </c>
    </row>
    <row r="52" spans="2:15" hidden="1">
      <c r="B52" s="1">
        <v>2</v>
      </c>
      <c r="C52" s="1">
        <v>2</v>
      </c>
      <c r="E52" s="63"/>
      <c r="F52" s="600" t="s">
        <v>2219</v>
      </c>
      <c r="G52" s="600" t="s">
        <v>2219</v>
      </c>
      <c r="H52" s="3339" t="s">
        <v>2220</v>
      </c>
      <c r="I52" s="3340"/>
      <c r="J52" s="3335" t="s">
        <v>2221</v>
      </c>
      <c r="K52" s="3336"/>
      <c r="L52" s="601"/>
      <c r="M52" s="601"/>
      <c r="N52" s="601"/>
      <c r="O52" s="601"/>
    </row>
    <row r="53" spans="2:15" hidden="1">
      <c r="B53" s="1">
        <v>3</v>
      </c>
      <c r="C53" s="1">
        <v>3</v>
      </c>
      <c r="E53" s="63"/>
      <c r="F53" s="602" t="s">
        <v>2222</v>
      </c>
      <c r="G53" s="602" t="s">
        <v>2222</v>
      </c>
      <c r="H53" s="603" t="s">
        <v>1358</v>
      </c>
      <c r="I53" s="604"/>
      <c r="J53" s="605" t="s">
        <v>1359</v>
      </c>
      <c r="K53" s="604"/>
      <c r="L53" s="601"/>
      <c r="M53" s="601"/>
      <c r="N53" s="601"/>
      <c r="O53" s="601"/>
    </row>
    <row r="54" spans="2:15" hidden="1">
      <c r="B54" s="1">
        <v>4</v>
      </c>
      <c r="C54" s="1">
        <v>4</v>
      </c>
      <c r="E54" s="63"/>
      <c r="F54" s="602" t="s">
        <v>2219</v>
      </c>
      <c r="G54" s="602" t="s">
        <v>2222</v>
      </c>
      <c r="H54" s="603" t="s">
        <v>870</v>
      </c>
      <c r="I54" s="604"/>
      <c r="J54" s="605" t="s">
        <v>572</v>
      </c>
      <c r="K54" s="604"/>
      <c r="L54" s="517" t="s">
        <v>871</v>
      </c>
      <c r="M54" s="517"/>
      <c r="N54" s="517"/>
      <c r="O54" s="606"/>
    </row>
    <row r="55" spans="2:15" hidden="1">
      <c r="B55" s="1">
        <v>5</v>
      </c>
      <c r="C55" s="1">
        <v>5</v>
      </c>
      <c r="E55" s="63"/>
      <c r="F55" s="602" t="s">
        <v>2222</v>
      </c>
      <c r="G55" s="602" t="s">
        <v>2219</v>
      </c>
      <c r="H55" s="603" t="s">
        <v>872</v>
      </c>
      <c r="I55" s="604"/>
      <c r="J55" s="605" t="s">
        <v>873</v>
      </c>
      <c r="K55" s="604"/>
      <c r="L55" s="527" t="s">
        <v>573</v>
      </c>
      <c r="M55" s="528"/>
      <c r="N55" s="607" t="s">
        <v>574</v>
      </c>
      <c r="O55" s="595"/>
    </row>
    <row r="56" spans="2:15" hidden="1">
      <c r="B56" s="551">
        <v>0</v>
      </c>
      <c r="C56" s="551">
        <v>0</v>
      </c>
      <c r="E56" s="63"/>
      <c r="F56" s="602" t="s">
        <v>2222</v>
      </c>
      <c r="G56" s="602" t="s">
        <v>2219</v>
      </c>
      <c r="H56" s="603" t="s">
        <v>874</v>
      </c>
      <c r="I56" s="604"/>
      <c r="J56" s="3335" t="s">
        <v>875</v>
      </c>
      <c r="K56" s="3340"/>
      <c r="L56" s="3337" t="s">
        <v>2043</v>
      </c>
      <c r="M56" s="3340"/>
      <c r="N56" s="3335" t="s">
        <v>2057</v>
      </c>
      <c r="O56" s="3336"/>
    </row>
    <row r="57" spans="2:15" hidden="1">
      <c r="E57" s="63"/>
      <c r="F57" s="602" t="s">
        <v>2222</v>
      </c>
      <c r="G57" s="602" t="s">
        <v>2219</v>
      </c>
      <c r="H57" s="603" t="s">
        <v>872</v>
      </c>
      <c r="I57" s="604"/>
      <c r="J57" s="3335" t="s">
        <v>2058</v>
      </c>
      <c r="K57" s="3338"/>
      <c r="L57" s="3337" t="s">
        <v>2059</v>
      </c>
      <c r="M57" s="3336"/>
      <c r="N57" s="3335" t="s">
        <v>2060</v>
      </c>
      <c r="O57" s="3336"/>
    </row>
    <row r="58" spans="2:15" hidden="1">
      <c r="E58" s="63"/>
      <c r="F58" s="602" t="s">
        <v>2219</v>
      </c>
      <c r="G58" s="602" t="s">
        <v>2222</v>
      </c>
      <c r="H58" s="603" t="s">
        <v>575</v>
      </c>
      <c r="I58" s="604"/>
      <c r="J58" s="605" t="s">
        <v>2061</v>
      </c>
      <c r="K58" s="604"/>
      <c r="L58" s="3337" t="s">
        <v>2062</v>
      </c>
      <c r="M58" s="3336"/>
      <c r="N58" s="3335" t="s">
        <v>2063</v>
      </c>
      <c r="O58" s="3336"/>
    </row>
    <row r="59" spans="2:15" ht="14.25" hidden="1" thickBot="1">
      <c r="E59" s="63"/>
      <c r="F59" s="608" t="s">
        <v>2222</v>
      </c>
      <c r="G59" s="608" t="s">
        <v>2222</v>
      </c>
      <c r="H59" s="603" t="s">
        <v>955</v>
      </c>
      <c r="I59" s="604"/>
      <c r="J59" s="605" t="s">
        <v>2064</v>
      </c>
      <c r="K59" s="604"/>
      <c r="L59" s="3337" t="s">
        <v>1775</v>
      </c>
      <c r="M59" s="3336"/>
      <c r="N59" s="3335" t="s">
        <v>1776</v>
      </c>
      <c r="O59" s="3336"/>
    </row>
    <row r="60" spans="2:15" hidden="1">
      <c r="E60" s="63"/>
      <c r="F60" s="609">
        <f>IF(F47=M4,COUNTIF(F56:F59,M4),COUNTIF(F52:F59,M4))</f>
        <v>5</v>
      </c>
      <c r="G60" s="610">
        <f>IF(F47=M4,COUNTIF(G56:G59,M4),COUNTIF(G52:G59,M4))</f>
        <v>4</v>
      </c>
      <c r="H60" s="601" t="s">
        <v>1777</v>
      </c>
      <c r="I60" s="611"/>
      <c r="J60" s="611"/>
      <c r="K60" s="611"/>
      <c r="L60" s="585"/>
      <c r="M60" s="585"/>
      <c r="N60" s="585"/>
      <c r="O60" s="585"/>
    </row>
    <row r="61" spans="2:15" ht="14.25" hidden="1" thickBot="1">
      <c r="E61" s="63"/>
      <c r="F61" s="500"/>
      <c r="G61" s="612" t="s">
        <v>1778</v>
      </c>
      <c r="H61" s="601"/>
      <c r="I61" s="611"/>
      <c r="J61" s="611"/>
      <c r="K61" s="585"/>
      <c r="L61" s="585"/>
      <c r="M61" s="585"/>
      <c r="N61" s="585"/>
      <c r="O61" s="585"/>
    </row>
    <row r="62" spans="2:15" ht="16.5" hidden="1" thickBot="1">
      <c r="E62" s="503"/>
      <c r="F62" s="500"/>
      <c r="G62" s="522">
        <v>0</v>
      </c>
      <c r="H62" s="592" t="s">
        <v>2217</v>
      </c>
      <c r="I62" s="593" t="s">
        <v>2426</v>
      </c>
      <c r="J62" s="585"/>
      <c r="K62" s="585"/>
      <c r="L62" s="601"/>
      <c r="M62" s="601"/>
      <c r="N62" s="601"/>
      <c r="O62" s="601"/>
    </row>
    <row r="63" spans="2:15" ht="15.75" hidden="1">
      <c r="B63" s="1">
        <v>1</v>
      </c>
      <c r="C63" s="1">
        <v>1</v>
      </c>
      <c r="E63" s="503"/>
      <c r="F63" s="613"/>
      <c r="G63" s="3343">
        <f>IF(I62=N4,G62,IF($G$70&lt;2,1,IF($G$70&lt;2,2,IF($G$70&lt;4,3,IF($G$70&lt;5,4,5)))))</f>
        <v>0</v>
      </c>
      <c r="H63" s="614" t="s">
        <v>1779</v>
      </c>
      <c r="I63" s="614"/>
      <c r="J63" s="614" t="s">
        <v>2142</v>
      </c>
      <c r="K63" s="599">
        <f>メイン!L67</f>
        <v>800</v>
      </c>
      <c r="L63" s="585"/>
      <c r="M63" s="585"/>
      <c r="N63" s="585"/>
      <c r="O63" s="585"/>
    </row>
    <row r="64" spans="2:15" ht="16.5" hidden="1" thickBot="1">
      <c r="B64" s="1">
        <v>2</v>
      </c>
      <c r="C64" s="1">
        <v>2</v>
      </c>
      <c r="E64" s="503"/>
      <c r="F64" s="613"/>
      <c r="G64" s="3343"/>
      <c r="H64" s="527" t="s">
        <v>570</v>
      </c>
      <c r="I64" s="527"/>
      <c r="J64" s="607" t="s">
        <v>571</v>
      </c>
      <c r="K64" s="595"/>
      <c r="L64" s="585"/>
      <c r="M64" s="585"/>
      <c r="N64" s="585"/>
      <c r="O64" s="585"/>
    </row>
    <row r="65" spans="2:15" ht="15.75" hidden="1">
      <c r="B65" s="1">
        <v>3</v>
      </c>
      <c r="C65" s="1">
        <v>3</v>
      </c>
      <c r="E65" s="503"/>
      <c r="F65" s="500"/>
      <c r="G65" s="600" t="s">
        <v>2222</v>
      </c>
      <c r="H65" s="3339" t="s">
        <v>1780</v>
      </c>
      <c r="I65" s="3336"/>
      <c r="J65" s="3335" t="s">
        <v>2350</v>
      </c>
      <c r="K65" s="3336"/>
      <c r="L65" s="601"/>
      <c r="M65" s="601"/>
      <c r="N65" s="601"/>
      <c r="O65" s="601"/>
    </row>
    <row r="66" spans="2:15" ht="15.75" hidden="1">
      <c r="B66" s="1">
        <v>4</v>
      </c>
      <c r="C66" s="1">
        <v>4</v>
      </c>
      <c r="E66" s="503"/>
      <c r="F66" s="500"/>
      <c r="G66" s="602" t="s">
        <v>2222</v>
      </c>
      <c r="H66" s="603" t="s">
        <v>2351</v>
      </c>
      <c r="I66" s="604"/>
      <c r="J66" s="3335" t="s">
        <v>2352</v>
      </c>
      <c r="K66" s="3336"/>
      <c r="L66" s="601"/>
      <c r="M66" s="601"/>
      <c r="N66" s="601"/>
      <c r="O66" s="601"/>
    </row>
    <row r="67" spans="2:15" ht="15.75" hidden="1">
      <c r="B67" s="1">
        <v>5</v>
      </c>
      <c r="C67" s="1">
        <v>5</v>
      </c>
      <c r="E67" s="503"/>
      <c r="F67" s="500"/>
      <c r="G67" s="602"/>
      <c r="H67" s="603" t="s">
        <v>2353</v>
      </c>
      <c r="I67" s="604"/>
      <c r="J67" s="3335" t="s">
        <v>2354</v>
      </c>
      <c r="K67" s="3336"/>
      <c r="L67" s="601"/>
      <c r="M67" s="601"/>
      <c r="N67" s="601"/>
      <c r="O67" s="601"/>
    </row>
    <row r="68" spans="2:15" ht="15.75" hidden="1">
      <c r="B68" s="551">
        <v>0</v>
      </c>
      <c r="C68" s="551">
        <v>0</v>
      </c>
      <c r="E68" s="503"/>
      <c r="F68" s="500"/>
      <c r="G68" s="602" t="s">
        <v>2219</v>
      </c>
      <c r="H68" s="603" t="s">
        <v>2355</v>
      </c>
      <c r="I68" s="604"/>
      <c r="J68" s="3335" t="s">
        <v>2356</v>
      </c>
      <c r="K68" s="3336"/>
      <c r="L68" s="601"/>
      <c r="M68" s="601"/>
      <c r="N68" s="601"/>
      <c r="O68" s="601"/>
    </row>
    <row r="69" spans="2:15" ht="16.5" hidden="1" thickBot="1">
      <c r="E69" s="503"/>
      <c r="F69" s="500"/>
      <c r="G69" s="608" t="s">
        <v>2222</v>
      </c>
      <c r="H69" s="603" t="s">
        <v>2357</v>
      </c>
      <c r="I69" s="604"/>
      <c r="J69" s="3335" t="s">
        <v>2354</v>
      </c>
      <c r="K69" s="3336"/>
      <c r="L69" s="601"/>
      <c r="M69" s="601"/>
      <c r="N69" s="601"/>
      <c r="O69" s="601"/>
    </row>
    <row r="70" spans="2:15" ht="15.75" hidden="1">
      <c r="E70" s="503"/>
      <c r="F70" s="500"/>
      <c r="G70" s="610">
        <f>COUNTIF(G65:G69,M4)</f>
        <v>3</v>
      </c>
      <c r="H70" s="601" t="s">
        <v>1777</v>
      </c>
      <c r="I70" s="615"/>
      <c r="J70" s="601"/>
      <c r="K70" s="601"/>
      <c r="L70" s="601"/>
      <c r="M70" s="601"/>
      <c r="N70" s="601"/>
      <c r="O70" s="601"/>
    </row>
    <row r="71" spans="2:15" ht="15.75">
      <c r="E71" s="503"/>
      <c r="F71"/>
      <c r="G71"/>
      <c r="H71"/>
      <c r="I71"/>
      <c r="J71"/>
      <c r="K71"/>
      <c r="L71"/>
      <c r="M71"/>
      <c r="N71"/>
      <c r="O71"/>
    </row>
    <row r="72" spans="2:15" ht="15.75">
      <c r="D72" s="499">
        <v>1.2</v>
      </c>
      <c r="E72" s="510" t="s">
        <v>2358</v>
      </c>
      <c r="F72"/>
      <c r="G72"/>
      <c r="H72"/>
      <c r="I72"/>
      <c r="J72"/>
      <c r="K72"/>
      <c r="L72"/>
      <c r="M72"/>
      <c r="N72"/>
      <c r="O72"/>
    </row>
    <row r="73" spans="2:15" ht="15.75">
      <c r="D73" s="499"/>
      <c r="E73" s="500"/>
      <c r="F73" s="511" t="s">
        <v>2359</v>
      </c>
      <c r="G73"/>
      <c r="H73"/>
      <c r="I73"/>
      <c r="J73"/>
      <c r="K73"/>
      <c r="L73"/>
      <c r="M73"/>
      <c r="N73"/>
      <c r="O73"/>
    </row>
    <row r="74" spans="2:15" ht="17.25" customHeight="1" thickBot="1">
      <c r="D74" s="503"/>
      <c r="E74" s="404"/>
      <c r="F74" s="515" t="s">
        <v>956</v>
      </c>
      <c r="G74" s="516"/>
      <c r="H74" s="517"/>
      <c r="I74" s="518" t="s">
        <v>1126</v>
      </c>
      <c r="J74" s="521">
        <f>重み!M15</f>
        <v>0.86666666666666659</v>
      </c>
      <c r="K74" s="515" t="s">
        <v>1614</v>
      </c>
      <c r="L74" s="516"/>
      <c r="M74" s="517"/>
      <c r="N74" s="518" t="s">
        <v>1126</v>
      </c>
      <c r="O74" s="521">
        <f>重み!N15</f>
        <v>0.19999999999999998</v>
      </c>
    </row>
    <row r="75" spans="2:15" ht="27" customHeight="1" thickBot="1">
      <c r="D75" s="503"/>
      <c r="E75" s="404"/>
      <c r="F75" s="522">
        <v>3</v>
      </c>
      <c r="G75" s="618" t="s">
        <v>2361</v>
      </c>
      <c r="H75" s="527"/>
      <c r="I75" s="527"/>
      <c r="J75" s="528"/>
      <c r="K75" s="522">
        <v>3</v>
      </c>
      <c r="L75" s="618" t="s">
        <v>957</v>
      </c>
      <c r="M75" s="527"/>
      <c r="N75" s="527"/>
      <c r="O75" s="528"/>
    </row>
    <row r="76" spans="2:15" ht="15.75" hidden="1">
      <c r="B76" s="1">
        <v>1</v>
      </c>
      <c r="C76" s="1">
        <v>1</v>
      </c>
      <c r="D76" s="503"/>
      <c r="E76" s="404"/>
      <c r="F76" s="619"/>
      <c r="G76" s="618" t="s">
        <v>1040</v>
      </c>
      <c r="H76" s="527"/>
      <c r="I76" s="527"/>
      <c r="J76" s="528"/>
      <c r="K76" s="619"/>
      <c r="L76" s="618" t="s">
        <v>1040</v>
      </c>
      <c r="M76" s="527"/>
      <c r="N76" s="527"/>
      <c r="O76" s="528"/>
    </row>
    <row r="77" spans="2:15" ht="15.75" hidden="1">
      <c r="B77" s="1" t="s">
        <v>2427</v>
      </c>
      <c r="C77" s="1" t="s">
        <v>2427</v>
      </c>
      <c r="D77" s="503"/>
      <c r="E77" s="404"/>
      <c r="F77" s="534" t="str">
        <f>IF(F75=$F$7,$G$2,IF(AND($O$9=$O$3,ROUNDDOWN(F75,0)=$F$2),$H$2,$G$2))</f>
        <v>　レベル　1</v>
      </c>
      <c r="G77" s="531" t="s">
        <v>958</v>
      </c>
      <c r="H77" s="532"/>
      <c r="I77" s="532"/>
      <c r="J77" s="533"/>
      <c r="K77" s="534" t="str">
        <f>IF(K75=$F$7,$G$2,IF(AND($O$9=$O$3,ROUNDDOWN(K75,0)=$F$2),$H$2,$G$2))</f>
        <v>　レベル　1</v>
      </c>
      <c r="L77" s="531" t="s">
        <v>2362</v>
      </c>
      <c r="M77" s="532"/>
      <c r="N77" s="532"/>
      <c r="O77" s="533"/>
    </row>
    <row r="78" spans="2:15" ht="15.75" hidden="1">
      <c r="B78" s="1">
        <v>3</v>
      </c>
      <c r="C78" s="1">
        <v>3</v>
      </c>
      <c r="D78" s="503"/>
      <c r="E78" s="404"/>
      <c r="F78" s="534" t="str">
        <f>IF(F75=$F$7,$G$3,IF(AND($O$9=$O$3,ROUNDDOWN(F75,0)=$F$3),$H$3,$G$3))</f>
        <v>　レベル　2</v>
      </c>
      <c r="G78" s="537"/>
      <c r="H78" s="538"/>
      <c r="I78" s="538"/>
      <c r="J78" s="539"/>
      <c r="K78" s="534" t="str">
        <f>IF(K75=$F$7,$G$3,IF(AND($O$9=$O$3,ROUNDDOWN(K75,0)=$F$3),$H$3,$G$3))</f>
        <v>　レベル　2</v>
      </c>
      <c r="L78" s="537"/>
      <c r="M78" s="538"/>
      <c r="N78" s="538"/>
      <c r="O78" s="539"/>
    </row>
    <row r="79" spans="2:15" ht="15.75" hidden="1">
      <c r="B79" s="1" t="s">
        <v>2427</v>
      </c>
      <c r="C79" s="1" t="s">
        <v>2427</v>
      </c>
      <c r="D79" s="503"/>
      <c r="E79" s="404"/>
      <c r="F79" s="534" t="str">
        <f>IF(F75=$F$7,$G$4,IF(AND($O$9=$O$3,ROUNDDOWN(F75,0)=$F$4),$H$4,$G$4))</f>
        <v>　レベル　3</v>
      </c>
      <c r="G79" s="537" t="s">
        <v>959</v>
      </c>
      <c r="H79" s="538"/>
      <c r="I79" s="538"/>
      <c r="J79" s="539"/>
      <c r="K79" s="534" t="str">
        <f>IF(K75=$F$7,$G$4,IF(AND($O$9=$O$3,ROUNDDOWN(K75,0)=$F$4),$H$4,$G$4))</f>
        <v>　レベル　3</v>
      </c>
      <c r="L79" s="537" t="s">
        <v>2363</v>
      </c>
      <c r="M79" s="538"/>
      <c r="N79" s="538"/>
      <c r="O79" s="539"/>
    </row>
    <row r="80" spans="2:15" ht="15.75" hidden="1">
      <c r="B80" s="1">
        <v>5</v>
      </c>
      <c r="C80" s="1">
        <v>5</v>
      </c>
      <c r="D80" s="503"/>
      <c r="E80" s="404"/>
      <c r="F80" s="534" t="str">
        <f>IF(F75=$F$7,$G$5,IF(AND($O$9=$O$3,ROUNDDOWN(F75,0)=$F$5),$H$5,$G$5))</f>
        <v>　レベル　4</v>
      </c>
      <c r="G80" s="537"/>
      <c r="H80" s="538"/>
      <c r="I80" s="538"/>
      <c r="J80" s="539"/>
      <c r="K80" s="534" t="str">
        <f>IF(K75=$F$7,$G$5,IF(AND($O$9=$O$3,ROUNDDOWN(K75,0)=$F$5),$H$5,$G$5))</f>
        <v>　レベル　4</v>
      </c>
      <c r="L80" s="537"/>
      <c r="M80" s="538"/>
      <c r="N80" s="538"/>
      <c r="O80" s="539"/>
    </row>
    <row r="81" spans="2:15" ht="15.75" hidden="1">
      <c r="B81" s="551">
        <v>0</v>
      </c>
      <c r="C81" s="551">
        <v>0</v>
      </c>
      <c r="D81" s="503"/>
      <c r="E81" s="404"/>
      <c r="F81" s="544" t="str">
        <f>IF(F75=$F$7,$G$6,IF(AND($O$9=$O$3,ROUNDDOWN(F75,0)=$F$6),$H$6,$G$6))</f>
        <v>　レベル　5</v>
      </c>
      <c r="G81" s="548" t="s">
        <v>2364</v>
      </c>
      <c r="H81" s="549"/>
      <c r="I81" s="549"/>
      <c r="J81" s="550"/>
      <c r="K81" s="544" t="str">
        <f>IF(K75=$F$7,$G$6,IF(AND($O$9=$O$3,ROUNDDOWN(K75,0)=$F$6),$H$6,$G$6))</f>
        <v>　レベル　5</v>
      </c>
      <c r="L81" s="548" t="s">
        <v>2365</v>
      </c>
      <c r="M81" s="549"/>
      <c r="N81" s="549"/>
      <c r="O81" s="550"/>
    </row>
    <row r="82" spans="2:15" ht="15.75" hidden="1">
      <c r="D82" s="503"/>
      <c r="E82" s="63"/>
      <c r="F82" s="618"/>
      <c r="G82" s="618" t="s">
        <v>1039</v>
      </c>
      <c r="H82" s="527"/>
      <c r="I82" s="527"/>
      <c r="J82" s="528"/>
      <c r="K82" s="620"/>
      <c r="L82" s="618" t="s">
        <v>1039</v>
      </c>
      <c r="M82" s="527"/>
      <c r="N82" s="527"/>
      <c r="O82" s="528"/>
    </row>
    <row r="83" spans="2:15" ht="15.75">
      <c r="D83" s="503"/>
      <c r="E83" s="63"/>
      <c r="F83" s="621" t="str">
        <f>IF(F75=$F$7,$G$2,IF(AND($O$9&lt;&gt;$O$3,ROUNDDOWN(F75,0)=$F$2),$H$2,$G$2))</f>
        <v>　レベル　1</v>
      </c>
      <c r="G83" s="531" t="s">
        <v>960</v>
      </c>
      <c r="H83" s="532"/>
      <c r="I83" s="532"/>
      <c r="J83" s="533"/>
      <c r="K83" s="621" t="str">
        <f>IF(K75=$F$7,$G$2,IF(AND($O$9&lt;&gt;$O$3,ROUNDDOWN(K75,0)=$F$2),$H$2,$G$2))</f>
        <v>　レベル　1</v>
      </c>
      <c r="L83" s="531" t="s">
        <v>960</v>
      </c>
      <c r="M83" s="532"/>
      <c r="N83" s="532"/>
      <c r="O83" s="533"/>
    </row>
    <row r="84" spans="2:15" ht="15.75">
      <c r="D84" s="503"/>
      <c r="E84" s="63"/>
      <c r="F84" s="534" t="str">
        <f>IF(F75=$F$7,$G$3,IF(AND($O$9&lt;&gt;$O$3,ROUNDDOWN(F75,0)=$F$3),$H$3,$G$3))</f>
        <v>　レベル　2</v>
      </c>
      <c r="G84" s="537" t="s">
        <v>1794</v>
      </c>
      <c r="H84" s="538"/>
      <c r="I84" s="538"/>
      <c r="J84" s="539"/>
      <c r="K84" s="534" t="str">
        <f>IF(K75=$F$7,$G$3,IF(AND($O$9&lt;&gt;$O$3,ROUNDDOWN(K75,0)=$F$3),$H$3,$G$3))</f>
        <v>　レベル　2</v>
      </c>
      <c r="L84" s="537" t="s">
        <v>1794</v>
      </c>
      <c r="M84" s="538"/>
      <c r="N84" s="538"/>
      <c r="O84" s="539"/>
    </row>
    <row r="85" spans="2:15" ht="15.75">
      <c r="D85" s="503"/>
      <c r="E85" s="63"/>
      <c r="F85" s="534" t="str">
        <f>IF(F75=$F$7,$G$4,IF(AND($O$9&lt;&gt;$O$3,ROUNDDOWN(F75,0)=$F$4),$H$4,$G$4))</f>
        <v>■レベル　3</v>
      </c>
      <c r="G85" s="537" t="s">
        <v>961</v>
      </c>
      <c r="H85" s="538"/>
      <c r="I85" s="538"/>
      <c r="J85" s="539"/>
      <c r="K85" s="534" t="str">
        <f>IF(K75=$F$7,$G$4,IF(AND($O$9&lt;&gt;$O$3,ROUNDDOWN(K75,0)=$F$4),$H$4,$G$4))</f>
        <v>■レベル　3</v>
      </c>
      <c r="L85" s="537" t="s">
        <v>961</v>
      </c>
      <c r="M85" s="538"/>
      <c r="N85" s="538"/>
      <c r="O85" s="539"/>
    </row>
    <row r="86" spans="2:15" ht="15.75">
      <c r="D86" s="503"/>
      <c r="E86" s="63"/>
      <c r="F86" s="534" t="str">
        <f>IF(F75=$F$7,$G$5,IF(AND($O$9&lt;&gt;$O$3,ROUNDDOWN(F75,0)=$F$5),$H$5,$G$5))</f>
        <v>　レベル　4</v>
      </c>
      <c r="G86" s="537" t="s">
        <v>1794</v>
      </c>
      <c r="H86" s="538"/>
      <c r="I86" s="538"/>
      <c r="J86" s="539"/>
      <c r="K86" s="534" t="str">
        <f>IF(K75=$F$7,$G$5,IF(AND($O$9&lt;&gt;$O$3,ROUNDDOWN(K75,0)=$F$5),$H$5,$G$5))</f>
        <v>　レベル　4</v>
      </c>
      <c r="L86" s="537" t="s">
        <v>1794</v>
      </c>
      <c r="M86" s="538"/>
      <c r="N86" s="538"/>
      <c r="O86" s="539"/>
    </row>
    <row r="87" spans="2:15" ht="15.75">
      <c r="D87" s="503"/>
      <c r="E87" s="63"/>
      <c r="F87" s="544" t="str">
        <f>IF(F75=$F$7,$G$6,IF(AND($O$9&lt;&gt;$O$3,ROUNDDOWN(F75,0)=$F$6),$H$6,$G$6))</f>
        <v>　レベル　5</v>
      </c>
      <c r="G87" s="548" t="s">
        <v>962</v>
      </c>
      <c r="H87" s="549"/>
      <c r="I87" s="549"/>
      <c r="J87" s="550"/>
      <c r="K87" s="544" t="str">
        <f>IF(K75=$F$7,$G$6,IF(AND($O$9&lt;&gt;$O$3,ROUNDDOWN(K75,0)=$F$6),$H$6,$G$6))</f>
        <v>　レベル　5</v>
      </c>
      <c r="L87" s="548" t="s">
        <v>962</v>
      </c>
      <c r="M87" s="549"/>
      <c r="N87" s="549"/>
      <c r="O87" s="550"/>
    </row>
    <row r="88" spans="2:15" ht="15.75">
      <c r="D88" s="503"/>
      <c r="E88" s="63"/>
      <c r="F88" s="839" t="s">
        <v>2938</v>
      </c>
      <c r="G88" s="1941"/>
      <c r="H88" s="1917"/>
      <c r="I88" s="1915"/>
      <c r="J88" s="1916"/>
      <c r="K88" s="1918"/>
      <c r="L88" s="1231"/>
      <c r="M88"/>
      <c r="N88"/>
      <c r="O88"/>
    </row>
    <row r="89" spans="2:15">
      <c r="D89"/>
      <c r="E89"/>
      <c r="F89"/>
      <c r="G89"/>
      <c r="H89"/>
      <c r="I89"/>
      <c r="J89"/>
      <c r="K89"/>
      <c r="L89"/>
      <c r="M89"/>
      <c r="N89"/>
      <c r="O89"/>
    </row>
    <row r="90" spans="2:15" ht="15.75">
      <c r="D90" s="499"/>
      <c r="E90" s="500"/>
      <c r="F90" s="511" t="s">
        <v>963</v>
      </c>
      <c r="G90"/>
      <c r="H90"/>
      <c r="I90"/>
      <c r="J90"/>
      <c r="K90"/>
      <c r="L90"/>
      <c r="M90"/>
      <c r="N90"/>
      <c r="O90"/>
    </row>
    <row r="91" spans="2:15" ht="15.75" customHeight="1" thickBot="1">
      <c r="D91" s="503"/>
      <c r="E91" s="404"/>
      <c r="F91" s="515" t="s">
        <v>1521</v>
      </c>
      <c r="G91" s="516"/>
      <c r="H91" s="517"/>
      <c r="I91" s="518" t="s">
        <v>1126</v>
      </c>
      <c r="J91" s="521">
        <f>重み!M16</f>
        <v>0.13333333333333333</v>
      </c>
      <c r="K91" s="515" t="s">
        <v>1614</v>
      </c>
      <c r="L91" s="516"/>
      <c r="M91" s="517"/>
      <c r="N91" s="518" t="s">
        <v>1126</v>
      </c>
      <c r="O91" s="521">
        <f>重み!N16</f>
        <v>0.19999999999999998</v>
      </c>
    </row>
    <row r="92" spans="2:15" ht="27" customHeight="1" thickBot="1">
      <c r="D92" s="503"/>
      <c r="E92" s="404"/>
      <c r="F92" s="522">
        <v>0</v>
      </c>
      <c r="G92" s="527" t="s">
        <v>881</v>
      </c>
      <c r="H92" s="527"/>
      <c r="I92" s="618" t="s">
        <v>882</v>
      </c>
      <c r="J92" s="528"/>
      <c r="K92" s="522">
        <v>3</v>
      </c>
      <c r="L92" s="618" t="s">
        <v>1128</v>
      </c>
      <c r="M92" s="528"/>
      <c r="N92" s="618"/>
      <c r="O92" s="623"/>
    </row>
    <row r="93" spans="2:15" ht="15.75" hidden="1">
      <c r="B93" s="1">
        <v>1</v>
      </c>
      <c r="C93" s="1">
        <v>1</v>
      </c>
      <c r="D93" s="503"/>
      <c r="E93" s="404"/>
      <c r="F93" s="619"/>
      <c r="G93" s="527" t="s">
        <v>1040</v>
      </c>
      <c r="H93" s="527"/>
      <c r="I93" s="527"/>
      <c r="J93" s="528"/>
      <c r="K93" s="619"/>
      <c r="L93" s="527" t="s">
        <v>1040</v>
      </c>
      <c r="M93" s="527"/>
      <c r="N93" s="527"/>
      <c r="O93" s="528"/>
    </row>
    <row r="94" spans="2:15" ht="30" hidden="1" customHeight="1">
      <c r="B94" s="1">
        <v>2</v>
      </c>
      <c r="C94" s="1">
        <v>2</v>
      </c>
      <c r="D94" s="503"/>
      <c r="E94" s="404"/>
      <c r="F94" s="534" t="str">
        <f>IF(F92=$F$7,$G$2,IF(AND($O$9=$O$3,ROUNDDOWN(F92,0)=$F$2),$H$2,$G$2))</f>
        <v>　レベル　1</v>
      </c>
      <c r="G94" s="624" t="s">
        <v>965</v>
      </c>
      <c r="H94" s="625"/>
      <c r="I94" s="624" t="s">
        <v>2202</v>
      </c>
      <c r="J94" s="625"/>
      <c r="K94" s="534" t="str">
        <f>IF(K92=$F$7,$G$2,IF(AND($O$9=$O$3,ROUNDDOWN(K92,0)=$F$2),$H$2,$G$2))</f>
        <v>　レベル　1</v>
      </c>
      <c r="L94" s="3341" t="s">
        <v>258</v>
      </c>
      <c r="M94" s="3342"/>
      <c r="N94" s="3322" t="s">
        <v>259</v>
      </c>
      <c r="O94" s="3329"/>
    </row>
    <row r="95" spans="2:15" ht="30" hidden="1" customHeight="1">
      <c r="B95" s="1">
        <v>3</v>
      </c>
      <c r="C95" s="1">
        <v>3</v>
      </c>
      <c r="D95" s="503"/>
      <c r="E95" s="404"/>
      <c r="F95" s="534" t="str">
        <f>IF(F92=$F$7,$G$3,IF(AND($O$9=$O$3,ROUNDDOWN(F92,0)=$F$3),$H$3,$G$3))</f>
        <v>　レベル　2</v>
      </c>
      <c r="G95" s="537"/>
      <c r="H95" s="538"/>
      <c r="I95" s="537"/>
      <c r="J95" s="538"/>
      <c r="K95" s="534" t="str">
        <f>IF(K92=$F$7,$G$3,IF(AND($O$9=$O$3,ROUNDDOWN(K92,0)=$F$3),$H$3,$G$3))</f>
        <v>　レベル　2</v>
      </c>
      <c r="L95" s="536"/>
      <c r="M95" s="626"/>
      <c r="N95" s="541"/>
      <c r="O95" s="626"/>
    </row>
    <row r="96" spans="2:15" ht="30" hidden="1" customHeight="1">
      <c r="B96" s="1">
        <v>4</v>
      </c>
      <c r="C96" s="1">
        <v>4</v>
      </c>
      <c r="D96" s="503"/>
      <c r="E96" s="404"/>
      <c r="F96" s="534" t="str">
        <f>IF(F92=$F$7,$G$4,IF(AND($O$9=$O$3,ROUNDDOWN(F92,0)=$F$4),$H$4,$G$4))</f>
        <v>　レベル　3</v>
      </c>
      <c r="G96" s="537" t="s">
        <v>260</v>
      </c>
      <c r="H96" s="538"/>
      <c r="I96" s="537" t="s">
        <v>261</v>
      </c>
      <c r="J96" s="538"/>
      <c r="K96" s="534" t="str">
        <f>IF(K92=$F$7,$G$4,IF(AND($O$9=$O$3,ROUNDDOWN(K92,0)=$F$4),$H$4,$G$4))</f>
        <v>　レベル　3</v>
      </c>
      <c r="L96" s="3346" t="s">
        <v>262</v>
      </c>
      <c r="M96" s="3327"/>
      <c r="N96" s="3328" t="s">
        <v>263</v>
      </c>
      <c r="O96" s="3327"/>
    </row>
    <row r="97" spans="2:15" ht="30" hidden="1" customHeight="1">
      <c r="B97" s="1">
        <v>5</v>
      </c>
      <c r="C97" s="1">
        <v>5</v>
      </c>
      <c r="D97" s="503"/>
      <c r="E97" s="404"/>
      <c r="F97" s="534" t="str">
        <f>IF(F92=$F$7,$G$5,IF(AND($O$9=$O$3,ROUNDDOWN(F92,0)=$F$5),$H$5,$G$5))</f>
        <v>　レベル　4</v>
      </c>
      <c r="G97" s="537" t="s">
        <v>2203</v>
      </c>
      <c r="H97" s="538"/>
      <c r="I97" s="537" t="s">
        <v>2203</v>
      </c>
      <c r="J97" s="538"/>
      <c r="K97" s="534" t="str">
        <f>IF(K92=$F$7,$G$5,IF(AND($O$9=$O$3,ROUNDDOWN(K92,0)=$F$5),$H$5,$G$5))</f>
        <v>　レベル　4</v>
      </c>
      <c r="L97" s="536"/>
      <c r="M97" s="626"/>
      <c r="N97" s="541"/>
      <c r="O97" s="626"/>
    </row>
    <row r="98" spans="2:15" ht="30" hidden="1" customHeight="1">
      <c r="B98" s="551">
        <v>0</v>
      </c>
      <c r="C98" s="551">
        <v>0</v>
      </c>
      <c r="D98" s="503"/>
      <c r="E98" s="404"/>
      <c r="F98" s="544" t="str">
        <f>IF(F92=$F$7,$G$6,IF(AND($O$9=$O$3,ROUNDDOWN(F92,0)=$F$6),$H$6,$G$6))</f>
        <v>　レベル　5</v>
      </c>
      <c r="G98" s="548" t="s">
        <v>2204</v>
      </c>
      <c r="H98" s="549"/>
      <c r="I98" s="548" t="s">
        <v>264</v>
      </c>
      <c r="J98" s="549"/>
      <c r="K98" s="544" t="str">
        <f>IF(K92=$F$7,$G$6,IF(AND($O$9=$O$3,ROUNDDOWN(K92,0)=$F$6),$H$6,$G$6))</f>
        <v>　レベル　5</v>
      </c>
      <c r="L98" s="3347" t="s">
        <v>2205</v>
      </c>
      <c r="M98" s="3325"/>
      <c r="N98" s="3332" t="s">
        <v>2206</v>
      </c>
      <c r="O98" s="3325"/>
    </row>
    <row r="99" spans="2:15" ht="15.75" hidden="1">
      <c r="D99" s="503"/>
      <c r="E99" s="404"/>
      <c r="F99" s="620"/>
      <c r="G99" s="618" t="s">
        <v>1039</v>
      </c>
      <c r="H99" s="527"/>
      <c r="I99" s="527"/>
      <c r="J99" s="528"/>
      <c r="K99" s="620"/>
      <c r="L99" s="618" t="s">
        <v>1039</v>
      </c>
      <c r="M99" s="527"/>
      <c r="N99" s="527"/>
      <c r="O99" s="528"/>
    </row>
    <row r="100" spans="2:15" ht="15.75">
      <c r="D100" s="503"/>
      <c r="E100" s="404"/>
      <c r="F100" s="621" t="str">
        <f>IF(F92=$F$7,$G$2,IF(AND($O$9&lt;&gt;$O$3,ROUNDDOWN(F92,0)=$F$2),$H$2,$G$2))</f>
        <v>　レベル　1</v>
      </c>
      <c r="G100" s="531" t="s">
        <v>2207</v>
      </c>
      <c r="H100" s="532"/>
      <c r="I100" s="531" t="s">
        <v>2208</v>
      </c>
      <c r="J100" s="532"/>
      <c r="K100" s="621" t="str">
        <f>IF(K92=$F$7,$G$2,IF(AND($O$9&lt;&gt;$O$3,ROUNDDOWN(K92,0)=$F$2),$H$2,$G$2))</f>
        <v>　レベル　1</v>
      </c>
      <c r="L100" s="582" t="s">
        <v>265</v>
      </c>
      <c r="M100" s="3344"/>
      <c r="N100" s="3344"/>
      <c r="O100" s="3329"/>
    </row>
    <row r="101" spans="2:15" ht="15.75">
      <c r="D101" s="503"/>
      <c r="E101" s="404"/>
      <c r="F101" s="534" t="str">
        <f>IF(F92=$F$7,$G$3,IF(AND($O$9&lt;&gt;$O$3,ROUNDDOWN(F92,0)=$F$3),$H$3,$G$3))</f>
        <v>　レベル　2</v>
      </c>
      <c r="G101" s="537" t="s">
        <v>2209</v>
      </c>
      <c r="H101" s="538"/>
      <c r="I101" s="537" t="s">
        <v>2210</v>
      </c>
      <c r="J101" s="538"/>
      <c r="K101" s="534" t="str">
        <f>IF(K92=$F$7,$G$3,IF(AND($O$9&lt;&gt;$O$3,ROUNDDOWN(K92,0)=$F$3),$H$3,$G$3))</f>
        <v>　レベル　2</v>
      </c>
      <c r="L101" s="541" t="s">
        <v>266</v>
      </c>
      <c r="M101" s="3345"/>
      <c r="N101" s="3334"/>
      <c r="O101" s="3327"/>
    </row>
    <row r="102" spans="2:15" ht="15.75">
      <c r="D102" s="503"/>
      <c r="E102" s="404"/>
      <c r="F102" s="534" t="str">
        <f>IF(F92=$F$7,$G$4,IF(AND($O$9&lt;&gt;$O$3,ROUNDDOWN(F92,0)=$F$4),$H$4,$G$4))</f>
        <v>　レベル　3</v>
      </c>
      <c r="G102" s="537" t="s">
        <v>2210</v>
      </c>
      <c r="H102" s="538"/>
      <c r="I102" s="537" t="s">
        <v>2211</v>
      </c>
      <c r="J102" s="538"/>
      <c r="K102" s="534" t="str">
        <f>IF(K92=$F$7,$G$4,IF(AND($O$9&lt;&gt;$O$3,ROUNDDOWN(K92,0)=$F$4),$H$4,$G$4))</f>
        <v>■レベル　3</v>
      </c>
      <c r="L102" s="541" t="s">
        <v>267</v>
      </c>
      <c r="M102" s="3345"/>
      <c r="N102" s="3334"/>
      <c r="O102" s="3327"/>
    </row>
    <row r="103" spans="2:15" ht="15.75">
      <c r="D103" s="503"/>
      <c r="E103" s="404"/>
      <c r="F103" s="534" t="str">
        <f>IF(F92=$F$7,$G$5,IF(AND($O$9&lt;&gt;$O$3,ROUNDDOWN(F92,0)=$F$5),$H$5,$G$5))</f>
        <v>　レベル　4</v>
      </c>
      <c r="G103" s="537" t="s">
        <v>2211</v>
      </c>
      <c r="H103" s="538"/>
      <c r="I103" s="537" t="s">
        <v>1650</v>
      </c>
      <c r="J103" s="538"/>
      <c r="K103" s="534" t="str">
        <f>IF(K92=$F$7,$G$5,IF(AND($O$9&lt;&gt;$O$3,ROUNDDOWN(K92,0)=$F$5),$H$5,$G$5))</f>
        <v>　レベル　4</v>
      </c>
      <c r="L103" s="541" t="s">
        <v>268</v>
      </c>
      <c r="M103" s="3345"/>
      <c r="N103" s="3334"/>
      <c r="O103" s="3327"/>
    </row>
    <row r="104" spans="2:15" ht="15.75">
      <c r="D104" s="503"/>
      <c r="E104" s="404"/>
      <c r="F104" s="544" t="str">
        <f>IF(F92=$F$7,$G$6,IF(AND($O$9&lt;&gt;$O$3,ROUNDDOWN(F92,0)=$F$6),$H$6,$G$6))</f>
        <v>　レベル　5</v>
      </c>
      <c r="G104" s="548" t="s">
        <v>1651</v>
      </c>
      <c r="H104" s="549"/>
      <c r="I104" s="548" t="s">
        <v>1652</v>
      </c>
      <c r="J104" s="549"/>
      <c r="K104" s="544" t="str">
        <f>IF(K92=$F$7,$G$6,IF(AND($O$9&lt;&gt;$O$3,ROUNDDOWN(K92,0)=$F$6),$H$6,$G$6))</f>
        <v>　レベル　5</v>
      </c>
      <c r="L104" s="545" t="s">
        <v>1653</v>
      </c>
      <c r="M104" s="3350"/>
      <c r="N104" s="3333"/>
      <c r="O104" s="3325"/>
    </row>
    <row r="105" spans="2:15" ht="15.75">
      <c r="D105" s="503"/>
      <c r="E105" s="404"/>
      <c r="F105" s="839" t="s">
        <v>2938</v>
      </c>
      <c r="G105" s="1941"/>
      <c r="H105" s="1917"/>
      <c r="I105" s="1915"/>
      <c r="J105" s="1916"/>
      <c r="K105" s="1918"/>
      <c r="L105" s="1231"/>
      <c r="M105"/>
      <c r="N105"/>
      <c r="O105"/>
    </row>
    <row r="106" spans="2:15" ht="15.75">
      <c r="D106" s="503"/>
      <c r="E106" s="404"/>
      <c r="F106" s="404"/>
      <c r="G106"/>
      <c r="H106"/>
      <c r="I106"/>
      <c r="J106"/>
      <c r="K106"/>
      <c r="L106"/>
      <c r="M106"/>
      <c r="N106"/>
      <c r="O106"/>
    </row>
    <row r="107" spans="2:15" ht="15.75">
      <c r="D107" s="499"/>
      <c r="E107" s="500"/>
      <c r="F107" s="511" t="s">
        <v>269</v>
      </c>
      <c r="G107"/>
      <c r="H107"/>
      <c r="I107"/>
      <c r="J107" t="str">
        <f>IF(OR(F109=0,AND(J108=0,O108=0)),$L$3,"")</f>
        <v>&lt;評価しない&gt;</v>
      </c>
      <c r="K107"/>
      <c r="L107"/>
      <c r="M107"/>
      <c r="N107"/>
      <c r="O107"/>
    </row>
    <row r="108" spans="2:15" ht="16.5" thickBot="1">
      <c r="D108" s="503"/>
      <c r="E108" s="507"/>
      <c r="F108" s="515" t="s">
        <v>270</v>
      </c>
      <c r="G108" s="516"/>
      <c r="H108" s="517"/>
      <c r="I108" s="518" t="s">
        <v>1126</v>
      </c>
      <c r="J108" s="521">
        <f>重み!M17</f>
        <v>0</v>
      </c>
      <c r="K108" s="515" t="s">
        <v>1614</v>
      </c>
      <c r="L108" s="516"/>
      <c r="M108" s="517"/>
      <c r="N108" s="518" t="s">
        <v>1126</v>
      </c>
      <c r="O108" s="521">
        <f>重み!N17</f>
        <v>0.13333333333333333</v>
      </c>
    </row>
    <row r="109" spans="2:15" ht="27" customHeight="1" thickBot="1">
      <c r="D109" s="503"/>
      <c r="E109" s="507"/>
      <c r="F109" s="522">
        <v>0</v>
      </c>
      <c r="G109" s="618" t="s">
        <v>1654</v>
      </c>
      <c r="H109" s="527"/>
      <c r="I109" s="527"/>
      <c r="J109" s="528"/>
      <c r="K109" s="522">
        <v>3</v>
      </c>
      <c r="L109" s="618" t="s">
        <v>271</v>
      </c>
      <c r="M109" s="527"/>
      <c r="N109" s="527"/>
      <c r="O109" s="528"/>
    </row>
    <row r="110" spans="2:15" ht="15.75" hidden="1">
      <c r="B110" s="1">
        <v>1</v>
      </c>
      <c r="C110" s="1">
        <v>1</v>
      </c>
      <c r="D110" s="503"/>
      <c r="E110" s="507"/>
      <c r="F110" s="619"/>
      <c r="G110" s="618" t="s">
        <v>1040</v>
      </c>
      <c r="H110" s="527"/>
      <c r="I110" s="527"/>
      <c r="J110" s="528"/>
      <c r="K110" s="619"/>
      <c r="L110" s="618" t="s">
        <v>1040</v>
      </c>
      <c r="M110" s="527"/>
      <c r="N110" s="527"/>
      <c r="O110" s="528"/>
    </row>
    <row r="111" spans="2:15" ht="15.75" hidden="1">
      <c r="B111" s="1">
        <v>2</v>
      </c>
      <c r="C111" s="1">
        <v>2</v>
      </c>
      <c r="D111" s="503"/>
      <c r="E111" s="628"/>
      <c r="F111" s="534" t="str">
        <f>IF(F109=$F$7,$G$2,IF(AND($O$9=$O$3,ROUNDDOWN(F109,0)=$F$2),$H$2,$G$2))</f>
        <v>　レベル　1</v>
      </c>
      <c r="G111" s="531" t="s">
        <v>272</v>
      </c>
      <c r="H111" s="532"/>
      <c r="I111" s="532"/>
      <c r="J111" s="533"/>
      <c r="K111" s="534" t="str">
        <f>IF(K109=$F$7,$G$2,IF(AND($O$9=$O$3,ROUNDDOWN(K109,0)=$F$2),$H$2,$G$2))</f>
        <v>　レベル　1</v>
      </c>
      <c r="L111" s="531" t="s">
        <v>525</v>
      </c>
      <c r="M111" s="532"/>
      <c r="N111" s="532"/>
      <c r="O111" s="533"/>
    </row>
    <row r="112" spans="2:15" ht="15.75" hidden="1">
      <c r="B112" s="1">
        <v>3</v>
      </c>
      <c r="C112" s="1">
        <v>3</v>
      </c>
      <c r="D112" s="503"/>
      <c r="E112" s="628"/>
      <c r="F112" s="534" t="str">
        <f>IF(F109=$F$7,$G$3,IF(AND($O$9=$O$3,ROUNDDOWN(F109,0)=$F$3),$H$3,$G$3))</f>
        <v>　レベル　2</v>
      </c>
      <c r="G112" s="537"/>
      <c r="H112" s="538"/>
      <c r="I112" s="538"/>
      <c r="J112" s="539"/>
      <c r="K112" s="534" t="str">
        <f>IF(K109=$F$7,$G$3,IF(AND($O$9=$O$3,ROUNDDOWN(K109,0)=$F$3),$H$3,$G$3))</f>
        <v>　レベル　2</v>
      </c>
      <c r="L112" s="537"/>
      <c r="M112" s="538"/>
      <c r="N112" s="538"/>
      <c r="O112" s="539"/>
    </row>
    <row r="113" spans="2:15" ht="15.75" hidden="1">
      <c r="B113" s="1">
        <v>4</v>
      </c>
      <c r="C113" s="1">
        <v>4</v>
      </c>
      <c r="D113" s="503"/>
      <c r="E113" s="628"/>
      <c r="F113" s="534" t="str">
        <f>IF(F109=$F$7,$G$4,IF(AND($O$9=$O$3,ROUNDDOWN(F109,0)=$F$4),$H$4,$G$4))</f>
        <v>　レベル　3</v>
      </c>
      <c r="G113" s="537" t="s">
        <v>525</v>
      </c>
      <c r="H113" s="538"/>
      <c r="I113" s="538"/>
      <c r="J113" s="539"/>
      <c r="K113" s="534" t="str">
        <f>IF(K109=$F$7,$G$4,IF(AND($O$9=$O$3,ROUNDDOWN(K109,0)=$F$4),$H$4,$G$4))</f>
        <v>　レベル　3</v>
      </c>
      <c r="L113" s="537" t="s">
        <v>526</v>
      </c>
      <c r="M113" s="538"/>
      <c r="N113" s="538"/>
      <c r="O113" s="539"/>
    </row>
    <row r="114" spans="2:15" ht="15.75" hidden="1">
      <c r="B114" s="1">
        <v>5</v>
      </c>
      <c r="C114" s="1">
        <v>5</v>
      </c>
      <c r="D114" s="503"/>
      <c r="E114" s="628"/>
      <c r="F114" s="534" t="str">
        <f>IF(F109=$F$7,$G$5,IF(AND($O$9=$O$3,ROUNDDOWN(F109,0)=$F$5),$H$5,$G$5))</f>
        <v>　レベル　4</v>
      </c>
      <c r="G114" s="537"/>
      <c r="H114" s="538"/>
      <c r="I114" s="538"/>
      <c r="J114" s="539"/>
      <c r="K114" s="534" t="str">
        <f>IF(K109=$F$7,$G$5,IF(AND($O$9=$O$3,ROUNDDOWN(K109,0)=$F$5),$H$5,$G$5))</f>
        <v>　レベル　4</v>
      </c>
      <c r="L114" s="537"/>
      <c r="M114" s="538"/>
      <c r="N114" s="538"/>
      <c r="O114" s="539"/>
    </row>
    <row r="115" spans="2:15" ht="15.75" hidden="1">
      <c r="B115" s="551">
        <v>0</v>
      </c>
      <c r="C115" s="551">
        <v>0</v>
      </c>
      <c r="D115" s="503"/>
      <c r="E115" s="628"/>
      <c r="F115" s="544" t="str">
        <f>IF(F109=$F$7,$G$6,IF(AND($O$9=$O$3,ROUNDDOWN(F109,0)=$F$6),$H$6,$G$6))</f>
        <v>　レベル　5</v>
      </c>
      <c r="G115" s="548" t="s">
        <v>527</v>
      </c>
      <c r="H115" s="549"/>
      <c r="I115" s="549"/>
      <c r="J115" s="550"/>
      <c r="K115" s="544" t="str">
        <f>IF(K109=$F$7,$G$6,IF(AND($O$9=$O$3,ROUNDDOWN(K109,0)=$F$6),$H$6,$G$6))</f>
        <v>　レベル　5</v>
      </c>
      <c r="L115" s="548" t="s">
        <v>528</v>
      </c>
      <c r="M115" s="549"/>
      <c r="N115" s="549"/>
      <c r="O115" s="550"/>
    </row>
    <row r="116" spans="2:15" ht="15.75" hidden="1">
      <c r="D116" s="503"/>
      <c r="E116" s="404"/>
      <c r="F116" s="620"/>
      <c r="G116" s="618" t="s">
        <v>1039</v>
      </c>
      <c r="H116" s="527"/>
      <c r="I116" s="527"/>
      <c r="J116" s="528"/>
      <c r="K116" s="620"/>
      <c r="L116" s="618" t="s">
        <v>1039</v>
      </c>
      <c r="M116" s="527"/>
      <c r="N116" s="527"/>
      <c r="O116" s="528"/>
    </row>
    <row r="117" spans="2:15" ht="15.75">
      <c r="D117" s="503"/>
      <c r="E117" s="404"/>
      <c r="F117" s="621" t="str">
        <f>IF(F109=$F$7,$G$2,IF(AND($O$9&lt;&gt;$O$3,ROUNDDOWN(F109,0)=$F$2),$H$2,$G$2))</f>
        <v>　レベル　1</v>
      </c>
      <c r="G117" s="531" t="s">
        <v>529</v>
      </c>
      <c r="H117" s="532"/>
      <c r="I117" s="532"/>
      <c r="J117" s="533"/>
      <c r="K117" s="621" t="str">
        <f>IF(K109=$F$7,$G$2,IF(AND($O$9&lt;&gt;$O$3,ROUNDDOWN(K109,0)=$F$2),$H$2,$G$2))</f>
        <v>　レベル　1</v>
      </c>
      <c r="L117" s="531" t="s">
        <v>530</v>
      </c>
      <c r="M117" s="532"/>
      <c r="N117" s="532"/>
      <c r="O117" s="533"/>
    </row>
    <row r="118" spans="2:15" ht="15.75">
      <c r="D118" s="503"/>
      <c r="E118" s="404"/>
      <c r="F118" s="534" t="str">
        <f>IF(F109=$F$7,$G$3,IF(AND($O$9&lt;&gt;$O$3,ROUNDDOWN(F109,0)=$F$3),$H$3,$G$3))</f>
        <v>　レベル　2</v>
      </c>
      <c r="G118" s="537" t="s">
        <v>531</v>
      </c>
      <c r="H118" s="538"/>
      <c r="I118" s="538"/>
      <c r="J118" s="539"/>
      <c r="K118" s="534" t="str">
        <f>IF(K109=$F$7,$G$3,IF(AND($O$9&lt;&gt;$O$3,ROUNDDOWN(K109,0)=$F$3),$H$3,$G$3))</f>
        <v>　レベル　2</v>
      </c>
      <c r="L118" s="537" t="s">
        <v>1538</v>
      </c>
      <c r="M118" s="538"/>
      <c r="N118" s="538"/>
      <c r="O118" s="539"/>
    </row>
    <row r="119" spans="2:15" ht="15.75">
      <c r="D119" s="503"/>
      <c r="E119" s="404"/>
      <c r="F119" s="534" t="str">
        <f>IF(F109=$F$7,$G$4,IF(AND($O$9&lt;&gt;$O$3,ROUNDDOWN(F109,0)=$F$4),$H$4,$G$4))</f>
        <v>　レベル　3</v>
      </c>
      <c r="G119" s="537" t="s">
        <v>1539</v>
      </c>
      <c r="H119" s="538"/>
      <c r="I119" s="538"/>
      <c r="J119" s="539"/>
      <c r="K119" s="534" t="str">
        <f>IF(K109=$F$7,$G$4,IF(AND($O$9&lt;&gt;$O$3,ROUNDDOWN(K109,0)=$F$4),$H$4,$G$4))</f>
        <v>■レベル　3</v>
      </c>
      <c r="L119" s="537" t="s">
        <v>1540</v>
      </c>
      <c r="M119" s="538"/>
      <c r="N119" s="538"/>
      <c r="O119" s="539"/>
    </row>
    <row r="120" spans="2:15" ht="15.75">
      <c r="D120" s="503"/>
      <c r="E120" s="404"/>
      <c r="F120" s="534" t="str">
        <f>IF(F109=$F$7,$G$5,IF(AND($O$9&lt;&gt;$O$3,ROUNDDOWN(F109,0)=$F$5),$H$5,$G$5))</f>
        <v>　レベル　4</v>
      </c>
      <c r="G120" s="537" t="s">
        <v>1538</v>
      </c>
      <c r="H120" s="538"/>
      <c r="I120" s="538"/>
      <c r="J120" s="539"/>
      <c r="K120" s="534" t="str">
        <f>IF(K109=$F$7,$G$5,IF(AND($O$9&lt;&gt;$O$3,ROUNDDOWN(K109,0)=$F$5),$H$5,$G$5))</f>
        <v>　レベル　4</v>
      </c>
      <c r="L120" s="537" t="s">
        <v>1541</v>
      </c>
      <c r="M120" s="538"/>
      <c r="N120" s="538"/>
      <c r="O120" s="539"/>
    </row>
    <row r="121" spans="2:15" ht="15.75">
      <c r="D121" s="503"/>
      <c r="E121" s="404"/>
      <c r="F121" s="544" t="str">
        <f>IF(F109=$F$7,$G$6,IF(AND($O$9&lt;&gt;$O$3,ROUNDDOWN(F109,0)=$F$6),$H$6,$G$6))</f>
        <v>　レベル　5</v>
      </c>
      <c r="G121" s="548" t="s">
        <v>1542</v>
      </c>
      <c r="H121" s="549"/>
      <c r="I121" s="549"/>
      <c r="J121" s="550"/>
      <c r="K121" s="544" t="str">
        <f>IF(K109=$F$7,$G$6,IF(AND($O$9&lt;&gt;$O$3,ROUNDDOWN(K109,0)=$F$6),$H$6,$G$6))</f>
        <v>　レベル　5</v>
      </c>
      <c r="L121" s="548" t="s">
        <v>1832</v>
      </c>
      <c r="M121" s="549"/>
      <c r="N121" s="549"/>
      <c r="O121" s="550"/>
    </row>
    <row r="122" spans="2:15" ht="15.75">
      <c r="D122" s="503"/>
      <c r="E122" s="404"/>
      <c r="F122" s="839" t="s">
        <v>2938</v>
      </c>
      <c r="G122" s="1941"/>
      <c r="H122" s="1917"/>
      <c r="I122" s="1915"/>
      <c r="J122" s="1916"/>
      <c r="K122" s="1918"/>
      <c r="L122" s="1231"/>
      <c r="M122"/>
      <c r="N122"/>
      <c r="O122"/>
    </row>
    <row r="123" spans="2:15" ht="15.75">
      <c r="D123" s="503"/>
      <c r="E123" s="404"/>
      <c r="F123" s="404"/>
      <c r="G123"/>
      <c r="H123"/>
      <c r="I123"/>
      <c r="J123"/>
      <c r="K123"/>
      <c r="L123"/>
      <c r="M123"/>
      <c r="N123"/>
      <c r="O123"/>
    </row>
    <row r="124" spans="2:15" ht="15.75">
      <c r="D124" s="499"/>
      <c r="E124" s="63"/>
      <c r="F124" s="511" t="s">
        <v>1833</v>
      </c>
      <c r="G124"/>
      <c r="H124"/>
      <c r="I124"/>
      <c r="J124" t="str">
        <f>IF(OR(F126=0,AND(J125=0,O125=0)),$L$3,"")</f>
        <v>&lt;評価しない&gt;</v>
      </c>
      <c r="K124"/>
      <c r="L124"/>
      <c r="M124"/>
      <c r="N124"/>
      <c r="O124"/>
    </row>
    <row r="125" spans="2:15" ht="16.5" thickBot="1">
      <c r="D125" s="503"/>
      <c r="E125" s="404"/>
      <c r="F125" s="515" t="s">
        <v>1521</v>
      </c>
      <c r="G125" s="516"/>
      <c r="H125" s="517"/>
      <c r="I125" s="518" t="s">
        <v>1126</v>
      </c>
      <c r="J125" s="521">
        <f>重み!M18</f>
        <v>0</v>
      </c>
      <c r="K125" s="515" t="s">
        <v>1614</v>
      </c>
      <c r="L125" s="516"/>
      <c r="M125" s="517"/>
      <c r="N125" s="518" t="s">
        <v>1126</v>
      </c>
      <c r="O125" s="521">
        <f>重み!N18</f>
        <v>0.13333333333333333</v>
      </c>
    </row>
    <row r="126" spans="2:15" ht="27" customHeight="1" thickBot="1">
      <c r="D126" s="503"/>
      <c r="E126" s="404"/>
      <c r="F126" s="522">
        <v>0</v>
      </c>
      <c r="G126" s="618" t="s">
        <v>1654</v>
      </c>
      <c r="H126" s="527"/>
      <c r="I126" s="527"/>
      <c r="J126" s="528"/>
      <c r="K126" s="522">
        <v>3</v>
      </c>
      <c r="L126" s="618" t="s">
        <v>271</v>
      </c>
      <c r="M126" s="527"/>
      <c r="N126" s="527"/>
      <c r="O126" s="528"/>
    </row>
    <row r="127" spans="2:15" ht="15.75" hidden="1">
      <c r="B127" s="1">
        <v>1</v>
      </c>
      <c r="C127" s="1">
        <v>1</v>
      </c>
      <c r="D127" s="503"/>
      <c r="E127" s="404"/>
      <c r="F127" s="619"/>
      <c r="G127" s="618" t="s">
        <v>1040</v>
      </c>
      <c r="H127" s="527"/>
      <c r="I127" s="527"/>
      <c r="J127" s="528"/>
      <c r="K127" s="619"/>
      <c r="L127" s="618" t="s">
        <v>1040</v>
      </c>
      <c r="M127" s="527"/>
      <c r="N127" s="527"/>
      <c r="O127" s="528"/>
    </row>
    <row r="128" spans="2:15" ht="15.75" hidden="1">
      <c r="B128" s="1">
        <v>2</v>
      </c>
      <c r="C128" s="1">
        <v>2</v>
      </c>
      <c r="D128" s="503"/>
      <c r="E128" s="404"/>
      <c r="F128" s="534" t="str">
        <f>IF(F126=$F$7,$G$2,IF(AND($O$9=$O$3,ROUNDDOWN(F126,0)=$F$2),$H$2,$G$2))</f>
        <v>　レベル　1</v>
      </c>
      <c r="G128" s="531" t="s">
        <v>1834</v>
      </c>
      <c r="H128" s="532"/>
      <c r="I128" s="532"/>
      <c r="J128" s="533"/>
      <c r="K128" s="534" t="str">
        <f>IF(K126=$F$7,$G$2,IF(AND($O$9=$O$3,ROUNDDOWN(K126,0)=$F$2),$H$2,$G$2))</f>
        <v>　レベル　1</v>
      </c>
      <c r="L128" s="531" t="s">
        <v>1835</v>
      </c>
      <c r="M128" s="532"/>
      <c r="N128" s="532"/>
      <c r="O128" s="533"/>
    </row>
    <row r="129" spans="2:15" ht="15.75" hidden="1">
      <c r="B129" s="1">
        <v>3</v>
      </c>
      <c r="C129" s="1">
        <v>3</v>
      </c>
      <c r="D129" s="503"/>
      <c r="E129" s="404"/>
      <c r="F129" s="534" t="str">
        <f>IF(F126=$F$7,$G$3,IF(AND($O$9=$O$3,ROUNDDOWN(F126,0)=$F$3),$H$3,$G$3))</f>
        <v>　レベル　2</v>
      </c>
      <c r="G129" s="537"/>
      <c r="H129" s="538"/>
      <c r="I129" s="538"/>
      <c r="J129" s="539"/>
      <c r="K129" s="534" t="str">
        <f>IF(K126=$F$7,$G$3,IF(AND($O$9=$O$3,ROUNDDOWN(K126,0)=$F$3),$H$3,$G$3))</f>
        <v>　レベル　2</v>
      </c>
      <c r="L129" s="537"/>
      <c r="M129" s="538"/>
      <c r="N129" s="538"/>
      <c r="O129" s="539"/>
    </row>
    <row r="130" spans="2:15" ht="15.75" hidden="1">
      <c r="B130" s="1">
        <v>4</v>
      </c>
      <c r="C130" s="1">
        <v>4</v>
      </c>
      <c r="D130" s="503"/>
      <c r="E130" s="404"/>
      <c r="F130" s="534" t="str">
        <f>IF(F126=$F$7,$G$4,IF(AND($O$9=$O$3,ROUNDDOWN(F126,0)=$F$4),$H$4,$G$4))</f>
        <v>　レベル　3</v>
      </c>
      <c r="G130" s="537" t="s">
        <v>1836</v>
      </c>
      <c r="H130" s="538"/>
      <c r="I130" s="538"/>
      <c r="J130" s="539"/>
      <c r="K130" s="534" t="str">
        <f>IF(K126=$F$7,$G$4,IF(AND($O$9=$O$3,ROUNDDOWN(K126,0)=$F$4),$H$4,$G$4))</f>
        <v>　レベル　3</v>
      </c>
      <c r="L130" s="537" t="s">
        <v>1837</v>
      </c>
      <c r="M130" s="538"/>
      <c r="N130" s="538"/>
      <c r="O130" s="539"/>
    </row>
    <row r="131" spans="2:15" ht="15.75" hidden="1">
      <c r="B131" s="1">
        <v>5</v>
      </c>
      <c r="C131" s="1">
        <v>5</v>
      </c>
      <c r="D131" s="503"/>
      <c r="E131" s="404"/>
      <c r="F131" s="534" t="str">
        <f>IF(F126=$F$7,$G$5,IF(AND($O$9=$O$3,ROUNDDOWN(F126,0)=$F$5),$H$5,$G$5))</f>
        <v>　レベル　4</v>
      </c>
      <c r="G131" s="537"/>
      <c r="H131" s="538"/>
      <c r="I131" s="538"/>
      <c r="J131" s="539"/>
      <c r="K131" s="534" t="str">
        <f>IF(K126=$F$7,$G$5,IF(AND($O$9=$O$3,ROUNDDOWN(K126,0)=$F$5),$H$5,$G$5))</f>
        <v>　レベル　4</v>
      </c>
      <c r="L131" s="537"/>
      <c r="M131" s="538"/>
      <c r="N131" s="538"/>
      <c r="O131" s="539"/>
    </row>
    <row r="132" spans="2:15" ht="15.75" hidden="1">
      <c r="B132" s="551">
        <v>0</v>
      </c>
      <c r="C132" s="551">
        <v>0</v>
      </c>
      <c r="D132" s="503"/>
      <c r="E132" s="404"/>
      <c r="F132" s="544" t="str">
        <f>IF(F126=$F$7,$G$6,IF(AND($O$9=$O$3,ROUNDDOWN(F126,0)=$F$6),$H$6,$G$6))</f>
        <v>　レベル　5</v>
      </c>
      <c r="G132" s="548" t="s">
        <v>1838</v>
      </c>
      <c r="H132" s="549"/>
      <c r="I132" s="549"/>
      <c r="J132" s="550"/>
      <c r="K132" s="544" t="str">
        <f>IF(K126=$F$7,$G$6,IF(AND($O$9=$O$3,ROUNDDOWN(K126,0)=$F$6),$H$6,$G$6))</f>
        <v>　レベル　5</v>
      </c>
      <c r="L132" s="548" t="s">
        <v>1839</v>
      </c>
      <c r="M132" s="549"/>
      <c r="N132" s="549"/>
      <c r="O132" s="550"/>
    </row>
    <row r="133" spans="2:15" ht="15.75" hidden="1">
      <c r="D133" s="503"/>
      <c r="E133" s="404"/>
      <c r="F133" s="620"/>
      <c r="G133" s="618" t="s">
        <v>1039</v>
      </c>
      <c r="H133" s="527"/>
      <c r="I133" s="527"/>
      <c r="J133" s="528"/>
      <c r="K133" s="620"/>
      <c r="L133" s="618" t="s">
        <v>1039</v>
      </c>
      <c r="M133" s="527"/>
      <c r="N133" s="527"/>
      <c r="O133" s="528"/>
    </row>
    <row r="134" spans="2:15" ht="15.75">
      <c r="D134" s="503"/>
      <c r="E134" s="404"/>
      <c r="F134" s="621" t="str">
        <f>IF(F126=$F$7,$G$2,IF(AND($O$9&lt;&gt;$O$3,ROUNDDOWN(F126,0)=$F$2),$H$2,$G$2))</f>
        <v>　レベル　1</v>
      </c>
      <c r="G134" s="531" t="s">
        <v>529</v>
      </c>
      <c r="H134" s="532"/>
      <c r="I134" s="532"/>
      <c r="J134" s="533"/>
      <c r="K134" s="621" t="str">
        <f>IF(K126=$F$7,$G$2,IF(AND($O$9&lt;&gt;$O$3,ROUNDDOWN(K126,0)=$F$2),$H$2,$G$2))</f>
        <v>　レベル　1</v>
      </c>
      <c r="L134" s="531" t="s">
        <v>1840</v>
      </c>
      <c r="M134" s="532"/>
      <c r="N134" s="532"/>
      <c r="O134" s="533"/>
    </row>
    <row r="135" spans="2:15" ht="15.75">
      <c r="D135" s="503"/>
      <c r="E135" s="404"/>
      <c r="F135" s="534" t="str">
        <f>IF(F126=$F$7,$G$3,IF(AND($O$9&lt;&gt;$O$3,ROUNDDOWN(F126,0)=$F$3),$H$3,$G$3))</f>
        <v>　レベル　2</v>
      </c>
      <c r="G135" s="537" t="s">
        <v>531</v>
      </c>
      <c r="H135" s="538"/>
      <c r="I135" s="538"/>
      <c r="J135" s="539"/>
      <c r="K135" s="534" t="str">
        <f>IF(K126=$F$7,$G$3,IF(AND($O$9&lt;&gt;$O$3,ROUNDDOWN(K126,0)=$F$3),$H$3,$G$3))</f>
        <v>　レベル　2</v>
      </c>
      <c r="L135" s="537" t="s">
        <v>1539</v>
      </c>
      <c r="M135" s="538"/>
      <c r="N135" s="538"/>
      <c r="O135" s="539"/>
    </row>
    <row r="136" spans="2:15" ht="15.75">
      <c r="D136" s="503"/>
      <c r="E136" s="404"/>
      <c r="F136" s="534" t="str">
        <f>IF(F126=$F$7,$G$4,IF(AND($O$9&lt;&gt;$O$3,ROUNDDOWN(F126,0)=$F$4),$H$4,$G$4))</f>
        <v>　レベル　3</v>
      </c>
      <c r="G136" s="537" t="s">
        <v>1539</v>
      </c>
      <c r="H136" s="538"/>
      <c r="I136" s="538"/>
      <c r="J136" s="539"/>
      <c r="K136" s="534" t="str">
        <f>IF(K126=$F$7,$G$4,IF(AND($O$9&lt;&gt;$O$3,ROUNDDOWN(K126,0)=$F$4),$H$4,$G$4))</f>
        <v>■レベル　3</v>
      </c>
      <c r="L136" s="537" t="s">
        <v>1538</v>
      </c>
      <c r="M136" s="538"/>
      <c r="N136" s="538"/>
      <c r="O136" s="539"/>
    </row>
    <row r="137" spans="2:15" ht="15.75">
      <c r="D137" s="503"/>
      <c r="E137" s="404"/>
      <c r="F137" s="534" t="str">
        <f>IF(F126=$F$7,$G$5,IF(AND($O$9&lt;&gt;$O$3,ROUNDDOWN(F126,0)=$F$5),$H$5,$G$5))</f>
        <v>　レベル　4</v>
      </c>
      <c r="G137" s="537" t="s">
        <v>1538</v>
      </c>
      <c r="H137" s="538"/>
      <c r="I137" s="538"/>
      <c r="J137" s="539"/>
      <c r="K137" s="534" t="str">
        <f>IF(K126=$F$7,$G$5,IF(AND($O$9&lt;&gt;$O$3,ROUNDDOWN(K126,0)=$F$5),$H$5,$G$5))</f>
        <v>　レベル　4</v>
      </c>
      <c r="L137" s="537" t="s">
        <v>1540</v>
      </c>
      <c r="M137" s="538"/>
      <c r="N137" s="538"/>
      <c r="O137" s="539"/>
    </row>
    <row r="138" spans="2:15" ht="15.75">
      <c r="D138" s="503"/>
      <c r="E138" s="404"/>
      <c r="F138" s="544" t="str">
        <f>IF(F126=$F$7,$G$6,IF(AND($O$9&lt;&gt;$O$3,ROUNDDOWN(F126,0)=$F$6),$H$6,$G$6))</f>
        <v>　レベル　5</v>
      </c>
      <c r="G138" s="548" t="s">
        <v>1542</v>
      </c>
      <c r="H138" s="549"/>
      <c r="I138" s="549"/>
      <c r="J138" s="550"/>
      <c r="K138" s="544" t="str">
        <f>IF(K126=$F$7,$G$6,IF(AND($O$9&lt;&gt;$O$3,ROUNDDOWN(K126,0)=$F$6),$H$6,$G$6))</f>
        <v>　レベル　5</v>
      </c>
      <c r="L138" s="548" t="s">
        <v>1841</v>
      </c>
      <c r="M138" s="549"/>
      <c r="N138" s="549"/>
      <c r="O138" s="550"/>
    </row>
    <row r="139" spans="2:15" ht="15.75">
      <c r="D139" s="503"/>
      <c r="E139" s="404"/>
      <c r="F139" s="839" t="s">
        <v>2938</v>
      </c>
      <c r="G139" s="1941"/>
      <c r="H139" s="1917"/>
      <c r="I139" s="1915"/>
      <c r="J139" s="1916"/>
      <c r="K139" s="1918"/>
      <c r="L139" s="1231"/>
      <c r="M139"/>
      <c r="N139"/>
      <c r="O139"/>
    </row>
    <row r="140" spans="2:15" ht="15.75">
      <c r="D140" s="503"/>
      <c r="E140" s="404"/>
      <c r="F140" s="404"/>
      <c r="G140"/>
      <c r="H140"/>
      <c r="I140"/>
      <c r="J140"/>
      <c r="K140"/>
      <c r="L140"/>
      <c r="M140"/>
      <c r="N140"/>
      <c r="O140"/>
    </row>
    <row r="141" spans="2:15" ht="15.75">
      <c r="D141" s="499">
        <v>1.3</v>
      </c>
      <c r="E141" s="508" t="s">
        <v>1655</v>
      </c>
      <c r="F141" s="511"/>
      <c r="G141"/>
      <c r="H141"/>
      <c r="I141"/>
      <c r="J141" t="str">
        <f>IF(OR(F143=0,AND(J142=0,O142=0)),$L$3,"")</f>
        <v>&lt;評価しない&gt;</v>
      </c>
      <c r="K141"/>
      <c r="L141"/>
      <c r="M141"/>
      <c r="N141"/>
      <c r="O141"/>
    </row>
    <row r="142" spans="2:15" ht="16.5" thickBot="1">
      <c r="D142" s="503"/>
      <c r="E142" s="500"/>
      <c r="F142" s="515" t="s">
        <v>1613</v>
      </c>
      <c r="G142" s="516"/>
      <c r="H142" s="517"/>
      <c r="I142" s="518" t="s">
        <v>1126</v>
      </c>
      <c r="J142" s="521">
        <f>重み!M19</f>
        <v>6.6666666666666666E-2</v>
      </c>
      <c r="K142" s="515" t="s">
        <v>1614</v>
      </c>
      <c r="L142" s="516"/>
      <c r="M142" s="517"/>
      <c r="N142" s="518" t="s">
        <v>1126</v>
      </c>
      <c r="O142" s="521">
        <f>重み!N19</f>
        <v>0</v>
      </c>
    </row>
    <row r="143" spans="2:15" ht="27" customHeight="1" thickBot="1">
      <c r="D143" s="503"/>
      <c r="E143" s="500"/>
      <c r="F143" s="522">
        <v>0</v>
      </c>
      <c r="G143" s="526" t="s">
        <v>1657</v>
      </c>
      <c r="H143" s="527"/>
      <c r="I143" s="527"/>
      <c r="J143" s="528"/>
      <c r="K143" s="522">
        <v>0</v>
      </c>
      <c r="L143" s="526" t="s">
        <v>1842</v>
      </c>
      <c r="M143" s="527"/>
      <c r="N143" s="527"/>
      <c r="O143" s="528"/>
    </row>
    <row r="144" spans="2:15" ht="15.75">
      <c r="B144" s="1">
        <v>1</v>
      </c>
      <c r="C144" s="1">
        <v>1</v>
      </c>
      <c r="D144" s="503"/>
      <c r="E144" s="500"/>
      <c r="F144" s="529" t="str">
        <f>IF(F143=$F$7,$G$2,IF(ROUNDDOWN(F143,0)=$F$2,$H$2,$G$2))</f>
        <v>　レベル　1</v>
      </c>
      <c r="G144" s="531" t="s">
        <v>1658</v>
      </c>
      <c r="H144" s="532"/>
      <c r="I144" s="532"/>
      <c r="J144" s="533"/>
      <c r="K144" s="529" t="str">
        <f>IF(K143=$F$7,$G$2,IF(ROUNDDOWN(K143,0)=$F$2,$H$2,$G$2))</f>
        <v>　レベル　1</v>
      </c>
      <c r="L144" s="531" t="s">
        <v>1658</v>
      </c>
      <c r="M144" s="532"/>
      <c r="N144" s="532"/>
      <c r="O144" s="533"/>
    </row>
    <row r="145" spans="2:15" ht="15.75">
      <c r="B145" s="1" t="s">
        <v>1793</v>
      </c>
      <c r="C145" s="1" t="s">
        <v>1793</v>
      </c>
      <c r="D145" s="503"/>
      <c r="E145" s="500"/>
      <c r="F145" s="534" t="str">
        <f>IF(F143=$F$7,$G$3,IF(ROUNDDOWN(F143,0)=$F$3,$H$3,$G$3))</f>
        <v>　レベル　2</v>
      </c>
      <c r="G145" s="537" t="s">
        <v>295</v>
      </c>
      <c r="H145" s="538"/>
      <c r="I145" s="538"/>
      <c r="J145" s="539"/>
      <c r="K145" s="534" t="str">
        <f>IF(K143=$F$7,$G$3,IF(ROUNDDOWN(K143,0)=$F$3,$H$3,$G$3))</f>
        <v>　レベル　2</v>
      </c>
      <c r="L145" s="537" t="s">
        <v>295</v>
      </c>
      <c r="M145" s="538"/>
      <c r="N145" s="538"/>
      <c r="O145" s="539"/>
    </row>
    <row r="146" spans="2:15" ht="15.75">
      <c r="B146" s="1">
        <v>3</v>
      </c>
      <c r="C146" s="1">
        <v>3</v>
      </c>
      <c r="D146" s="503"/>
      <c r="E146" s="500"/>
      <c r="F146" s="534" t="str">
        <f>IF(F143=$F$7,$G$4,IF(ROUNDDOWN(F143,0)=$F$4,$H$4,$G$4))</f>
        <v>　レベル　3</v>
      </c>
      <c r="G146" s="537" t="s">
        <v>1659</v>
      </c>
      <c r="H146" s="538"/>
      <c r="I146" s="538"/>
      <c r="J146" s="539"/>
      <c r="K146" s="534" t="str">
        <f>IF(K143=$F$7,$G$4,IF(ROUNDDOWN(K143,0)=$F$4,$H$4,$G$4))</f>
        <v>　レベル　3</v>
      </c>
      <c r="L146" s="537" t="s">
        <v>1659</v>
      </c>
      <c r="M146" s="538"/>
      <c r="N146" s="538"/>
      <c r="O146" s="539"/>
    </row>
    <row r="147" spans="2:15" ht="15.75">
      <c r="B147" s="1">
        <v>4</v>
      </c>
      <c r="C147" s="1">
        <v>4</v>
      </c>
      <c r="D147" s="503"/>
      <c r="E147" s="500"/>
      <c r="F147" s="534" t="str">
        <f>IF(F143=$F$7,$G$5,IF(ROUNDDOWN(F143,0)=$F$5,$H$5,$G$5))</f>
        <v>　レベル　4</v>
      </c>
      <c r="G147" s="537" t="s">
        <v>1843</v>
      </c>
      <c r="H147" s="538"/>
      <c r="I147" s="538"/>
      <c r="J147" s="539"/>
      <c r="K147" s="534" t="str">
        <f>IF(K143=$F$7,$G$5,IF(ROUNDDOWN(K143,0)=$F$5,$H$5,$G$5))</f>
        <v>　レベル　4</v>
      </c>
      <c r="L147" s="537" t="s">
        <v>1843</v>
      </c>
      <c r="M147" s="538"/>
      <c r="N147" s="538"/>
      <c r="O147" s="539"/>
    </row>
    <row r="148" spans="2:15" ht="15.75">
      <c r="B148" s="1">
        <v>5</v>
      </c>
      <c r="C148" s="1">
        <v>5</v>
      </c>
      <c r="D148" s="503"/>
      <c r="E148" s="500"/>
      <c r="F148" s="544" t="str">
        <f>IF(F143=$F$7,$G$6,IF(ROUNDDOWN(F143,0)=$F$6,$H$6,$G$6))</f>
        <v>　レベル　5</v>
      </c>
      <c r="G148" s="548" t="s">
        <v>1844</v>
      </c>
      <c r="H148" s="549"/>
      <c r="I148" s="549"/>
      <c r="J148" s="550"/>
      <c r="K148" s="544" t="str">
        <f>IF(K143=$F$7,$G$6,IF(ROUNDDOWN(K143,0)=$F$6,$H$6,$G$6))</f>
        <v>　レベル　5</v>
      </c>
      <c r="L148" s="548" t="s">
        <v>1844</v>
      </c>
      <c r="M148" s="549"/>
      <c r="N148" s="549"/>
      <c r="O148" s="550"/>
    </row>
    <row r="149" spans="2:15" ht="15.75">
      <c r="B149" s="551">
        <v>0</v>
      </c>
      <c r="C149" s="551">
        <v>0</v>
      </c>
      <c r="D149" s="503"/>
      <c r="E149" s="404"/>
      <c r="F149" s="839" t="s">
        <v>2938</v>
      </c>
      <c r="G149" s="1941"/>
      <c r="H149" s="1917"/>
      <c r="I149" s="1915"/>
      <c r="J149" s="1916"/>
      <c r="K149" s="1918"/>
      <c r="L149" s="1231"/>
      <c r="M149"/>
      <c r="N149"/>
      <c r="O149"/>
    </row>
    <row r="150" spans="2:15">
      <c r="D150"/>
      <c r="E150"/>
      <c r="F150"/>
      <c r="G150"/>
      <c r="H150"/>
      <c r="I150"/>
      <c r="J150"/>
      <c r="K150"/>
      <c r="L150"/>
      <c r="M150"/>
      <c r="N150"/>
      <c r="O150"/>
    </row>
    <row r="151" spans="2:15" ht="15.75">
      <c r="D151" s="499">
        <v>2</v>
      </c>
      <c r="E151" s="510" t="s">
        <v>1660</v>
      </c>
      <c r="F151" s="509"/>
      <c r="G151"/>
      <c r="H151"/>
      <c r="I151"/>
      <c r="J151"/>
      <c r="K151"/>
      <c r="L151"/>
      <c r="M151"/>
      <c r="N151"/>
      <c r="O151"/>
    </row>
    <row r="152" spans="2:15" ht="15.75">
      <c r="D152" s="499">
        <v>2.1</v>
      </c>
      <c r="E152" s="510" t="s">
        <v>1661</v>
      </c>
      <c r="F152" s="509"/>
      <c r="G152"/>
      <c r="H152"/>
      <c r="I152"/>
      <c r="J152"/>
      <c r="K152"/>
      <c r="L152"/>
      <c r="M152"/>
      <c r="N152"/>
      <c r="O152"/>
    </row>
    <row r="153" spans="2:15" ht="15.75">
      <c r="D153" s="503"/>
      <c r="E153" s="63"/>
      <c r="F153" s="629" t="s">
        <v>747</v>
      </c>
      <c r="G153"/>
      <c r="H153"/>
      <c r="I153"/>
      <c r="J153" t="str">
        <f>IF(OR(F155=0,AND(J154=0,O154=0)),$L$3,"")</f>
        <v>&lt;評価しない&gt;</v>
      </c>
      <c r="K153"/>
      <c r="L153"/>
      <c r="M153"/>
      <c r="N153"/>
      <c r="O153"/>
    </row>
    <row r="154" spans="2:15" ht="16.5" thickBot="1">
      <c r="D154" s="503"/>
      <c r="E154" s="63"/>
      <c r="F154" s="630" t="s">
        <v>1845</v>
      </c>
      <c r="G154" s="631"/>
      <c r="H154" s="632"/>
      <c r="I154" s="518" t="s">
        <v>1126</v>
      </c>
      <c r="J154" s="516">
        <f>重み!M22</f>
        <v>0.54166666666666663</v>
      </c>
      <c r="K154" s="631"/>
      <c r="L154" s="633"/>
      <c r="M154" s="634" t="s">
        <v>1662</v>
      </c>
      <c r="N154" s="518" t="s">
        <v>1126</v>
      </c>
      <c r="O154" s="520">
        <f>重み!N22</f>
        <v>0.41666666666666663</v>
      </c>
    </row>
    <row r="155" spans="2:15" ht="27" customHeight="1" thickBot="1">
      <c r="D155" s="503"/>
      <c r="E155" s="63"/>
      <c r="F155" s="522">
        <v>0</v>
      </c>
      <c r="G155" s="1609" t="s">
        <v>2685</v>
      </c>
      <c r="H155" s="1609" t="s">
        <v>1663</v>
      </c>
      <c r="I155" s="1609" t="s">
        <v>1664</v>
      </c>
      <c r="J155" s="1610" t="s">
        <v>2545</v>
      </c>
      <c r="K155" s="1610" t="s">
        <v>1665</v>
      </c>
      <c r="L155" s="1611" t="s">
        <v>2546</v>
      </c>
      <c r="M155" s="522">
        <v>0</v>
      </c>
      <c r="N155" s="1463" t="s">
        <v>2201</v>
      </c>
      <c r="O155" s="1612" t="s">
        <v>1846</v>
      </c>
    </row>
    <row r="156" spans="2:15" ht="15.75" hidden="1">
      <c r="B156" s="1">
        <v>1</v>
      </c>
      <c r="C156" s="1">
        <v>1</v>
      </c>
      <c r="D156" s="503"/>
      <c r="E156" s="63"/>
      <c r="F156" s="619"/>
      <c r="G156" s="618" t="s">
        <v>1040</v>
      </c>
      <c r="H156" s="527"/>
      <c r="I156" s="527"/>
      <c r="J156" s="527"/>
      <c r="K156" s="527"/>
      <c r="L156" s="527"/>
      <c r="M156" s="619"/>
      <c r="N156" s="527" t="s">
        <v>1040</v>
      </c>
      <c r="O156" s="623"/>
    </row>
    <row r="157" spans="2:15" ht="45" hidden="1" customHeight="1">
      <c r="B157" s="1">
        <v>2</v>
      </c>
      <c r="C157" s="1">
        <v>2</v>
      </c>
      <c r="D157" s="503"/>
      <c r="E157" s="63"/>
      <c r="F157" s="534" t="str">
        <f>IF(F155=$F$7,$G$2,IF(AND($O$9=$O$3,ROUNDDOWN(F155,0)=$F$2),$H$2,$G$2))</f>
        <v>　レベル　1</v>
      </c>
      <c r="G157" s="638" t="s">
        <v>1666</v>
      </c>
      <c r="H157" s="530" t="s">
        <v>1847</v>
      </c>
      <c r="I157" s="530" t="s">
        <v>334</v>
      </c>
      <c r="J157" s="530" t="s">
        <v>1848</v>
      </c>
      <c r="K157" s="537" t="s">
        <v>1794</v>
      </c>
      <c r="L157" s="530" t="s">
        <v>1849</v>
      </c>
      <c r="M157" s="534" t="str">
        <f>IF(M155=$F$7,$G$2,IF(AND($O$9=$O$3,ROUNDDOWN(M155,0)=$F$2),$H$2,$G$2))</f>
        <v>　レベル　1</v>
      </c>
      <c r="N157" s="582" t="s">
        <v>1847</v>
      </c>
      <c r="O157" s="639" t="s">
        <v>1850</v>
      </c>
    </row>
    <row r="158" spans="2:15" ht="33.75" hidden="1" customHeight="1">
      <c r="B158" s="1">
        <v>3</v>
      </c>
      <c r="C158" s="1">
        <v>3</v>
      </c>
      <c r="D158" s="503"/>
      <c r="E158" s="63"/>
      <c r="F158" s="534" t="str">
        <f>IF(F155=$F$7,$G$3,IF(AND($O$9=$O$3,ROUNDDOWN(F155,0)=$F$3),$H$3,$G$3))</f>
        <v>　レベル　2</v>
      </c>
      <c r="G158" s="541" t="s">
        <v>336</v>
      </c>
      <c r="H158" s="541"/>
      <c r="I158" s="541"/>
      <c r="J158" s="541"/>
      <c r="K158" s="537" t="s">
        <v>1794</v>
      </c>
      <c r="L158" s="541"/>
      <c r="M158" s="534" t="str">
        <f>IF(M155=$F$7,$G$3,IF(AND($O$9=$O$3,ROUNDDOWN(M155,0)=$F$3),$H$3,$G$3))</f>
        <v>　レベル　2</v>
      </c>
      <c r="N158" s="640"/>
      <c r="O158" s="641"/>
    </row>
    <row r="159" spans="2:15" ht="45" hidden="1" customHeight="1">
      <c r="B159" s="1">
        <v>4</v>
      </c>
      <c r="C159" s="1">
        <v>4</v>
      </c>
      <c r="D159" s="503"/>
      <c r="E159" s="63"/>
      <c r="F159" s="534" t="str">
        <f>IF(F155=$F$7,$G$4,IF(AND($O$9=$O$3,ROUNDDOWN(F155,0)=$F$4),$H$4,$G$4))</f>
        <v>　レベル　3</v>
      </c>
      <c r="G159" s="536" t="s">
        <v>1851</v>
      </c>
      <c r="H159" s="536" t="s">
        <v>1851</v>
      </c>
      <c r="I159" s="536" t="s">
        <v>1462</v>
      </c>
      <c r="J159" s="540" t="s">
        <v>1463</v>
      </c>
      <c r="K159" s="540" t="s">
        <v>869</v>
      </c>
      <c r="L159" s="536" t="s">
        <v>325</v>
      </c>
      <c r="M159" s="534" t="str">
        <f>IF(M155=$F$7,$G$4,IF(AND($O$9=$O$3,ROUNDDOWN(M155,0)=$F$4),$H$4,$G$4))</f>
        <v>　レベル　3</v>
      </c>
      <c r="N159" s="541" t="s">
        <v>1851</v>
      </c>
      <c r="O159" s="542" t="s">
        <v>326</v>
      </c>
    </row>
    <row r="160" spans="2:15" ht="33.75" hidden="1" customHeight="1">
      <c r="B160" s="1">
        <v>5</v>
      </c>
      <c r="C160" s="1">
        <v>5</v>
      </c>
      <c r="D160" s="503"/>
      <c r="E160" s="63"/>
      <c r="F160" s="534" t="str">
        <f>IF(F155=$F$7,$G$5,IF(AND($O$9=$O$3,ROUNDDOWN(F155,0)=$F$5),$H$5,$G$5))</f>
        <v>　レベル　4</v>
      </c>
      <c r="G160" s="541"/>
      <c r="H160" s="541"/>
      <c r="I160" s="541"/>
      <c r="J160" s="542"/>
      <c r="K160" s="542" t="s">
        <v>456</v>
      </c>
      <c r="L160" s="541"/>
      <c r="M160" s="534" t="str">
        <f>IF(M155=$F$7,$G$5,IF(AND($O$9=$O$3,ROUNDDOWN(M155,0)=$F$5),$H$5,$G$5))</f>
        <v>　レベル　4</v>
      </c>
      <c r="N160" s="541"/>
      <c r="O160" s="542"/>
    </row>
    <row r="161" spans="2:15" ht="67.5" hidden="1" customHeight="1">
      <c r="B161" s="551">
        <v>0</v>
      </c>
      <c r="C161" s="551">
        <v>0</v>
      </c>
      <c r="D161" s="503"/>
      <c r="E161" s="63"/>
      <c r="F161" s="544" t="str">
        <f>IF(F155=$F$7,$G$6,IF(AND($O$9=$O$3,ROUNDDOWN(F155,0)=$F$6),$H$6,$G$6))</f>
        <v>　レベル　5</v>
      </c>
      <c r="G161" s="3353" t="s">
        <v>327</v>
      </c>
      <c r="H161" s="3354"/>
      <c r="I161" s="3354"/>
      <c r="J161" s="3355"/>
      <c r="K161" s="546" t="s">
        <v>457</v>
      </c>
      <c r="L161" s="545" t="s">
        <v>461</v>
      </c>
      <c r="M161" s="544" t="str">
        <f>IF(M155=$F$7,$G$6,IF(AND($O$9=$O$3,ROUNDDOWN(M155,0)=$F$6),$H$6,$G$6))</f>
        <v>　レベル　5</v>
      </c>
      <c r="N161" s="545" t="s">
        <v>327</v>
      </c>
      <c r="O161" s="546" t="s">
        <v>328</v>
      </c>
    </row>
    <row r="162" spans="2:15" ht="15.75" hidden="1">
      <c r="D162" s="503"/>
      <c r="E162" s="63"/>
      <c r="F162" s="620"/>
      <c r="G162" s="618" t="s">
        <v>1039</v>
      </c>
      <c r="H162" s="527"/>
      <c r="I162" s="632"/>
      <c r="J162" s="632"/>
      <c r="K162" s="632"/>
      <c r="L162" s="632"/>
      <c r="M162" s="620"/>
      <c r="N162" s="618" t="s">
        <v>1039</v>
      </c>
      <c r="O162" s="623"/>
    </row>
    <row r="163" spans="2:15" ht="97.5" customHeight="1">
      <c r="D163" s="503"/>
      <c r="E163" s="63"/>
      <c r="F163" s="621" t="str">
        <f>IF(F155=$F$7,$G$2,IF(AND($O$9&lt;&gt;$O$3,ROUNDDOWN(F155,0)=$F$2),$H$2,$G$2))</f>
        <v>　レベル　1</v>
      </c>
      <c r="G163" s="536" t="s">
        <v>1666</v>
      </c>
      <c r="H163" s="530" t="s">
        <v>2044</v>
      </c>
      <c r="I163" s="530" t="s">
        <v>329</v>
      </c>
      <c r="J163" s="530" t="s">
        <v>2045</v>
      </c>
      <c r="K163" s="536" t="s">
        <v>1794</v>
      </c>
      <c r="L163" s="530" t="s">
        <v>2046</v>
      </c>
      <c r="M163" s="621" t="str">
        <f>IF(M155=$F$7,$G$2,IF(AND($O$9&lt;&gt;$O$3,ROUNDDOWN(M155,0)=$F$2),$H$2,$G$2))</f>
        <v>　レベル　1</v>
      </c>
      <c r="N163" s="582" t="s">
        <v>2044</v>
      </c>
      <c r="O163" s="639" t="s">
        <v>2046</v>
      </c>
    </row>
    <row r="164" spans="2:15" ht="99" customHeight="1">
      <c r="D164" s="503"/>
      <c r="E164" s="63"/>
      <c r="F164" s="534" t="str">
        <f>IF(F155=$F$7,$G$3,IF(AND($O$9&lt;&gt;$O$3,ROUNDDOWN(F155,0)=$F$3),$H$3,$G$3))</f>
        <v>　レベル　2</v>
      </c>
      <c r="G164" s="541" t="s">
        <v>330</v>
      </c>
      <c r="H164" s="541"/>
      <c r="I164" s="541"/>
      <c r="J164" s="541"/>
      <c r="K164" s="537" t="s">
        <v>1794</v>
      </c>
      <c r="L164" s="541"/>
      <c r="M164" s="534" t="str">
        <f>IF(M155=$F$7,$G$3,IF(AND($O$9&lt;&gt;$O$3,ROUNDDOWN(M155,0)=$F$3),$H$3,$G$3))</f>
        <v>　レベル　2</v>
      </c>
      <c r="N164" s="640"/>
      <c r="O164" s="641"/>
    </row>
    <row r="165" spans="2:15" ht="93.75" customHeight="1">
      <c r="D165" s="503"/>
      <c r="E165" s="63"/>
      <c r="F165" s="534" t="str">
        <f>IF(F155=$F$7,$G$4,IF(AND($O$9&lt;&gt;$O$3,ROUNDDOWN(F155,0)=$F$4),$H$4,$G$4))</f>
        <v>　レベル　3</v>
      </c>
      <c r="G165" s="536" t="s">
        <v>331</v>
      </c>
      <c r="H165" s="536" t="s">
        <v>2047</v>
      </c>
      <c r="I165" s="536" t="s">
        <v>332</v>
      </c>
      <c r="J165" s="540" t="s">
        <v>333</v>
      </c>
      <c r="K165" s="540" t="s">
        <v>750</v>
      </c>
      <c r="L165" s="536" t="s">
        <v>2048</v>
      </c>
      <c r="M165" s="534" t="str">
        <f>IF(M155=$F$7,$G$4,IF(AND($O$9&lt;&gt;$O$3,ROUNDDOWN(M155,0)=$F$4),$H$4,$G$4))</f>
        <v>　レベル　3</v>
      </c>
      <c r="N165" s="3328" t="s">
        <v>331</v>
      </c>
      <c r="O165" s="3327"/>
    </row>
    <row r="166" spans="2:15" ht="81.75" customHeight="1">
      <c r="D166" s="503"/>
      <c r="E166" s="63"/>
      <c r="F166" s="534" t="str">
        <f>IF(F155=$F$7,$G$5,IF(AND($O$9&lt;&gt;$O$3,ROUNDDOWN(F155,0)=$F$5),$H$5,$G$5))</f>
        <v>　レベル　4</v>
      </c>
      <c r="G166" s="541"/>
      <c r="H166" s="541"/>
      <c r="I166" s="541"/>
      <c r="J166" s="542"/>
      <c r="K166" s="542" t="s">
        <v>458</v>
      </c>
      <c r="L166" s="541"/>
      <c r="M166" s="534" t="str">
        <f>IF(M155=$F$7,$G$5,IF(AND($O$9&lt;&gt;$O$3,ROUNDDOWN(M155,0)=$F$5),$H$5,$G$5))</f>
        <v>　レベル　4</v>
      </c>
      <c r="N166" s="3328"/>
      <c r="O166" s="3327"/>
    </row>
    <row r="167" spans="2:15" ht="81" customHeight="1">
      <c r="D167" s="503"/>
      <c r="E167" s="63"/>
      <c r="F167" s="544" t="str">
        <f>IF(F155=$F$7,$G$6,IF(AND($O$9&lt;&gt;$O$3,ROUNDDOWN(F155,0)=$F$6),$H$6,$G$6))</f>
        <v>　レベル　5</v>
      </c>
      <c r="G167" s="3332" t="s">
        <v>1453</v>
      </c>
      <c r="H167" s="3350"/>
      <c r="I167" s="3350"/>
      <c r="J167" s="3356"/>
      <c r="K167" s="545" t="s">
        <v>460</v>
      </c>
      <c r="L167" s="545" t="s">
        <v>459</v>
      </c>
      <c r="M167" s="544" t="str">
        <f>IF(M155=$F$7,$G$6,IF(AND($O$9&lt;&gt;$O$3,ROUNDDOWN(M155,0)=$F$6),$H$6,$G$6))</f>
        <v>　レベル　5</v>
      </c>
      <c r="N167" s="3332" t="s">
        <v>1453</v>
      </c>
      <c r="O167" s="3325"/>
    </row>
    <row r="168" spans="2:15" ht="15.75" hidden="1">
      <c r="D168" s="503"/>
      <c r="E168" s="63"/>
      <c r="F168" s="63"/>
      <c r="G168" s="622"/>
      <c r="H168" s="622"/>
      <c r="I168" s="622"/>
      <c r="J168" s="622"/>
      <c r="K168" s="622"/>
      <c r="L168" s="622"/>
      <c r="M168" s="622"/>
      <c r="N168" s="622"/>
      <c r="O168" s="622"/>
    </row>
    <row r="169" spans="2:15" ht="15.75" hidden="1">
      <c r="D169" s="503"/>
      <c r="E169" s="63"/>
      <c r="F169" s="1350" t="s">
        <v>2049</v>
      </c>
      <c r="G169" s="575"/>
      <c r="H169" s="617"/>
      <c r="I169" s="601"/>
      <c r="J169" s="578" t="str">
        <f>IF(OR(F171=0,J170=0),$L$3,"")</f>
        <v>&lt;評価しない&gt;</v>
      </c>
      <c r="K169" s="622"/>
      <c r="L169" s="622"/>
      <c r="M169" s="622"/>
      <c r="N169" s="622"/>
      <c r="O169" s="622"/>
    </row>
    <row r="170" spans="2:15" ht="15.75" hidden="1">
      <c r="D170" s="503"/>
      <c r="E170" s="63"/>
      <c r="F170" s="515" t="s">
        <v>1454</v>
      </c>
      <c r="G170" s="516"/>
      <c r="H170" s="517"/>
      <c r="I170" s="518" t="s">
        <v>1126</v>
      </c>
      <c r="J170" s="521">
        <f>重み!M23</f>
        <v>0</v>
      </c>
      <c r="K170" s="622"/>
      <c r="L170" s="622"/>
      <c r="M170" s="622"/>
      <c r="N170" s="622"/>
      <c r="O170" s="622"/>
    </row>
    <row r="171" spans="2:15" ht="16.5" hidden="1" thickBot="1">
      <c r="D171" s="503"/>
      <c r="E171" s="63"/>
      <c r="F171" s="522">
        <v>0</v>
      </c>
      <c r="G171" s="526" t="s">
        <v>2050</v>
      </c>
      <c r="H171" s="527"/>
      <c r="I171" s="527"/>
      <c r="J171" s="528"/>
      <c r="K171" s="622"/>
      <c r="L171" s="622"/>
      <c r="M171" s="622"/>
      <c r="N171" s="622"/>
      <c r="O171" s="622"/>
    </row>
    <row r="172" spans="2:15" ht="15.75" hidden="1">
      <c r="B172" s="1">
        <v>1</v>
      </c>
      <c r="C172" s="1">
        <v>1</v>
      </c>
      <c r="D172" s="503"/>
      <c r="E172" s="63"/>
      <c r="F172" s="529" t="str">
        <f>IF(F171=$F$7,$G$2,IF(ROUNDDOWN(F171,0)=$F$2,$H$2,$G$2))</f>
        <v>　レベル　1</v>
      </c>
      <c r="G172" s="531" t="s">
        <v>2051</v>
      </c>
      <c r="H172" s="532"/>
      <c r="I172" s="532"/>
      <c r="J172" s="533"/>
      <c r="K172" s="622"/>
      <c r="L172" s="622"/>
      <c r="M172" s="622"/>
      <c r="N172" s="622"/>
      <c r="O172" s="622"/>
    </row>
    <row r="173" spans="2:15" ht="15.75" hidden="1">
      <c r="B173" s="1">
        <v>2</v>
      </c>
      <c r="C173" s="1">
        <v>2</v>
      </c>
      <c r="D173" s="503"/>
      <c r="E173" s="63"/>
      <c r="F173" s="534" t="str">
        <f>IF(F171=$F$7,$G$3,IF(ROUNDDOWN(F171,0)=$F$3,$H$3,$G$3))</f>
        <v>　レベル　2</v>
      </c>
      <c r="G173" s="537"/>
      <c r="H173" s="538"/>
      <c r="I173" s="538"/>
      <c r="J173" s="539"/>
      <c r="K173" s="622"/>
      <c r="L173" s="622"/>
      <c r="M173" s="622"/>
      <c r="N173" s="622"/>
      <c r="O173" s="622"/>
    </row>
    <row r="174" spans="2:15" ht="15.75" hidden="1">
      <c r="B174" s="1">
        <v>3</v>
      </c>
      <c r="C174" s="1">
        <v>3</v>
      </c>
      <c r="D174" s="503"/>
      <c r="E174" s="63"/>
      <c r="F174" s="534" t="str">
        <f>IF(F171=$F$7,$G$4,IF(ROUNDDOWN(F171,0)=$F$4,$H$4,$G$4))</f>
        <v>　レベル　3</v>
      </c>
      <c r="G174" s="537" t="s">
        <v>2052</v>
      </c>
      <c r="H174" s="538"/>
      <c r="I174" s="538"/>
      <c r="J174" s="539"/>
      <c r="K174" s="622"/>
      <c r="L174" s="622"/>
      <c r="M174" s="622"/>
      <c r="N174" s="622"/>
      <c r="O174" s="622"/>
    </row>
    <row r="175" spans="2:15" ht="15.75" hidden="1">
      <c r="B175" s="1">
        <v>4</v>
      </c>
      <c r="C175" s="1">
        <v>4</v>
      </c>
      <c r="D175" s="503"/>
      <c r="E175" s="63"/>
      <c r="F175" s="534" t="str">
        <f>IF(F171=$F$7,$G$5,IF(ROUNDDOWN(F171,0)=$F$5,$H$5,$G$5))</f>
        <v>　レベル　4</v>
      </c>
      <c r="G175" s="537"/>
      <c r="H175" s="538"/>
      <c r="I175" s="538"/>
      <c r="J175" s="539"/>
      <c r="K175" s="622"/>
      <c r="L175" s="622"/>
      <c r="M175" s="622"/>
      <c r="N175" s="622"/>
      <c r="O175" s="622"/>
    </row>
    <row r="176" spans="2:15" ht="15.75" hidden="1">
      <c r="B176" s="1">
        <v>5</v>
      </c>
      <c r="C176" s="1">
        <v>5</v>
      </c>
      <c r="D176" s="503"/>
      <c r="E176" s="63"/>
      <c r="F176" s="544" t="str">
        <f>IF(F171=$F$7,$G$6,IF(ROUNDDOWN(F171,0)=$F$6,$H$6,$G$6))</f>
        <v>　レベル　5</v>
      </c>
      <c r="G176" s="548" t="s">
        <v>1455</v>
      </c>
      <c r="H176" s="549"/>
      <c r="I176" s="549"/>
      <c r="J176" s="550"/>
      <c r="K176" s="622"/>
      <c r="L176" s="622"/>
      <c r="M176" s="622"/>
      <c r="N176" s="622"/>
      <c r="O176" s="622"/>
    </row>
    <row r="177" spans="2:15" ht="15.75">
      <c r="B177" s="551">
        <v>0</v>
      </c>
      <c r="C177" s="551">
        <v>0</v>
      </c>
      <c r="D177" s="503"/>
      <c r="E177" s="63"/>
      <c r="F177" s="839" t="s">
        <v>2938</v>
      </c>
      <c r="G177" s="1941"/>
      <c r="H177" s="1917"/>
      <c r="I177" s="1915"/>
      <c r="J177" s="1916"/>
      <c r="K177" s="1918"/>
      <c r="L177" s="1231"/>
      <c r="M177"/>
      <c r="N177"/>
      <c r="O177"/>
    </row>
    <row r="178" spans="2:15" ht="15.75">
      <c r="B178" s="870"/>
      <c r="C178" s="870"/>
      <c r="D178" s="503"/>
      <c r="E178" s="63"/>
      <c r="F178" s="616"/>
      <c r="G178"/>
      <c r="H178"/>
      <c r="I178"/>
      <c r="J178"/>
      <c r="K178"/>
      <c r="L178"/>
      <c r="M178"/>
      <c r="N178"/>
      <c r="O178"/>
    </row>
    <row r="179" spans="2:15" ht="15.75">
      <c r="D179" s="503"/>
      <c r="E179" s="63"/>
      <c r="F179" s="511" t="s">
        <v>2428</v>
      </c>
      <c r="G179"/>
      <c r="H179"/>
      <c r="I179"/>
      <c r="J179" t="str">
        <f>IF(OR(F181=0,AND(J180=0,O180=0)),$L$3,"")</f>
        <v/>
      </c>
      <c r="K179"/>
      <c r="L179"/>
      <c r="M179"/>
      <c r="N179"/>
      <c r="O179"/>
    </row>
    <row r="180" spans="2:15" ht="16.5" thickBot="1">
      <c r="D180" s="503"/>
      <c r="E180" s="507"/>
      <c r="F180" s="515" t="s">
        <v>392</v>
      </c>
      <c r="G180" s="516"/>
      <c r="H180" s="517"/>
      <c r="I180" s="518" t="s">
        <v>1126</v>
      </c>
      <c r="J180" s="521">
        <f>重み!M24</f>
        <v>0.33333333333333326</v>
      </c>
      <c r="K180" s="515" t="s">
        <v>1614</v>
      </c>
      <c r="L180" s="516"/>
      <c r="M180" s="517"/>
      <c r="N180" s="518" t="s">
        <v>1126</v>
      </c>
      <c r="O180" s="521">
        <f>重み!N24</f>
        <v>0.24999999999999994</v>
      </c>
    </row>
    <row r="181" spans="2:15" ht="27" customHeight="1" thickBot="1">
      <c r="D181" s="503"/>
      <c r="E181" s="507"/>
      <c r="F181" s="522">
        <v>3</v>
      </c>
      <c r="G181" s="618" t="s">
        <v>2212</v>
      </c>
      <c r="H181" s="527"/>
      <c r="I181" s="527"/>
      <c r="J181" s="528"/>
      <c r="K181" s="522">
        <v>3</v>
      </c>
      <c r="L181" s="618" t="s">
        <v>2213</v>
      </c>
      <c r="M181" s="528"/>
      <c r="N181" s="618" t="s">
        <v>1456</v>
      </c>
      <c r="O181" s="528"/>
    </row>
    <row r="182" spans="2:15" ht="15.75" hidden="1">
      <c r="B182" s="1">
        <v>1</v>
      </c>
      <c r="C182" s="1">
        <v>1</v>
      </c>
      <c r="D182" s="503"/>
      <c r="E182" s="507"/>
      <c r="F182" s="646"/>
      <c r="G182" s="618" t="s">
        <v>1040</v>
      </c>
      <c r="H182" s="527"/>
      <c r="I182" s="527"/>
      <c r="J182" s="528"/>
      <c r="K182" s="646"/>
      <c r="L182" s="527" t="s">
        <v>1040</v>
      </c>
      <c r="M182" s="528"/>
      <c r="N182" s="527"/>
      <c r="O182" s="528"/>
    </row>
    <row r="183" spans="2:15" ht="60" hidden="1" customHeight="1">
      <c r="B183" s="1">
        <v>2</v>
      </c>
      <c r="C183" s="1">
        <v>2</v>
      </c>
      <c r="D183" s="503"/>
      <c r="E183" s="628"/>
      <c r="F183" s="534" t="str">
        <f>IF(F181=$F$7,$G$2,IF(AND($O$9=$O$3,ROUNDDOWN(F181,0)=$F$2),$H$2,$G$2))</f>
        <v>　レベル　1</v>
      </c>
      <c r="G183" s="3322" t="s">
        <v>2214</v>
      </c>
      <c r="H183" s="3344"/>
      <c r="I183" s="3344"/>
      <c r="J183" s="3329"/>
      <c r="K183" s="534" t="str">
        <f>IF(K181=$F$7,$G$2,IF(AND($O$9=$O$3,ROUNDDOWN(K181,0)=$F$2),$H$2,$G$2))</f>
        <v>　レベル　1</v>
      </c>
      <c r="L183" s="3328" t="s">
        <v>1457</v>
      </c>
      <c r="M183" s="3327"/>
      <c r="N183" s="3328" t="s">
        <v>73</v>
      </c>
      <c r="O183" s="3327"/>
    </row>
    <row r="184" spans="2:15" ht="60" hidden="1" customHeight="1">
      <c r="B184" s="1">
        <v>3</v>
      </c>
      <c r="C184" s="1">
        <v>3</v>
      </c>
      <c r="D184" s="503"/>
      <c r="E184" s="628"/>
      <c r="F184" s="534" t="str">
        <f>IF(F181=$F$7,$G$3,IF(AND($O$9=$O$3,ROUNDDOWN(F181,0)=$F$3),$H$3,$G$3))</f>
        <v>　レベル　2</v>
      </c>
      <c r="G184" s="537"/>
      <c r="H184" s="627"/>
      <c r="I184" s="647"/>
      <c r="J184" s="626"/>
      <c r="K184" s="534" t="str">
        <f>IF(K181=$F$7,$G$3,IF(AND($O$9=$O$3,ROUNDDOWN(K181,0)=$F$3),$H$3,$G$3))</f>
        <v>　レベル　2</v>
      </c>
      <c r="L184" s="3328"/>
      <c r="M184" s="3327"/>
      <c r="N184" s="3328" t="s">
        <v>302</v>
      </c>
      <c r="O184" s="3327"/>
    </row>
    <row r="185" spans="2:15" ht="60" hidden="1" customHeight="1">
      <c r="B185" s="1">
        <v>4</v>
      </c>
      <c r="C185" s="1">
        <v>4</v>
      </c>
      <c r="D185" s="503"/>
      <c r="E185" s="628"/>
      <c r="F185" s="534" t="str">
        <f>IF(F181=$F$7,$G$4,IF(AND($O$9=$O$3,ROUNDDOWN(F181,0)=$F$4),$H$4,$G$4))</f>
        <v>　レベル　3</v>
      </c>
      <c r="G185" s="3328" t="s">
        <v>2215</v>
      </c>
      <c r="H185" s="3351"/>
      <c r="I185" s="3351"/>
      <c r="J185" s="3352"/>
      <c r="K185" s="534" t="str">
        <f>IF(K181=$F$7,$G$4,IF(AND($O$9=$O$3,ROUNDDOWN(K181,0)=$F$4),$H$4,$G$4))</f>
        <v>　レベル　3</v>
      </c>
      <c r="L185" s="3328" t="s">
        <v>1458</v>
      </c>
      <c r="M185" s="3327"/>
      <c r="N185" s="3328" t="s">
        <v>303</v>
      </c>
      <c r="O185" s="3327"/>
    </row>
    <row r="186" spans="2:15" ht="45" hidden="1" customHeight="1">
      <c r="B186" s="1">
        <v>5</v>
      </c>
      <c r="C186" s="1">
        <v>5</v>
      </c>
      <c r="D186" s="503"/>
      <c r="E186" s="628"/>
      <c r="F186" s="534" t="str">
        <f>IF(F181=$F$7,$G$5,IF(AND($O$9=$O$3,ROUNDDOWN(F181,0)=$F$5),$H$5,$G$5))</f>
        <v>　レベル　4</v>
      </c>
      <c r="G186" s="537"/>
      <c r="H186" s="627"/>
      <c r="I186" s="647"/>
      <c r="J186" s="543"/>
      <c r="K186" s="534" t="str">
        <f>IF(K181=$F$7,$G$5,IF(AND($O$9=$O$3,ROUNDDOWN(K181,0)=$F$5),$H$5,$G$5))</f>
        <v>　レベル　4</v>
      </c>
      <c r="L186" s="3328"/>
      <c r="M186" s="3327"/>
      <c r="N186" s="3328" t="s">
        <v>1794</v>
      </c>
      <c r="O186" s="3327"/>
    </row>
    <row r="187" spans="2:15" ht="60" hidden="1" customHeight="1">
      <c r="B187" s="551">
        <v>0</v>
      </c>
      <c r="C187" s="551">
        <v>0</v>
      </c>
      <c r="D187" s="503"/>
      <c r="E187" s="628"/>
      <c r="F187" s="544" t="str">
        <f>IF(F181=$F$7,$G$6,IF(AND($O$9=$O$3,ROUNDDOWN(F181,0)=$F$6),$H$6,$G$6))</f>
        <v>　レベル　5</v>
      </c>
      <c r="G187" s="3332" t="s">
        <v>2216</v>
      </c>
      <c r="H187" s="3348"/>
      <c r="I187" s="3348"/>
      <c r="J187" s="3349"/>
      <c r="K187" s="544" t="str">
        <f>IF(K181=$F$7,$G$6,IF(AND($O$9=$O$3,ROUNDDOWN(K181,0)=$F$6),$H$6,$G$6))</f>
        <v>　レベル　5</v>
      </c>
      <c r="L187" s="3328" t="s">
        <v>1459</v>
      </c>
      <c r="M187" s="3327"/>
      <c r="N187" s="3328" t="s">
        <v>304</v>
      </c>
      <c r="O187" s="3327"/>
    </row>
    <row r="188" spans="2:15" ht="15.75" hidden="1">
      <c r="D188" s="503"/>
      <c r="E188" s="628"/>
      <c r="F188" s="620"/>
      <c r="G188" s="527" t="s">
        <v>1039</v>
      </c>
      <c r="H188" s="632"/>
      <c r="I188" s="632"/>
      <c r="J188" s="632"/>
      <c r="K188" s="620"/>
      <c r="L188" s="632" t="s">
        <v>1039</v>
      </c>
      <c r="M188" s="632"/>
      <c r="N188" s="632"/>
      <c r="O188" s="648"/>
    </row>
    <row r="189" spans="2:15" ht="84.75" customHeight="1">
      <c r="D189" s="503"/>
      <c r="E189" s="628"/>
      <c r="F189" s="621" t="str">
        <f>IF(F181=$F$7,$G$2,IF(AND($O$9&lt;&gt;$O$3,ROUNDDOWN(F181,0)=$F$2),$H$2,$G$2))</f>
        <v>　レベル　1</v>
      </c>
      <c r="G189" s="3322" t="s">
        <v>3088</v>
      </c>
      <c r="H189" s="3323"/>
      <c r="I189" s="3323"/>
      <c r="J189" s="3342"/>
      <c r="K189" s="621" t="str">
        <f>IF(K181=$F$7,$G$2,IF(AND($O$9&lt;&gt;$O$3,ROUNDDOWN(K181,0)=$F$2),$H$2,$G$2))</f>
        <v>　レベル　1</v>
      </c>
      <c r="L189" s="3322" t="s">
        <v>2718</v>
      </c>
      <c r="M189" s="3342"/>
      <c r="N189" s="3326" t="s">
        <v>174</v>
      </c>
      <c r="O189" s="3327"/>
    </row>
    <row r="190" spans="2:15" ht="49.5" customHeight="1">
      <c r="D190" s="503"/>
      <c r="E190" s="628"/>
      <c r="F190" s="534" t="str">
        <f>IF(F181=$F$7,$G$3,IF(AND($O$9&lt;&gt;$O$3,ROUNDDOWN(F181,0)=$F$3),$H$3,$G$3))</f>
        <v>　レベル　2</v>
      </c>
      <c r="G190" s="3328"/>
      <c r="H190" s="3334"/>
      <c r="I190" s="3334"/>
      <c r="J190" s="3327"/>
      <c r="K190" s="534" t="str">
        <f>IF(K181=$F$7,$G$3,IF(AND($O$9&lt;&gt;$O$3,ROUNDDOWN(K181,0)=$F$3),$H$3,$G$3))</f>
        <v>　レベル　2</v>
      </c>
      <c r="L190" s="537"/>
      <c r="M190" s="627"/>
      <c r="N190" s="3326" t="s">
        <v>2719</v>
      </c>
      <c r="O190" s="3327"/>
    </row>
    <row r="191" spans="2:15" ht="98.25" customHeight="1">
      <c r="D191" s="503"/>
      <c r="E191" s="628"/>
      <c r="F191" s="534" t="str">
        <f>IF(F181=$F$7,$G$4,IF(AND($O$9&lt;&gt;$O$3,ROUNDDOWN(F181,0)=$F$4),$H$4,$G$4))</f>
        <v>■レベル　3</v>
      </c>
      <c r="G191" s="3328" t="s">
        <v>2430</v>
      </c>
      <c r="H191" s="3334"/>
      <c r="I191" s="3334"/>
      <c r="J191" s="3327"/>
      <c r="K191" s="534" t="str">
        <f>IF(K181=$F$7,$G$4,IF(AND($O$9&lt;&gt;$O$3,ROUNDDOWN(K181,0)=$F$4),$H$4,$G$4))</f>
        <v>■レベル　3</v>
      </c>
      <c r="L191" s="3328" t="s">
        <v>2431</v>
      </c>
      <c r="M191" s="3327"/>
      <c r="N191" s="3326" t="s">
        <v>2720</v>
      </c>
      <c r="O191" s="3327"/>
    </row>
    <row r="192" spans="2:15" ht="42.75" customHeight="1">
      <c r="D192" s="503"/>
      <c r="E192" s="628"/>
      <c r="F192" s="534" t="str">
        <f>IF(F181=$F$7,$G$5,IF(AND($O$9&lt;&gt;$O$3,ROUNDDOWN(F181,0)=$F$5),$H$5,$G$5))</f>
        <v>　レベル　4</v>
      </c>
      <c r="G192" s="3328"/>
      <c r="H192" s="3334"/>
      <c r="I192" s="3334"/>
      <c r="J192" s="3327"/>
      <c r="K192" s="534" t="str">
        <f>IF(K181=$F$7,$G$5,IF(AND($O$9&lt;&gt;$O$3,ROUNDDOWN(K181,0)=$F$5),$H$5,$G$5))</f>
        <v>　レベル　4</v>
      </c>
      <c r="L192" s="537"/>
      <c r="M192" s="627"/>
      <c r="N192" s="3326" t="s">
        <v>4184</v>
      </c>
      <c r="O192" s="3327"/>
    </row>
    <row r="193" spans="2:15" ht="98.25" customHeight="1">
      <c r="D193" s="503"/>
      <c r="E193" s="628"/>
      <c r="F193" s="544" t="str">
        <f>IF(F181=$F$7,$G$6,IF(AND($O$9&lt;&gt;$O$3,ROUNDDOWN(F181,0)=$F$6),$H$6,$G$6))</f>
        <v>　レベル　5</v>
      </c>
      <c r="G193" s="3332" t="s">
        <v>2366</v>
      </c>
      <c r="H193" s="3333"/>
      <c r="I193" s="3333"/>
      <c r="J193" s="3325"/>
      <c r="K193" s="544" t="str">
        <f>IF(K181=$F$7,$G$6,IF(AND($O$9&lt;&gt;$O$3,ROUNDDOWN(K181,0)=$F$6),$H$6,$G$6))</f>
        <v>　レベル　5</v>
      </c>
      <c r="L193" s="3332" t="s">
        <v>2432</v>
      </c>
      <c r="M193" s="3325"/>
      <c r="N193" s="3324" t="s">
        <v>4270</v>
      </c>
      <c r="O193" s="3325"/>
    </row>
    <row r="194" spans="2:15" ht="15.75">
      <c r="D194" s="503"/>
      <c r="E194" s="628"/>
      <c r="F194" s="839" t="s">
        <v>2938</v>
      </c>
      <c r="G194" s="1941" t="s">
        <v>4283</v>
      </c>
      <c r="H194" s="1917"/>
      <c r="I194" s="1915"/>
      <c r="J194" s="1916"/>
      <c r="K194" s="1918"/>
      <c r="L194" s="1231"/>
      <c r="M194"/>
      <c r="N194"/>
      <c r="O194"/>
    </row>
    <row r="195" spans="2:15" ht="15.75">
      <c r="D195" s="503"/>
      <c r="E195" s="628"/>
      <c r="F195" s="1977" t="s">
        <v>3087</v>
      </c>
      <c r="G195" s="1942">
        <v>0.5</v>
      </c>
      <c r="H195"/>
      <c r="I195" s="1977" t="s">
        <v>3294</v>
      </c>
      <c r="J195" s="1942"/>
      <c r="K195"/>
      <c r="L195"/>
      <c r="M195"/>
      <c r="N195"/>
      <c r="O195"/>
    </row>
    <row r="196" spans="2:15" ht="15.75">
      <c r="D196" s="503"/>
      <c r="E196" s="628"/>
      <c r="F196" s="1977" t="s">
        <v>3090</v>
      </c>
      <c r="G196" s="1977" t="s">
        <v>3089</v>
      </c>
      <c r="H196" s="2075">
        <v>4</v>
      </c>
      <c r="I196" s="1977" t="s">
        <v>3092</v>
      </c>
      <c r="J196" s="2075">
        <v>2</v>
      </c>
      <c r="K196" s="1977" t="s">
        <v>3091</v>
      </c>
      <c r="L196" s="2075">
        <v>2</v>
      </c>
      <c r="M196" s="1977" t="s">
        <v>3093</v>
      </c>
      <c r="N196" s="2075">
        <v>2</v>
      </c>
      <c r="O196"/>
    </row>
    <row r="197" spans="2:15" ht="15.75">
      <c r="D197" s="503"/>
      <c r="E197" s="628"/>
      <c r="F197" s="1977" t="s">
        <v>3296</v>
      </c>
      <c r="G197" s="1977" t="s">
        <v>3295</v>
      </c>
      <c r="H197" s="1942"/>
      <c r="I197" s="1977" t="s">
        <v>3289</v>
      </c>
      <c r="J197" s="1942"/>
      <c r="K197" s="1977" t="s">
        <v>3291</v>
      </c>
      <c r="L197" s="1942"/>
      <c r="M197" s="1977" t="s">
        <v>3293</v>
      </c>
      <c r="N197" s="1942"/>
      <c r="O197"/>
    </row>
    <row r="198" spans="2:15" ht="15.75" customHeight="1">
      <c r="D198"/>
      <c r="E198"/>
      <c r="F198" s="2073"/>
      <c r="G198" s="1968"/>
      <c r="H198" s="2212"/>
      <c r="I198" s="3361"/>
      <c r="J198" s="3361"/>
      <c r="K198" s="3361"/>
      <c r="L198" s="3361"/>
      <c r="M198" s="3361"/>
      <c r="N198" s="3361"/>
      <c r="O198" s="3361"/>
    </row>
    <row r="199" spans="2:15">
      <c r="D199"/>
      <c r="E199"/>
      <c r="F199" s="1949"/>
      <c r="G199" s="1949"/>
      <c r="H199" s="1949"/>
      <c r="I199" s="1949"/>
      <c r="J199"/>
      <c r="K199"/>
      <c r="L199"/>
      <c r="M199"/>
      <c r="N199"/>
      <c r="O199"/>
    </row>
    <row r="200" spans="2:15" ht="15.75">
      <c r="D200" s="503"/>
      <c r="E200" s="63"/>
      <c r="F200" s="63"/>
      <c r="G200"/>
      <c r="H200"/>
      <c r="I200"/>
      <c r="J200"/>
      <c r="K200"/>
      <c r="L200"/>
      <c r="M200"/>
      <c r="N200"/>
      <c r="O200"/>
    </row>
    <row r="201" spans="2:15" ht="15.75">
      <c r="D201" s="503"/>
      <c r="E201" s="628"/>
      <c r="F201" s="629" t="s">
        <v>2433</v>
      </c>
      <c r="G201"/>
      <c r="H201"/>
      <c r="I201"/>
      <c r="J201" t="str">
        <f>IF(OR(F203=0,J202=0),$L$3,"")</f>
        <v>&lt;評価しない&gt;</v>
      </c>
      <c r="K201"/>
      <c r="L201"/>
      <c r="M201"/>
      <c r="N201"/>
      <c r="O201"/>
    </row>
    <row r="202" spans="2:15" ht="15.75" customHeight="1" thickBot="1">
      <c r="D202" s="503"/>
      <c r="E202" s="628"/>
      <c r="F202" s="630" t="s">
        <v>2054</v>
      </c>
      <c r="G202" s="631"/>
      <c r="H202" s="632"/>
      <c r="I202" s="518" t="s">
        <v>1126</v>
      </c>
      <c r="J202" s="516">
        <f>重み!M25</f>
        <v>0.12499999999999997</v>
      </c>
      <c r="K202" s="631"/>
      <c r="L202" s="633"/>
      <c r="M202" s="653" t="s">
        <v>408</v>
      </c>
      <c r="N202" s="654"/>
      <c r="O202" s="1465" t="s">
        <v>1089</v>
      </c>
    </row>
    <row r="203" spans="2:15" ht="27" customHeight="1" thickBot="1">
      <c r="D203" s="503"/>
      <c r="E203" s="628"/>
      <c r="F203" s="522">
        <v>0</v>
      </c>
      <c r="G203" s="527" t="s">
        <v>2686</v>
      </c>
      <c r="H203" s="527"/>
      <c r="I203" s="528"/>
      <c r="J203" s="618" t="s">
        <v>2547</v>
      </c>
      <c r="K203" s="527"/>
      <c r="L203" s="527"/>
      <c r="M203" s="655" t="s">
        <v>1460</v>
      </c>
      <c r="N203" s="656"/>
      <c r="O203" s="1466"/>
    </row>
    <row r="204" spans="2:15" ht="51.75" customHeight="1">
      <c r="B204" s="1">
        <v>1</v>
      </c>
      <c r="C204" s="1">
        <v>1</v>
      </c>
      <c r="D204" s="503"/>
      <c r="E204" s="628"/>
      <c r="F204" s="529" t="str">
        <f>IF(F203=$F$7,$G$2,IF(ROUNDDOWN(F203,0)=$F$2,$H$2,$G$2))</f>
        <v>　レベル　1</v>
      </c>
      <c r="G204" s="3322" t="s">
        <v>1461</v>
      </c>
      <c r="H204" s="3344"/>
      <c r="I204" s="3329"/>
      <c r="J204" s="3322" t="s">
        <v>409</v>
      </c>
      <c r="K204" s="3323"/>
      <c r="L204" s="3323"/>
      <c r="M204" s="3357" t="s">
        <v>410</v>
      </c>
      <c r="N204" s="3358"/>
      <c r="O204" s="1467" t="s">
        <v>2553</v>
      </c>
    </row>
    <row r="205" spans="2:15" ht="15.75">
      <c r="B205" s="1">
        <v>2</v>
      </c>
      <c r="C205" s="1">
        <v>2</v>
      </c>
      <c r="D205" s="503"/>
      <c r="E205" s="628"/>
      <c r="F205" s="534" t="str">
        <f>IF(F203=$F$7,$G$3,IF(ROUNDDOWN(F203,0)=$F$3,$H$3,$G$3))</f>
        <v>　レベル　2</v>
      </c>
      <c r="G205" s="657"/>
      <c r="H205" s="658"/>
      <c r="I205" s="659"/>
      <c r="J205" s="537"/>
      <c r="K205" s="538"/>
      <c r="L205" s="538"/>
      <c r="M205" s="660"/>
      <c r="N205" s="661"/>
      <c r="O205" s="1468"/>
    </row>
    <row r="206" spans="2:15" ht="55.5" customHeight="1">
      <c r="B206" s="1">
        <v>3</v>
      </c>
      <c r="C206" s="1">
        <v>3</v>
      </c>
      <c r="D206" s="503"/>
      <c r="E206" s="628"/>
      <c r="F206" s="534" t="str">
        <f>IF(F203=$F$7,$G$4,IF(ROUNDDOWN(F203,0)=$F$4,$H$4,$G$4))</f>
        <v>　レベル　3</v>
      </c>
      <c r="G206" s="3328" t="s">
        <v>411</v>
      </c>
      <c r="H206" s="3334"/>
      <c r="I206" s="3327"/>
      <c r="J206" s="3328" t="s">
        <v>282</v>
      </c>
      <c r="K206" s="3334"/>
      <c r="L206" s="3334"/>
      <c r="M206" s="3359" t="s">
        <v>283</v>
      </c>
      <c r="N206" s="3360"/>
      <c r="O206" s="1468"/>
    </row>
    <row r="207" spans="2:15" ht="55.5" customHeight="1">
      <c r="B207" s="1">
        <v>4</v>
      </c>
      <c r="C207" s="1">
        <v>4</v>
      </c>
      <c r="D207" s="503"/>
      <c r="E207" s="628"/>
      <c r="F207" s="534" t="str">
        <f>IF(F203=$F$7,$G$5,IF(ROUNDDOWN(F203,0)=$F$5,$H$5,$G$5))</f>
        <v>　レベル　4</v>
      </c>
      <c r="G207" s="3328" t="s">
        <v>284</v>
      </c>
      <c r="H207" s="3334"/>
      <c r="I207" s="3327"/>
      <c r="J207" s="3328" t="s">
        <v>1788</v>
      </c>
      <c r="K207" s="3334"/>
      <c r="L207" s="3334"/>
      <c r="M207" s="3359" t="s">
        <v>285</v>
      </c>
      <c r="N207" s="3360"/>
      <c r="O207" s="1468"/>
    </row>
    <row r="208" spans="2:15" ht="60.75" customHeight="1">
      <c r="B208" s="1">
        <v>5</v>
      </c>
      <c r="C208" s="1">
        <v>5</v>
      </c>
      <c r="D208" s="503"/>
      <c r="E208" s="628"/>
      <c r="F208" s="544" t="str">
        <f>IF(F203=$F$7,$G$6,IF(ROUNDDOWN(F203,0)=$F$6,$H$6,$G$6))</f>
        <v>　レベル　5</v>
      </c>
      <c r="G208" s="3332" t="s">
        <v>490</v>
      </c>
      <c r="H208" s="3333"/>
      <c r="I208" s="3325"/>
      <c r="J208" s="3332" t="s">
        <v>286</v>
      </c>
      <c r="K208" s="3333"/>
      <c r="L208" s="3333"/>
      <c r="M208" s="3365" t="s">
        <v>1544</v>
      </c>
      <c r="N208" s="3366"/>
      <c r="O208" s="1469"/>
    </row>
    <row r="209" spans="2:15" ht="15.75" hidden="1">
      <c r="B209" s="551">
        <v>0</v>
      </c>
      <c r="C209" s="551">
        <v>0</v>
      </c>
      <c r="D209" s="503"/>
      <c r="E209" s="404"/>
      <c r="F209" s="404"/>
      <c r="G209" s="574"/>
      <c r="H209" s="574"/>
      <c r="I209" s="574"/>
      <c r="J209" s="574"/>
      <c r="K209" s="622"/>
      <c r="L209" s="622"/>
      <c r="M209" s="622"/>
      <c r="N209" s="622"/>
      <c r="O209" s="622"/>
    </row>
    <row r="210" spans="2:15" ht="15.75" hidden="1">
      <c r="D210" s="503"/>
      <c r="E210" s="507"/>
      <c r="F210" s="511" t="s">
        <v>1545</v>
      </c>
      <c r="G210" s="575"/>
      <c r="H210" s="617"/>
      <c r="I210" s="601"/>
      <c r="J210" s="578" t="str">
        <f>IF(OR(F212=0,AND(J211=0,O211=0)),$L$3,"")</f>
        <v>&lt;評価しない&gt;</v>
      </c>
      <c r="K210" s="574"/>
      <c r="L210" s="575"/>
      <c r="M210" s="617"/>
      <c r="N210" s="601"/>
      <c r="O210" s="601"/>
    </row>
    <row r="211" spans="2:15" ht="15.75" hidden="1">
      <c r="D211" s="503"/>
      <c r="E211" s="507"/>
      <c r="F211" s="515" t="s">
        <v>2054</v>
      </c>
      <c r="G211" s="516"/>
      <c r="H211" s="517"/>
      <c r="I211" s="518" t="s">
        <v>1126</v>
      </c>
      <c r="J211" s="521">
        <f>重み!M26</f>
        <v>0</v>
      </c>
      <c r="K211" s="515" t="s">
        <v>1614</v>
      </c>
      <c r="L211" s="516"/>
      <c r="M211" s="517"/>
      <c r="N211" s="518" t="s">
        <v>1126</v>
      </c>
      <c r="O211" s="521">
        <f>重み!N26</f>
        <v>0</v>
      </c>
    </row>
    <row r="212" spans="2:15" ht="16.5" hidden="1" thickBot="1">
      <c r="D212" s="503"/>
      <c r="E212" s="507"/>
      <c r="F212" s="522">
        <v>0</v>
      </c>
      <c r="G212" s="526" t="s">
        <v>1546</v>
      </c>
      <c r="H212" s="527"/>
      <c r="I212" s="527"/>
      <c r="J212" s="527"/>
      <c r="K212" s="522">
        <v>0</v>
      </c>
      <c r="L212" s="618" t="s">
        <v>907</v>
      </c>
      <c r="M212" s="528"/>
      <c r="N212" s="618"/>
      <c r="O212" s="623"/>
    </row>
    <row r="213" spans="2:15" ht="15.75" hidden="1" customHeight="1">
      <c r="B213" s="1">
        <v>1</v>
      </c>
      <c r="C213" s="1">
        <v>1</v>
      </c>
      <c r="D213" s="503"/>
      <c r="E213" s="628"/>
      <c r="F213" s="529" t="str">
        <f>IF(F212=$F$7,$G$2,IF(ROUNDDOWN(F212,0)=$F$2,$H$2,$G$2))</f>
        <v>　レベル　1</v>
      </c>
      <c r="G213" s="3322" t="s">
        <v>1547</v>
      </c>
      <c r="H213" s="3344"/>
      <c r="I213" s="3344"/>
      <c r="J213" s="3329"/>
      <c r="K213" s="529" t="str">
        <f>IF(K212=$F$7,$G$2,IF(ROUNDDOWN(K212,0)=$F$2,$H$2,$G$2))</f>
        <v>　レベル　1</v>
      </c>
      <c r="L213" s="3322" t="s">
        <v>1547</v>
      </c>
      <c r="M213" s="3344"/>
      <c r="N213" s="3344"/>
      <c r="O213" s="3329"/>
    </row>
    <row r="214" spans="2:15" ht="15.75" hidden="1" customHeight="1">
      <c r="B214" s="1">
        <v>2</v>
      </c>
      <c r="C214" s="1">
        <v>2</v>
      </c>
      <c r="D214" s="503"/>
      <c r="E214" s="628"/>
      <c r="F214" s="534" t="str">
        <f>IF(F212=$F$7,$G$3,IF(ROUNDDOWN(F212,0)=$F$3,$H$3,$G$3))</f>
        <v>　レベル　2</v>
      </c>
      <c r="G214" s="3328" t="s">
        <v>1548</v>
      </c>
      <c r="H214" s="3334"/>
      <c r="I214" s="3334"/>
      <c r="J214" s="3327"/>
      <c r="K214" s="534" t="str">
        <f>IF(K212=$F$7,$G$3,IF(ROUNDDOWN(K212,0)=$F$3,$H$3,$G$3))</f>
        <v>　レベル　2</v>
      </c>
      <c r="L214" s="3362" t="s">
        <v>1548</v>
      </c>
      <c r="M214" s="3363"/>
      <c r="N214" s="3363"/>
      <c r="O214" s="3364"/>
    </row>
    <row r="215" spans="2:15" ht="15.75" hidden="1" customHeight="1">
      <c r="B215" s="1">
        <v>3</v>
      </c>
      <c r="C215" s="1">
        <v>3</v>
      </c>
      <c r="D215" s="503"/>
      <c r="E215" s="628"/>
      <c r="F215" s="534" t="str">
        <f>IF(F212=$F$7,$G$4,IF(ROUNDDOWN(F212,0)=$F$4,$H$4,$G$4))</f>
        <v>　レベル　3</v>
      </c>
      <c r="G215" s="3328" t="s">
        <v>1549</v>
      </c>
      <c r="H215" s="3334"/>
      <c r="I215" s="3334"/>
      <c r="J215" s="3327"/>
      <c r="K215" s="534" t="str">
        <f>IF(K212=$F$7,$G$4,IF(ROUNDDOWN(K212,0)=$F$4,$H$4,$G$4))</f>
        <v>　レベル　3</v>
      </c>
      <c r="L215" s="3362" t="s">
        <v>491</v>
      </c>
      <c r="M215" s="3363"/>
      <c r="N215" s="3363"/>
      <c r="O215" s="3364"/>
    </row>
    <row r="216" spans="2:15" ht="15.75" hidden="1">
      <c r="B216" s="1">
        <v>4</v>
      </c>
      <c r="C216" s="1">
        <v>4</v>
      </c>
      <c r="D216" s="503"/>
      <c r="E216" s="628"/>
      <c r="F216" s="534" t="str">
        <f>IF(F212=$F$7,$G$5,IF(ROUNDDOWN(F212,0)=$F$5,$H$5,$G$5))</f>
        <v>　レベル　4</v>
      </c>
      <c r="G216" s="662"/>
      <c r="H216" s="663"/>
      <c r="I216" s="658"/>
      <c r="J216" s="659"/>
      <c r="K216" s="534" t="str">
        <f>IF(K212=$F$7,$G$5,IF(ROUNDDOWN(K212,0)=$F$5,$H$5,$G$5))</f>
        <v>　レベル　4</v>
      </c>
      <c r="L216" s="3362"/>
      <c r="M216" s="3363"/>
      <c r="N216" s="3363"/>
      <c r="O216" s="3364"/>
    </row>
    <row r="217" spans="2:15" ht="15.75" hidden="1" customHeight="1">
      <c r="B217" s="1">
        <v>5</v>
      </c>
      <c r="C217" s="1">
        <v>5</v>
      </c>
      <c r="D217" s="503"/>
      <c r="E217" s="628"/>
      <c r="F217" s="544" t="str">
        <f>IF(F212=$F$7,$G$6,IF(ROUNDDOWN(F212,0)=$F$6,$H$6,$G$6))</f>
        <v>　レベル　5</v>
      </c>
      <c r="G217" s="3369" t="s">
        <v>1550</v>
      </c>
      <c r="H217" s="3370"/>
      <c r="I217" s="3370"/>
      <c r="J217" s="3371"/>
      <c r="K217" s="544" t="str">
        <f>IF(K212=$F$7,$G$6,IF(ROUNDDOWN(K212,0)=$F$6,$H$6,$G$6))</f>
        <v>　レベル　5</v>
      </c>
      <c r="L217" s="3369" t="s">
        <v>492</v>
      </c>
      <c r="M217" s="3370"/>
      <c r="N217" s="3370"/>
      <c r="O217" s="3371"/>
    </row>
    <row r="218" spans="2:15" ht="15.75" hidden="1">
      <c r="B218" s="551">
        <v>0</v>
      </c>
      <c r="C218" s="551">
        <v>0</v>
      </c>
      <c r="D218" s="503"/>
      <c r="E218" s="628"/>
      <c r="F218" s="664"/>
      <c r="G218" s="644"/>
      <c r="H218" s="643"/>
      <c r="I218" s="643"/>
      <c r="J218" s="643"/>
      <c r="K218" s="644"/>
      <c r="L218" s="644"/>
      <c r="M218" s="644"/>
      <c r="N218" s="644"/>
      <c r="O218" s="574"/>
    </row>
    <row r="219" spans="2:15" ht="15.75" hidden="1">
      <c r="D219" s="503"/>
      <c r="E219" s="628"/>
      <c r="F219" s="511" t="s">
        <v>1551</v>
      </c>
      <c r="G219" s="575"/>
      <c r="H219" s="617"/>
      <c r="I219" s="601"/>
      <c r="J219" s="578" t="str">
        <f>IF(OR(F221=0,J220=0),$L$3,"")</f>
        <v>&lt;評価しない&gt;</v>
      </c>
      <c r="K219" s="644"/>
      <c r="L219" s="644"/>
      <c r="M219" s="644"/>
      <c r="N219" s="644"/>
      <c r="O219" s="574"/>
    </row>
    <row r="220" spans="2:15" ht="15.75" hidden="1">
      <c r="D220" s="503"/>
      <c r="E220" s="628"/>
      <c r="F220" s="515" t="s">
        <v>493</v>
      </c>
      <c r="G220" s="516"/>
      <c r="H220" s="517"/>
      <c r="I220" s="518" t="s">
        <v>1126</v>
      </c>
      <c r="J220" s="521">
        <f>重み!N27</f>
        <v>0</v>
      </c>
      <c r="K220" s="644"/>
      <c r="L220" s="644"/>
      <c r="M220" s="644"/>
      <c r="N220" s="644"/>
      <c r="O220" s="574"/>
    </row>
    <row r="221" spans="2:15" ht="16.5" hidden="1" thickBot="1">
      <c r="D221" s="503"/>
      <c r="E221" s="628"/>
      <c r="F221" s="522">
        <v>0</v>
      </c>
      <c r="G221" s="3367" t="s">
        <v>907</v>
      </c>
      <c r="H221" s="3368"/>
      <c r="I221" s="3368" t="s">
        <v>1552</v>
      </c>
      <c r="J221" s="3368"/>
      <c r="K221" s="644"/>
      <c r="L221" s="644"/>
      <c r="M221" s="644"/>
      <c r="N221" s="644"/>
      <c r="O221" s="574"/>
    </row>
    <row r="222" spans="2:15" ht="15.75" hidden="1" customHeight="1">
      <c r="B222" s="1">
        <v>1</v>
      </c>
      <c r="C222" s="1">
        <v>1</v>
      </c>
      <c r="D222" s="503"/>
      <c r="E222" s="628"/>
      <c r="F222" s="529" t="str">
        <f>IF(F221=$F$7,$G$2,IF(ROUNDDOWN(F221,0)=$F$2,$H$2,$G$2))</f>
        <v>　レベル　1</v>
      </c>
      <c r="G222" s="3322" t="s">
        <v>1553</v>
      </c>
      <c r="H222" s="3329"/>
      <c r="I222" s="3322" t="s">
        <v>335</v>
      </c>
      <c r="J222" s="3342"/>
      <c r="K222" s="644"/>
      <c r="L222" s="644"/>
      <c r="M222" s="644"/>
      <c r="N222" s="644"/>
      <c r="O222" s="574"/>
    </row>
    <row r="223" spans="2:15" ht="15.75" hidden="1">
      <c r="B223" s="1">
        <v>2</v>
      </c>
      <c r="C223" s="1">
        <v>2</v>
      </c>
      <c r="D223" s="503"/>
      <c r="E223" s="628"/>
      <c r="F223" s="534" t="str">
        <f>IF(F221=$F$7,$G$3,IF(ROUNDDOWN(F221,0)=$F$3,$H$3,$G$3))</f>
        <v>　レベル　2</v>
      </c>
      <c r="G223" s="541"/>
      <c r="H223" s="543"/>
      <c r="I223" s="541"/>
      <c r="J223" s="543"/>
      <c r="K223" s="644"/>
      <c r="L223" s="644"/>
      <c r="M223" s="644"/>
      <c r="N223" s="644"/>
      <c r="O223" s="574"/>
    </row>
    <row r="224" spans="2:15" ht="15.75" hidden="1" customHeight="1">
      <c r="B224" s="1">
        <v>3</v>
      </c>
      <c r="C224" s="1">
        <v>3</v>
      </c>
      <c r="D224" s="503"/>
      <c r="E224" s="628"/>
      <c r="F224" s="534" t="str">
        <f>IF(F221=$F$7,$G$4,IF(ROUNDDOWN(F221,0)=$F$4,$H$4,$G$4))</f>
        <v>　レベル　3</v>
      </c>
      <c r="G224" s="3328" t="s">
        <v>1554</v>
      </c>
      <c r="H224" s="3372"/>
      <c r="I224" s="3328" t="s">
        <v>1555</v>
      </c>
      <c r="J224" s="3327"/>
      <c r="K224" s="644"/>
      <c r="L224" s="644"/>
      <c r="M224" s="644"/>
      <c r="N224" s="644"/>
      <c r="O224" s="574"/>
    </row>
    <row r="225" spans="2:15" ht="15.75" hidden="1">
      <c r="B225" s="1">
        <v>4</v>
      </c>
      <c r="C225" s="1">
        <v>4</v>
      </c>
      <c r="D225" s="503"/>
      <c r="E225" s="628"/>
      <c r="F225" s="534" t="str">
        <f>IF(F221=$F$7,$G$5,IF(ROUNDDOWN(F221,0)=$F$5,$H$5,$G$5))</f>
        <v>　レベル　4</v>
      </c>
      <c r="G225" s="541"/>
      <c r="H225" s="543"/>
      <c r="I225" s="541"/>
      <c r="J225" s="543"/>
      <c r="K225" s="644"/>
      <c r="L225" s="644"/>
      <c r="M225" s="644"/>
      <c r="N225" s="644"/>
      <c r="O225" s="574"/>
    </row>
    <row r="226" spans="2:15" ht="15.75" hidden="1" customHeight="1">
      <c r="B226" s="1">
        <v>5</v>
      </c>
      <c r="C226" s="1">
        <v>5</v>
      </c>
      <c r="D226" s="503"/>
      <c r="E226" s="628"/>
      <c r="F226" s="544" t="str">
        <f>IF(F221=$F$7,$G$6,IF(ROUNDDOWN(F221,0)=$F$6,$H$6,$G$6))</f>
        <v>　レベル　5</v>
      </c>
      <c r="G226" s="3332" t="s">
        <v>1556</v>
      </c>
      <c r="H226" s="3356"/>
      <c r="I226" s="3332" t="s">
        <v>1557</v>
      </c>
      <c r="J226" s="3325"/>
      <c r="K226" s="644"/>
      <c r="L226" s="644"/>
      <c r="M226" s="644"/>
      <c r="N226" s="644"/>
      <c r="O226" s="574"/>
    </row>
    <row r="227" spans="2:15" ht="15.75" hidden="1">
      <c r="B227" s="551">
        <v>0</v>
      </c>
      <c r="C227" s="551">
        <v>0</v>
      </c>
      <c r="D227" s="503"/>
      <c r="E227" s="628"/>
      <c r="F227" s="664"/>
      <c r="G227" s="644"/>
      <c r="H227" s="643"/>
      <c r="I227" s="643"/>
      <c r="J227" s="643"/>
      <c r="K227" s="644"/>
      <c r="L227" s="644"/>
      <c r="M227" s="644"/>
      <c r="N227" s="644"/>
      <c r="O227" s="574"/>
    </row>
    <row r="228" spans="2:15" ht="15.75" hidden="1">
      <c r="D228" s="503"/>
      <c r="E228" s="507"/>
      <c r="F228" s="511" t="s">
        <v>234</v>
      </c>
      <c r="G228" s="575"/>
      <c r="H228" s="617"/>
      <c r="I228" s="601"/>
      <c r="J228" s="578" t="str">
        <f>IF(OR(F230=0,J229=0),$L$3,"")</f>
        <v>&lt;評価しない&gt;</v>
      </c>
      <c r="K228" s="645" t="s">
        <v>1558</v>
      </c>
      <c r="L228" s="575"/>
      <c r="M228" s="617"/>
      <c r="N228" s="601"/>
      <c r="O228" s="578" t="str">
        <f>IF(OR(K230=0,O229=0),$L$3,"")</f>
        <v>&lt;評価しない&gt;</v>
      </c>
    </row>
    <row r="229" spans="2:15" ht="15.75" hidden="1">
      <c r="D229" s="503"/>
      <c r="E229" s="507"/>
      <c r="F229" s="515" t="s">
        <v>235</v>
      </c>
      <c r="G229" s="516"/>
      <c r="H229" s="517"/>
      <c r="I229" s="518" t="s">
        <v>1126</v>
      </c>
      <c r="J229" s="521">
        <f>重み!M28</f>
        <v>0</v>
      </c>
      <c r="K229" s="515" t="s">
        <v>1656</v>
      </c>
      <c r="L229" s="516"/>
      <c r="M229" s="517"/>
      <c r="N229" s="518" t="s">
        <v>1126</v>
      </c>
      <c r="O229" s="521">
        <f>重み!M29</f>
        <v>0</v>
      </c>
    </row>
    <row r="230" spans="2:15" ht="16.5" hidden="1" thickBot="1">
      <c r="D230" s="503"/>
      <c r="E230" s="507"/>
      <c r="F230" s="522">
        <v>0</v>
      </c>
      <c r="G230" s="526" t="s">
        <v>1559</v>
      </c>
      <c r="H230" s="527"/>
      <c r="I230" s="527"/>
      <c r="J230" s="528"/>
      <c r="K230" s="522">
        <v>0</v>
      </c>
      <c r="L230" s="618" t="s">
        <v>1560</v>
      </c>
      <c r="M230" s="528"/>
      <c r="N230" s="618"/>
      <c r="O230" s="623"/>
    </row>
    <row r="231" spans="2:15" ht="15.75" hidden="1" customHeight="1">
      <c r="B231" s="1">
        <v>1</v>
      </c>
      <c r="C231" s="1">
        <v>1</v>
      </c>
      <c r="D231" s="503"/>
      <c r="E231" s="628"/>
      <c r="F231" s="529" t="str">
        <f>IF(F230=$F$7,$G$2,IF(ROUNDDOWN(F230,0)=$F$2,$H$2,$G$2))</f>
        <v>　レベル　1</v>
      </c>
      <c r="G231" s="3322" t="s">
        <v>1561</v>
      </c>
      <c r="H231" s="3323"/>
      <c r="I231" s="3323"/>
      <c r="J231" s="3342"/>
      <c r="K231" s="529" t="str">
        <f>IF(K230=$F$7,$G$2,IF(ROUNDDOWN(K230,0)=$F$2,$H$2,$G$2))</f>
        <v>　レベル　1</v>
      </c>
      <c r="L231" s="3322" t="s">
        <v>1562</v>
      </c>
      <c r="M231" s="3344"/>
      <c r="N231" s="3344"/>
      <c r="O231" s="3329"/>
    </row>
    <row r="232" spans="2:15" ht="15.75" hidden="1">
      <c r="B232" s="1">
        <v>2</v>
      </c>
      <c r="C232" s="1">
        <v>2</v>
      </c>
      <c r="D232" s="503"/>
      <c r="E232" s="628"/>
      <c r="F232" s="534" t="str">
        <f>IF(F230=$F$7,$G$3,IF(ROUNDDOWN(F230,0)=$F$3,$H$3,$G$3))</f>
        <v>　レベル　2</v>
      </c>
      <c r="G232" s="3328"/>
      <c r="H232" s="3334"/>
      <c r="I232" s="3334"/>
      <c r="J232" s="3327"/>
      <c r="K232" s="534" t="str">
        <f>IF(K230=$F$7,$G$3,IF(ROUNDDOWN(K230,0)=$F$3,$H$3,$G$3))</f>
        <v>　レベル　2</v>
      </c>
      <c r="L232" s="3362"/>
      <c r="M232" s="3363"/>
      <c r="N232" s="3363"/>
      <c r="O232" s="3364"/>
    </row>
    <row r="233" spans="2:15" ht="15.75" hidden="1" customHeight="1">
      <c r="B233" s="1">
        <v>3</v>
      </c>
      <c r="C233" s="1">
        <v>3</v>
      </c>
      <c r="D233" s="503"/>
      <c r="E233" s="628"/>
      <c r="F233" s="534" t="str">
        <f>IF(F230=$F$7,$G$4,IF(ROUNDDOWN(F230,0)=$F$4,$H$4,$G$4))</f>
        <v>　レベル　3</v>
      </c>
      <c r="G233" s="3328" t="s">
        <v>361</v>
      </c>
      <c r="H233" s="3334"/>
      <c r="I233" s="3334"/>
      <c r="J233" s="3327"/>
      <c r="K233" s="534" t="str">
        <f>IF(K230=$F$7,$G$4,IF(ROUNDDOWN(K230,0)=$F$4,$H$4,$G$4))</f>
        <v>　レベル　3</v>
      </c>
      <c r="L233" s="3362" t="s">
        <v>236</v>
      </c>
      <c r="M233" s="3363"/>
      <c r="N233" s="3363"/>
      <c r="O233" s="3364"/>
    </row>
    <row r="234" spans="2:15" ht="15.75" hidden="1">
      <c r="B234" s="1">
        <v>4</v>
      </c>
      <c r="C234" s="1">
        <v>4</v>
      </c>
      <c r="D234" s="503"/>
      <c r="E234" s="628"/>
      <c r="F234" s="534" t="str">
        <f>IF(F230=$F$7,$G$5,IF(ROUNDDOWN(F230,0)=$F$5,$H$5,$G$5))</f>
        <v>　レベル　4</v>
      </c>
      <c r="G234" s="3328"/>
      <c r="H234" s="3334"/>
      <c r="I234" s="3334"/>
      <c r="J234" s="3327"/>
      <c r="K234" s="534" t="str">
        <f>IF(K230=$F$7,$G$5,IF(ROUNDDOWN(K230,0)=$F$5,$H$5,$G$5))</f>
        <v>　レベル　4</v>
      </c>
      <c r="L234" s="3362"/>
      <c r="M234" s="3363"/>
      <c r="N234" s="3363"/>
      <c r="O234" s="3364"/>
    </row>
    <row r="235" spans="2:15" ht="18" hidden="1" customHeight="1">
      <c r="B235" s="1">
        <v>5</v>
      </c>
      <c r="C235" s="1">
        <v>5</v>
      </c>
      <c r="D235" s="503"/>
      <c r="E235" s="628"/>
      <c r="F235" s="544" t="str">
        <f>IF(F230=$F$7,$G$6,IF(ROUNDDOWN(F230,0)=$F$6,$H$6,$G$6))</f>
        <v>　レベル　5</v>
      </c>
      <c r="G235" s="3332" t="s">
        <v>362</v>
      </c>
      <c r="H235" s="3333"/>
      <c r="I235" s="3333"/>
      <c r="J235" s="3325"/>
      <c r="K235" s="544" t="str">
        <f>IF(K230=$F$7,$G$6,IF(ROUNDDOWN(K230,0)=$F$6,$H$6,$G$6))</f>
        <v>　レベル　5</v>
      </c>
      <c r="L235" s="3353" t="s">
        <v>1340</v>
      </c>
      <c r="M235" s="3373"/>
      <c r="N235" s="3373"/>
      <c r="O235" s="3374"/>
    </row>
    <row r="236" spans="2:15" ht="15.75">
      <c r="B236" s="551">
        <v>0</v>
      </c>
      <c r="C236" s="551">
        <v>0</v>
      </c>
      <c r="D236" s="503"/>
      <c r="E236" s="404"/>
      <c r="F236" s="839" t="s">
        <v>2938</v>
      </c>
      <c r="G236" s="1941"/>
      <c r="H236" s="1917"/>
      <c r="I236" s="1915"/>
      <c r="J236" s="1916"/>
      <c r="K236" s="1918"/>
      <c r="L236" s="1231"/>
      <c r="M236"/>
      <c r="N236"/>
      <c r="O236"/>
    </row>
    <row r="237" spans="2:15" ht="15.75">
      <c r="B237" s="870"/>
      <c r="C237" s="870"/>
      <c r="D237" s="503"/>
      <c r="E237" s="404"/>
      <c r="F237" s="404"/>
      <c r="G237"/>
      <c r="H237"/>
      <c r="I237"/>
      <c r="J237"/>
      <c r="K237"/>
      <c r="L237"/>
      <c r="M237"/>
      <c r="N237"/>
      <c r="O237"/>
    </row>
    <row r="238" spans="2:15" ht="15.75">
      <c r="D238" s="499">
        <v>2.2000000000000002</v>
      </c>
      <c r="E238" s="508" t="s">
        <v>363</v>
      </c>
      <c r="F238" s="511"/>
      <c r="G238"/>
      <c r="H238"/>
      <c r="I238"/>
      <c r="J238" t="str">
        <f>IF(OR(F240=0,AND(J239=0,O239=0)),$L$3,"")</f>
        <v>&lt;評価しない&gt;</v>
      </c>
      <c r="K238"/>
      <c r="L238"/>
      <c r="M238"/>
      <c r="N238"/>
      <c r="O238"/>
    </row>
    <row r="239" spans="2:15" ht="16.5" thickBot="1">
      <c r="D239" s="665"/>
      <c r="E239" s="508"/>
      <c r="F239" s="515" t="s">
        <v>1341</v>
      </c>
      <c r="G239" s="516"/>
      <c r="H239" s="517"/>
      <c r="I239" s="518" t="s">
        <v>1126</v>
      </c>
      <c r="J239" s="521">
        <f>重み!M30</f>
        <v>0.2</v>
      </c>
      <c r="K239" s="515" t="s">
        <v>1614</v>
      </c>
      <c r="L239" s="516"/>
      <c r="M239" s="517"/>
      <c r="N239" s="518" t="s">
        <v>1126</v>
      </c>
      <c r="O239" s="521">
        <f>重み!N30</f>
        <v>0.13333333333333333</v>
      </c>
    </row>
    <row r="240" spans="2:15" ht="27" customHeight="1" thickBot="1">
      <c r="D240" s="665"/>
      <c r="E240" s="508"/>
      <c r="F240" s="522">
        <v>0</v>
      </c>
      <c r="G240" s="618" t="s">
        <v>364</v>
      </c>
      <c r="H240" s="527"/>
      <c r="I240" s="637" t="s">
        <v>365</v>
      </c>
      <c r="J240" s="528" t="s">
        <v>1127</v>
      </c>
      <c r="K240" s="522">
        <v>0</v>
      </c>
      <c r="L240" s="618" t="s">
        <v>2213</v>
      </c>
      <c r="M240" s="528"/>
      <c r="N240" s="618" t="s">
        <v>1342</v>
      </c>
      <c r="O240" s="623"/>
    </row>
    <row r="241" spans="2:15" ht="15.75" hidden="1">
      <c r="B241" s="1">
        <v>1</v>
      </c>
      <c r="C241" s="1">
        <v>1</v>
      </c>
      <c r="D241" s="665"/>
      <c r="E241" s="508"/>
      <c r="F241" s="619"/>
      <c r="G241" s="618" t="s">
        <v>1040</v>
      </c>
      <c r="H241" s="528"/>
      <c r="I241" s="527"/>
      <c r="J241" s="528"/>
      <c r="K241" s="619"/>
      <c r="L241" s="618" t="s">
        <v>1040</v>
      </c>
      <c r="M241" s="528"/>
      <c r="N241" s="618"/>
      <c r="O241" s="528"/>
    </row>
    <row r="242" spans="2:15" ht="15.75" hidden="1">
      <c r="B242" s="1">
        <v>2</v>
      </c>
      <c r="C242" s="1">
        <v>2</v>
      </c>
      <c r="D242" s="665"/>
      <c r="E242" s="508"/>
      <c r="F242" s="534" t="str">
        <f>IF(F240=$F$7,$G$2,IF(AND($O$9=$O$3,ROUNDDOWN(F240,0)=$F$2),$H$2,$G$2))</f>
        <v>　レベル　1</v>
      </c>
      <c r="G242" s="3322" t="s">
        <v>1343</v>
      </c>
      <c r="H242" s="3342"/>
      <c r="I242" s="666" t="s">
        <v>1343</v>
      </c>
      <c r="J242" s="666" t="s">
        <v>1343</v>
      </c>
      <c r="K242" s="534" t="str">
        <f>IF(K240=$F$7,$G$2,IF(AND($O$9=$O$3,ROUNDDOWN(K240,0)=$F$2),$H$2,$G$2))</f>
        <v>　レベル　1</v>
      </c>
      <c r="L242" s="3322" t="s">
        <v>1343</v>
      </c>
      <c r="M242" s="3342"/>
      <c r="N242" s="3322" t="s">
        <v>366</v>
      </c>
      <c r="O242" s="3342"/>
    </row>
    <row r="243" spans="2:15" ht="15.75" hidden="1" customHeight="1">
      <c r="B243" s="1">
        <v>3</v>
      </c>
      <c r="C243" s="1">
        <v>3</v>
      </c>
      <c r="D243" s="665"/>
      <c r="E243" s="508"/>
      <c r="F243" s="534" t="str">
        <f>IF(F240=$F$7,$G$3,IF(AND($O$9=$O$3,ROUNDDOWN(F240,0)=$F$3),$H$3,$G$3))</f>
        <v>　レベル　2</v>
      </c>
      <c r="G243" s="3328"/>
      <c r="H243" s="3327"/>
      <c r="I243" s="541"/>
      <c r="J243" s="541"/>
      <c r="K243" s="534" t="str">
        <f>IF(K240=$F$7,$G$3,IF(AND($O$9=$O$3,ROUNDDOWN(K240,0)=$F$3),$H$3,$G$3))</f>
        <v>　レベル　2</v>
      </c>
      <c r="L243" s="3328"/>
      <c r="M243" s="3327"/>
      <c r="N243" s="3328" t="s">
        <v>1794</v>
      </c>
      <c r="O243" s="3327"/>
    </row>
    <row r="244" spans="2:15" ht="77.25" hidden="1" customHeight="1">
      <c r="B244" s="1">
        <v>4</v>
      </c>
      <c r="C244" s="1">
        <v>4</v>
      </c>
      <c r="D244" s="665"/>
      <c r="E244" s="508"/>
      <c r="F244" s="534" t="str">
        <f>IF(F240=$F$7,$G$4,IF(AND($O$9=$O$3,ROUNDDOWN(F240,0)=$F$4),$H$4,$G$4))</f>
        <v>　レベル　3</v>
      </c>
      <c r="G244" s="3328" t="s">
        <v>1344</v>
      </c>
      <c r="H244" s="3327"/>
      <c r="I244" s="541" t="s">
        <v>1345</v>
      </c>
      <c r="J244" s="541" t="s">
        <v>245</v>
      </c>
      <c r="K244" s="534" t="str">
        <f>IF(K240=$F$7,$G$4,IF(AND($O$9=$O$3,ROUNDDOWN(K240,0)=$F$4),$H$4,$G$4))</f>
        <v>　レベル　3</v>
      </c>
      <c r="L244" s="3328" t="s">
        <v>1344</v>
      </c>
      <c r="M244" s="3327"/>
      <c r="N244" s="3328" t="s">
        <v>367</v>
      </c>
      <c r="O244" s="3327"/>
    </row>
    <row r="245" spans="2:15" ht="50.25" hidden="1" customHeight="1">
      <c r="B245" s="1">
        <v>5</v>
      </c>
      <c r="C245" s="1">
        <v>5</v>
      </c>
      <c r="D245" s="665"/>
      <c r="E245" s="508"/>
      <c r="F245" s="534" t="str">
        <f>IF(F240=$F$7,$G$5,IF(AND($O$9=$O$3,ROUNDDOWN(F240,0)=$F$5),$H$5,$G$5))</f>
        <v>　レベル　4</v>
      </c>
      <c r="G245" s="3328"/>
      <c r="H245" s="3327"/>
      <c r="I245" s="541"/>
      <c r="J245" s="541"/>
      <c r="K245" s="534" t="str">
        <f>IF(K240=$F$7,$G$5,IF(AND($O$9=$O$3,ROUNDDOWN(K240,0)=$F$5),$H$5,$G$5))</f>
        <v>　レベル　4</v>
      </c>
      <c r="L245" s="3328"/>
      <c r="M245" s="3327"/>
      <c r="N245" s="3328" t="s">
        <v>368</v>
      </c>
      <c r="O245" s="3327"/>
    </row>
    <row r="246" spans="2:15" ht="73.5" hidden="1" customHeight="1">
      <c r="B246" s="551">
        <v>0</v>
      </c>
      <c r="C246" s="551">
        <v>0</v>
      </c>
      <c r="D246" s="665"/>
      <c r="E246" s="508"/>
      <c r="F246" s="544" t="str">
        <f>IF(F240=$F$7,$G$6,IF(AND($O$9=$O$3,ROUNDDOWN(F240,0)=$F$6),$H$6,$G$6))</f>
        <v>　レベル　5</v>
      </c>
      <c r="G246" s="3332" t="s">
        <v>246</v>
      </c>
      <c r="H246" s="3325"/>
      <c r="I246" s="545" t="s">
        <v>247</v>
      </c>
      <c r="J246" s="545" t="s">
        <v>247</v>
      </c>
      <c r="K246" s="544" t="str">
        <f>IF(K240=$F$7,$G$6,IF(AND($O$9=$O$3,ROUNDDOWN(K240,0)=$F$6),$H$6,$G$6))</f>
        <v>　レベル　5</v>
      </c>
      <c r="L246" s="3332" t="s">
        <v>246</v>
      </c>
      <c r="M246" s="3325"/>
      <c r="N246" s="3332" t="s">
        <v>248</v>
      </c>
      <c r="O246" s="3325"/>
    </row>
    <row r="247" spans="2:15" ht="15.75" hidden="1">
      <c r="D247" s="503"/>
      <c r="E247" s="404"/>
      <c r="F247" s="620"/>
      <c r="G247" s="632" t="s">
        <v>1039</v>
      </c>
      <c r="H247" s="632"/>
      <c r="I247" s="632"/>
      <c r="J247" s="648"/>
      <c r="K247" s="620"/>
      <c r="L247" s="632" t="s">
        <v>1039</v>
      </c>
      <c r="M247" s="632"/>
      <c r="N247" s="632"/>
      <c r="O247" s="648"/>
    </row>
    <row r="248" spans="2:15" ht="21" customHeight="1">
      <c r="D248" s="503"/>
      <c r="E248" s="404"/>
      <c r="F248" s="621" t="str">
        <f>IF(F240=$F$7,$G$2,IF(AND($O$9&lt;&gt;$O$3,ROUNDDOWN(F240,0)=$F$2),$H$2,$G$2))</f>
        <v>　レベル　1</v>
      </c>
      <c r="G248" s="3322" t="s">
        <v>249</v>
      </c>
      <c r="H248" s="3375"/>
      <c r="I248" s="2213"/>
      <c r="J248" s="2213"/>
      <c r="K248" s="621" t="str">
        <f>IF(K240=$F$7,$G$2,IF(AND($O$9&lt;&gt;$O$3,ROUNDDOWN(K240,0)=$F$2),$H$2,$G$2))</f>
        <v>　レベル　1</v>
      </c>
      <c r="L248" s="3322" t="s">
        <v>249</v>
      </c>
      <c r="M248" s="3329"/>
      <c r="N248" s="3322" t="s">
        <v>250</v>
      </c>
      <c r="O248" s="3342"/>
    </row>
    <row r="249" spans="2:15" ht="21" customHeight="1">
      <c r="D249" s="503"/>
      <c r="E249" s="404"/>
      <c r="F249" s="534" t="str">
        <f>IF(F240=$F$7,$G$3,IF(AND($O$9&lt;&gt;$O$3,ROUNDDOWN(F240,0)=$F$3),$H$3,$G$3))</f>
        <v>　レベル　2</v>
      </c>
      <c r="G249" s="541"/>
      <c r="H249" s="543"/>
      <c r="I249" s="541"/>
      <c r="J249" s="541"/>
      <c r="K249" s="534" t="str">
        <f>IF(K240=$F$7,$G$3,IF(AND($O$9&lt;&gt;$O$3,ROUNDDOWN(K240,0)=$F$3),$H$3,$G$3))</f>
        <v>　レベル　2</v>
      </c>
      <c r="L249" s="541"/>
      <c r="M249" s="543"/>
      <c r="N249" s="3362" t="s">
        <v>1794</v>
      </c>
      <c r="O249" s="3364"/>
    </row>
    <row r="250" spans="2:15" ht="97.5" customHeight="1">
      <c r="D250" s="503"/>
      <c r="E250" s="404"/>
      <c r="F250" s="534" t="str">
        <f>IF(F240=$F$7,$G$4,IF(AND($O$9&lt;&gt;$O$3,ROUNDDOWN(F240,0)=$F$4),$H$4,$G$4))</f>
        <v>　レベル　3</v>
      </c>
      <c r="G250" s="3328" t="s">
        <v>251</v>
      </c>
      <c r="H250" s="3376"/>
      <c r="I250" s="541" t="s">
        <v>252</v>
      </c>
      <c r="J250" s="541" t="s">
        <v>253</v>
      </c>
      <c r="K250" s="534" t="str">
        <f>IF(K240=$F$7,$G$4,IF(AND($O$9&lt;&gt;$O$3,ROUNDDOWN(K240,0)=$F$4),$H$4,$G$4))</f>
        <v>　レベル　3</v>
      </c>
      <c r="L250" s="3328" t="s">
        <v>254</v>
      </c>
      <c r="M250" s="3372"/>
      <c r="N250" s="3328" t="s">
        <v>545</v>
      </c>
      <c r="O250" s="3327"/>
    </row>
    <row r="251" spans="2:15" ht="56.25" customHeight="1">
      <c r="D251" s="503"/>
      <c r="E251" s="404"/>
      <c r="F251" s="534" t="str">
        <f>IF(F240=$F$7,$G$5,IF(AND($O$9&lt;&gt;$O$3,ROUNDDOWN(F240,0)=$F$5),$H$5,$G$5))</f>
        <v>　レベル　4</v>
      </c>
      <c r="G251" s="541"/>
      <c r="H251" s="543"/>
      <c r="I251" s="541"/>
      <c r="J251" s="541"/>
      <c r="K251" s="534" t="str">
        <f>IF(K240=$F$7,$G$5,IF(AND($O$9&lt;&gt;$O$3,ROUNDDOWN(K240,0)=$F$5),$H$5,$G$5))</f>
        <v>　レベル　4</v>
      </c>
      <c r="L251" s="541"/>
      <c r="M251" s="543"/>
      <c r="N251" s="3328" t="s">
        <v>546</v>
      </c>
      <c r="O251" s="3327"/>
    </row>
    <row r="252" spans="2:15" ht="103.5" customHeight="1">
      <c r="D252" s="503"/>
      <c r="E252" s="404"/>
      <c r="F252" s="544" t="str">
        <f>IF(F240=$F$7,$G$6,IF(AND($O$9&lt;&gt;$O$3,ROUNDDOWN(F240,0)=$F$6),$H$6,$G$6))</f>
        <v>　レベル　5</v>
      </c>
      <c r="G252" s="3332" t="s">
        <v>547</v>
      </c>
      <c r="H252" s="3377"/>
      <c r="I252" s="545" t="s">
        <v>547</v>
      </c>
      <c r="J252" s="545" t="s">
        <v>2068</v>
      </c>
      <c r="K252" s="544" t="str">
        <f>IF(K240=$F$7,$G$6,IF(AND($O$9&lt;&gt;$O$3,ROUNDDOWN(K240,0)=$F$6),$H$6,$G$6))</f>
        <v>　レベル　5</v>
      </c>
      <c r="L252" s="3332" t="s">
        <v>547</v>
      </c>
      <c r="M252" s="3356"/>
      <c r="N252" s="3332" t="s">
        <v>89</v>
      </c>
      <c r="O252" s="3325"/>
    </row>
    <row r="253" spans="2:15" ht="13.5" customHeight="1">
      <c r="D253" s="503"/>
      <c r="E253" s="404"/>
      <c r="F253" s="839" t="s">
        <v>2938</v>
      </c>
      <c r="G253" s="1941"/>
      <c r="H253" s="1917"/>
      <c r="I253" s="1915"/>
      <c r="J253" s="1916"/>
      <c r="K253" s="1918"/>
      <c r="L253" s="1231"/>
      <c r="M253"/>
      <c r="N253"/>
      <c r="O253"/>
    </row>
    <row r="254" spans="2:15" ht="15.75">
      <c r="D254" s="503"/>
      <c r="E254" s="404"/>
      <c r="F254" s="404"/>
      <c r="G254"/>
      <c r="H254"/>
      <c r="I254"/>
      <c r="J254"/>
      <c r="K254"/>
      <c r="L254"/>
      <c r="M254"/>
      <c r="N254"/>
      <c r="O254"/>
    </row>
    <row r="255" spans="2:15" ht="15.75">
      <c r="D255" s="499">
        <v>2.2999999999999998</v>
      </c>
      <c r="E255" s="508" t="s">
        <v>220</v>
      </c>
      <c r="F255" s="511"/>
      <c r="G255"/>
      <c r="H255"/>
      <c r="I255"/>
      <c r="J255" t="str">
        <f>IF(OR(F257=0,AND(J256=0,O256=0)),$L$3,"")</f>
        <v>&lt;評価しない&gt;</v>
      </c>
      <c r="K255"/>
      <c r="L255"/>
      <c r="M255"/>
      <c r="N255"/>
      <c r="O255"/>
    </row>
    <row r="256" spans="2:15" ht="16.5" thickBot="1">
      <c r="D256" s="665"/>
      <c r="E256" s="508"/>
      <c r="F256" s="515" t="s">
        <v>392</v>
      </c>
      <c r="G256" s="516"/>
      <c r="H256" s="517"/>
      <c r="I256" s="518" t="s">
        <v>1126</v>
      </c>
      <c r="J256" s="521">
        <f>重み!M31</f>
        <v>0.3</v>
      </c>
      <c r="K256" s="515" t="s">
        <v>1614</v>
      </c>
      <c r="L256" s="516"/>
      <c r="M256" s="517"/>
      <c r="N256" s="518" t="s">
        <v>1126</v>
      </c>
      <c r="O256" s="521">
        <f>重み!N31</f>
        <v>0.19999999999999998</v>
      </c>
    </row>
    <row r="257" spans="2:15" ht="27" customHeight="1" thickBot="1">
      <c r="D257" s="665"/>
      <c r="E257" s="508"/>
      <c r="F257" s="522">
        <v>0</v>
      </c>
      <c r="G257" s="3378" t="s">
        <v>2069</v>
      </c>
      <c r="H257" s="3367"/>
      <c r="I257" s="637" t="s">
        <v>2017</v>
      </c>
      <c r="J257" s="528"/>
      <c r="K257" s="522">
        <v>0</v>
      </c>
      <c r="L257" s="618" t="s">
        <v>2213</v>
      </c>
      <c r="M257" s="528"/>
      <c r="N257" s="618" t="s">
        <v>964</v>
      </c>
      <c r="O257" s="623"/>
    </row>
    <row r="258" spans="2:15" ht="15.75" hidden="1">
      <c r="B258" s="1">
        <v>1</v>
      </c>
      <c r="C258" s="1">
        <v>1</v>
      </c>
      <c r="D258" s="665"/>
      <c r="E258" s="508"/>
      <c r="F258" s="646"/>
      <c r="G258" s="618" t="s">
        <v>1040</v>
      </c>
      <c r="H258" s="527"/>
      <c r="I258" s="618"/>
      <c r="J258" s="528"/>
      <c r="K258" s="646"/>
      <c r="L258" s="527" t="s">
        <v>1040</v>
      </c>
      <c r="M258" s="527"/>
      <c r="N258" s="527"/>
      <c r="O258" s="528"/>
    </row>
    <row r="259" spans="2:15" ht="65.25" customHeight="1">
      <c r="B259" s="1">
        <v>2</v>
      </c>
      <c r="C259" s="1">
        <v>2</v>
      </c>
      <c r="D259" s="665"/>
      <c r="E259" s="508"/>
      <c r="F259" s="534" t="str">
        <f>IF(F257=$F$7,$G$2,IF(AND($O$9=$O$3,ROUNDDOWN(F257,0)=$F$2),$H$2,$G$2))</f>
        <v>　レベル　1</v>
      </c>
      <c r="G259" s="3322" t="s">
        <v>1667</v>
      </c>
      <c r="H259" s="3329"/>
      <c r="I259" s="3322" t="s">
        <v>1667</v>
      </c>
      <c r="J259" s="3342"/>
      <c r="K259" s="534" t="str">
        <f>IF(K257=$F$7,$G$2,IF(AND($O$9=$O$3,ROUNDDOWN(K257,0)=$F$2),$H$2,$G$2))</f>
        <v>　レベル　1</v>
      </c>
      <c r="L259" s="3322" t="s">
        <v>1667</v>
      </c>
      <c r="M259" s="3329"/>
      <c r="N259" s="3322" t="s">
        <v>2018</v>
      </c>
      <c r="O259" s="3342"/>
    </row>
    <row r="260" spans="2:15" ht="15.75">
      <c r="B260" s="1">
        <v>3</v>
      </c>
      <c r="C260" s="1">
        <v>3</v>
      </c>
      <c r="D260" s="665"/>
      <c r="E260" s="508"/>
      <c r="F260" s="534" t="str">
        <f>IF(F257=$F$7,$G$3,IF(AND($O$9=$O$3,ROUNDDOWN(F257,0)=$F$3),$H$3,$G$3))</f>
        <v>　レベル　2</v>
      </c>
      <c r="G260" s="541"/>
      <c r="H260" s="647"/>
      <c r="I260" s="3328"/>
      <c r="J260" s="3327"/>
      <c r="K260" s="534" t="str">
        <f>IF(K257=$F$7,$G$3,IF(AND($O$9=$O$3,ROUNDDOWN(K257,0)=$F$3),$H$3,$G$3))</f>
        <v>　レベル　2</v>
      </c>
      <c r="L260" s="541"/>
      <c r="M260" s="543"/>
      <c r="N260" s="541"/>
      <c r="O260" s="543"/>
    </row>
    <row r="261" spans="2:15" ht="65.25" customHeight="1">
      <c r="B261" s="1">
        <v>4</v>
      </c>
      <c r="C261" s="1">
        <v>4</v>
      </c>
      <c r="D261" s="665"/>
      <c r="E261" s="508"/>
      <c r="F261" s="534" t="str">
        <f>IF(F257=$F$7,$G$4,IF(AND($O$9=$O$3,ROUNDDOWN(F257,0)=$F$4),$H$4,$G$4))</f>
        <v>　レベル　3</v>
      </c>
      <c r="G261" s="3328" t="s">
        <v>1668</v>
      </c>
      <c r="H261" s="3327"/>
      <c r="I261" s="3328" t="s">
        <v>1669</v>
      </c>
      <c r="J261" s="3327"/>
      <c r="K261" s="534" t="str">
        <f>IF(K257=$F$7,$G$4,IF(AND($O$9=$O$3,ROUNDDOWN(K257,0)=$F$4),$H$4,$G$4))</f>
        <v>　レベル　3</v>
      </c>
      <c r="L261" s="3328" t="s">
        <v>1668</v>
      </c>
      <c r="M261" s="3372"/>
      <c r="N261" s="3328" t="s">
        <v>2019</v>
      </c>
      <c r="O261" s="3327"/>
    </row>
    <row r="262" spans="2:15" ht="15.75">
      <c r="B262" s="1">
        <v>5</v>
      </c>
      <c r="C262" s="1">
        <v>5</v>
      </c>
      <c r="D262" s="665"/>
      <c r="E262" s="508"/>
      <c r="F262" s="534" t="str">
        <f>IF(F257=$F$7,$G$5,IF(AND($O$9=$O$3,ROUNDDOWN(F257,0)=$F$5),$H$5,$G$5))</f>
        <v>　レベル　4</v>
      </c>
      <c r="G262" s="541"/>
      <c r="H262" s="647"/>
      <c r="I262" s="3328"/>
      <c r="J262" s="3327"/>
      <c r="K262" s="534" t="str">
        <f>IF(K257=$F$7,$G$5,IF(AND($O$9=$O$3,ROUNDDOWN(K257,0)=$F$5),$H$5,$G$5))</f>
        <v>　レベル　4</v>
      </c>
      <c r="L262" s="541"/>
      <c r="M262" s="543"/>
      <c r="N262" s="3328"/>
      <c r="O262" s="3327"/>
    </row>
    <row r="263" spans="2:15" ht="65.25" customHeight="1">
      <c r="B263" s="551">
        <v>0</v>
      </c>
      <c r="C263" s="551">
        <v>0</v>
      </c>
      <c r="D263" s="665"/>
      <c r="E263" s="508"/>
      <c r="F263" s="544" t="str">
        <f>IF(F257=$F$7,$G$6,IF(AND($O$9=$O$3,ROUNDDOWN(F257,0)=$F$6),$H$6,$G$6))</f>
        <v>　レベル　5</v>
      </c>
      <c r="G263" s="3332" t="s">
        <v>1670</v>
      </c>
      <c r="H263" s="3325"/>
      <c r="I263" s="3332" t="s">
        <v>1671</v>
      </c>
      <c r="J263" s="3325"/>
      <c r="K263" s="544" t="str">
        <f>IF(K257=$F$7,$G$6,IF(AND($O$9=$O$3,ROUNDDOWN(K257,0)=$F$6),$H$6,$G$6))</f>
        <v>　レベル　5</v>
      </c>
      <c r="L263" s="3332" t="s">
        <v>1670</v>
      </c>
      <c r="M263" s="3356"/>
      <c r="N263" s="3332" t="s">
        <v>1672</v>
      </c>
      <c r="O263" s="3325"/>
    </row>
    <row r="264" spans="2:15" ht="15.75" hidden="1">
      <c r="D264" s="665"/>
      <c r="E264" s="508"/>
      <c r="F264" s="667"/>
      <c r="G264" s="652" t="s">
        <v>1039</v>
      </c>
      <c r="H264" s="632"/>
      <c r="I264" s="632"/>
      <c r="J264" s="648"/>
      <c r="K264" s="620"/>
      <c r="L264" s="632" t="s">
        <v>1039</v>
      </c>
      <c r="M264" s="632"/>
      <c r="N264" s="632"/>
      <c r="O264" s="648"/>
    </row>
    <row r="265" spans="2:15" ht="15.75" hidden="1">
      <c r="D265" s="665"/>
      <c r="E265" s="508"/>
      <c r="F265" s="621" t="str">
        <f>IF(F257=$F$7,$G$2,IF(AND($O$9&lt;&gt;$O$3,ROUNDDOWN(F257,0)=$F$2),$H$2,$G$2))</f>
        <v>　レベル　1</v>
      </c>
      <c r="G265" s="3382" t="s">
        <v>1673</v>
      </c>
      <c r="H265" s="3383"/>
      <c r="I265" s="3382" t="s">
        <v>1673</v>
      </c>
      <c r="J265" s="3384"/>
      <c r="K265" s="1615" t="str">
        <f>IF(K257=$F$7,$G$2,IF(AND($O$9&lt;&gt;$O$3,ROUNDDOWN(K257,0)=$F$2),$H$2,$G$2))</f>
        <v>　レベル　1</v>
      </c>
      <c r="L265" s="3382" t="s">
        <v>1673</v>
      </c>
      <c r="M265" s="3384"/>
      <c r="N265" s="3382" t="s">
        <v>1674</v>
      </c>
      <c r="O265" s="3383"/>
    </row>
    <row r="266" spans="2:15" ht="15.75" hidden="1">
      <c r="D266" s="665"/>
      <c r="E266" s="508"/>
      <c r="F266" s="534" t="str">
        <f>IF(F257=$F$7,$G$3,IF(AND($O$9&lt;&gt;$O$3,ROUNDDOWN(F257,0)=$F$3),$H$3,$G$3))</f>
        <v>　レベル　2</v>
      </c>
      <c r="G266" s="1616"/>
      <c r="H266" s="1617"/>
      <c r="I266" s="1616"/>
      <c r="J266" s="1618"/>
      <c r="K266" s="1619" t="str">
        <f>IF(K257=$F$7,$G$3,IF(AND($O$9&lt;&gt;$O$3,ROUNDDOWN(K257,0)=$F$3),$H$3,$G$3))</f>
        <v>　レベル　2</v>
      </c>
      <c r="L266" s="1616"/>
      <c r="M266" s="1618"/>
      <c r="N266" s="1616"/>
      <c r="O266" s="1618"/>
    </row>
    <row r="267" spans="2:15" ht="15.75" hidden="1">
      <c r="D267" s="665"/>
      <c r="E267" s="508"/>
      <c r="F267" s="534" t="str">
        <f>IF(F257=$F$7,$G$4,IF(AND($O$9&lt;&gt;$O$3,ROUNDDOWN(F257,0)=$F$4),$H$4,$G$4))</f>
        <v>　レベル　3</v>
      </c>
      <c r="G267" s="3379" t="s">
        <v>664</v>
      </c>
      <c r="H267" s="3380"/>
      <c r="I267" s="3379" t="s">
        <v>665</v>
      </c>
      <c r="J267" s="3381"/>
      <c r="K267" s="1619" t="str">
        <f>IF(K257=$F$7,$G$4,IF(AND($O$9&lt;&gt;$O$3,ROUNDDOWN(K257,0)=$F$4),$H$4,$G$4))</f>
        <v>　レベル　3</v>
      </c>
      <c r="L267" s="3379" t="s">
        <v>664</v>
      </c>
      <c r="M267" s="3381"/>
      <c r="N267" s="3379" t="s">
        <v>1291</v>
      </c>
      <c r="O267" s="3380"/>
    </row>
    <row r="268" spans="2:15" ht="15.75" hidden="1">
      <c r="D268" s="665"/>
      <c r="E268" s="508"/>
      <c r="F268" s="534" t="str">
        <f>IF(F257=$F$7,$G$5,IF(AND($O$9&lt;&gt;$O$3,ROUNDDOWN(F257,0)=$F$5),$H$5,$G$5))</f>
        <v>　レベル　4</v>
      </c>
      <c r="G268" s="1616"/>
      <c r="H268" s="1617"/>
      <c r="I268" s="1616"/>
      <c r="J268" s="1618"/>
      <c r="K268" s="1619" t="str">
        <f>IF(K257=$F$7,$G$5,IF(AND($O$9&lt;&gt;$O$3,ROUNDDOWN(K257,0)=$F$5),$H$5,$G$5))</f>
        <v>　レベル　4</v>
      </c>
      <c r="L268" s="1616"/>
      <c r="M268" s="1618"/>
      <c r="N268" s="3379"/>
      <c r="O268" s="3380"/>
    </row>
    <row r="269" spans="2:15" ht="15.75" hidden="1">
      <c r="D269" s="665"/>
      <c r="E269" s="508"/>
      <c r="F269" s="544" t="str">
        <f>IF(F257=$F$7,$G$6,IF(AND($O$9&lt;&gt;$O$3,ROUNDDOWN(F257,0)=$F$6),$H$6,$G$6))</f>
        <v>　レベル　5</v>
      </c>
      <c r="G269" s="3385" t="s">
        <v>1292</v>
      </c>
      <c r="H269" s="3386"/>
      <c r="I269" s="3385" t="s">
        <v>2020</v>
      </c>
      <c r="J269" s="3387"/>
      <c r="K269" s="1620" t="str">
        <f>IF(K257=$F$7,$G$6,IF(AND($O$9&lt;&gt;$O$3,ROUNDDOWN(K257,0)=$F$6),$H$6,$G$6))</f>
        <v>　レベル　5</v>
      </c>
      <c r="L269" s="3385" t="s">
        <v>1293</v>
      </c>
      <c r="M269" s="3387"/>
      <c r="N269" s="3385" t="s">
        <v>1294</v>
      </c>
      <c r="O269" s="3386"/>
    </row>
    <row r="270" spans="2:15" ht="15.75" hidden="1">
      <c r="D270" s="503"/>
      <c r="E270" s="628"/>
      <c r="F270" s="628"/>
      <c r="G270" s="622" t="s">
        <v>1295</v>
      </c>
      <c r="H270" s="668"/>
      <c r="I270" s="668"/>
      <c r="J270" s="668"/>
      <c r="K270" s="668"/>
      <c r="L270" s="668"/>
      <c r="M270" s="668"/>
      <c r="N270" s="668"/>
      <c r="O270" s="668"/>
    </row>
    <row r="271" spans="2:15" ht="15.75" hidden="1">
      <c r="D271" s="503"/>
      <c r="E271" s="628"/>
      <c r="F271" s="628"/>
      <c r="G271" s="622"/>
      <c r="H271" s="668"/>
      <c r="I271" s="668"/>
      <c r="J271" s="668"/>
      <c r="K271" s="668"/>
      <c r="L271" s="668"/>
      <c r="M271" s="668"/>
      <c r="N271" s="668"/>
      <c r="O271" s="668"/>
    </row>
    <row r="272" spans="2:15" ht="15.75" hidden="1">
      <c r="D272" s="503"/>
      <c r="E272" s="628"/>
      <c r="F272" s="511" t="s">
        <v>2021</v>
      </c>
      <c r="G272" s="575"/>
      <c r="H272" s="617"/>
      <c r="I272" s="601"/>
      <c r="J272" s="578" t="str">
        <f>IF(OR(F274=0,J273=0),$L$3,"")</f>
        <v>&lt;評価しない&gt;</v>
      </c>
      <c r="K272" s="645" t="s">
        <v>2022</v>
      </c>
      <c r="L272" s="575"/>
      <c r="M272" s="617"/>
      <c r="N272" s="601"/>
      <c r="O272" s="578" t="str">
        <f>IF(OR(K274=0,O273=0),$L$3,"")</f>
        <v>&lt;評価しない&gt;</v>
      </c>
    </row>
    <row r="273" spans="2:15" ht="16.5" hidden="1" thickBot="1">
      <c r="D273" s="503"/>
      <c r="E273" s="628"/>
      <c r="F273" s="515" t="s">
        <v>1296</v>
      </c>
      <c r="G273" s="516"/>
      <c r="H273" s="517"/>
      <c r="I273" s="518" t="s">
        <v>1126</v>
      </c>
      <c r="J273" s="521">
        <f>重み!M33</f>
        <v>0</v>
      </c>
      <c r="K273" s="515" t="s">
        <v>1656</v>
      </c>
      <c r="L273" s="516"/>
      <c r="M273" s="517"/>
      <c r="N273" s="518" t="s">
        <v>1126</v>
      </c>
      <c r="O273" s="521">
        <f>重み!M34</f>
        <v>0</v>
      </c>
    </row>
    <row r="274" spans="2:15" ht="16.5" hidden="1" thickBot="1">
      <c r="D274" s="503"/>
      <c r="E274" s="628"/>
      <c r="F274" s="522">
        <v>0</v>
      </c>
      <c r="G274" s="526" t="s">
        <v>2023</v>
      </c>
      <c r="H274" s="527"/>
      <c r="I274" s="527"/>
      <c r="J274" s="637"/>
      <c r="K274" s="522">
        <v>0</v>
      </c>
      <c r="L274" s="526" t="s">
        <v>2023</v>
      </c>
      <c r="M274" s="527"/>
      <c r="N274" s="527"/>
      <c r="O274" s="637"/>
    </row>
    <row r="275" spans="2:15" ht="15.75" hidden="1">
      <c r="B275" s="1">
        <v>1</v>
      </c>
      <c r="C275" s="1">
        <v>1</v>
      </c>
      <c r="D275" s="503"/>
      <c r="E275" s="628"/>
      <c r="F275" s="529" t="str">
        <f>IF(F274=$F$7,$G$2,IF(ROUNDDOWN(F274,0)=$F$2,$H$2,$G$2))</f>
        <v>　レベル　1</v>
      </c>
      <c r="G275" s="3322" t="s">
        <v>1297</v>
      </c>
      <c r="H275" s="3344"/>
      <c r="I275" s="3344"/>
      <c r="J275" s="3329"/>
      <c r="K275" s="529" t="str">
        <f>IF(K274=$F$7,$G$2,IF(ROUNDDOWN(K274,0)=$F$2,$H$2,$G$2))</f>
        <v>　レベル　1</v>
      </c>
      <c r="L275" s="3322" t="s">
        <v>2024</v>
      </c>
      <c r="M275" s="3344"/>
      <c r="N275" s="3344"/>
      <c r="O275" s="3329"/>
    </row>
    <row r="276" spans="2:15" ht="15.75" hidden="1">
      <c r="B276" s="1">
        <v>2</v>
      </c>
      <c r="C276" s="1">
        <v>2</v>
      </c>
      <c r="D276" s="503"/>
      <c r="E276" s="628"/>
      <c r="F276" s="534" t="str">
        <f>IF(F274=$F$7,$G$3,IF(ROUNDDOWN(F274,0)=$F$3,$H$3,$G$3))</f>
        <v>　レベル　2</v>
      </c>
      <c r="G276" s="3328"/>
      <c r="H276" s="3334"/>
      <c r="I276" s="3334"/>
      <c r="J276" s="3327"/>
      <c r="K276" s="534" t="str">
        <f>IF(K274=$F$7,$G$3,IF(ROUNDDOWN(K274,0)=$F$3,$H$3,$G$3))</f>
        <v>　レベル　2</v>
      </c>
      <c r="L276" s="3328" t="s">
        <v>2025</v>
      </c>
      <c r="M276" s="3334"/>
      <c r="N276" s="3334"/>
      <c r="O276" s="3327"/>
    </row>
    <row r="277" spans="2:15" ht="15.75" hidden="1">
      <c r="B277" s="1">
        <v>3</v>
      </c>
      <c r="C277" s="1">
        <v>3</v>
      </c>
      <c r="D277" s="503"/>
      <c r="E277" s="628"/>
      <c r="F277" s="534" t="str">
        <f>IF(F274=$F$7,$G$4,IF(ROUNDDOWN(F274,0)=$F$4,$H$4,$G$4))</f>
        <v>　レベル　3</v>
      </c>
      <c r="G277" s="3328" t="s">
        <v>1298</v>
      </c>
      <c r="H277" s="3334"/>
      <c r="I277" s="3334"/>
      <c r="J277" s="3327"/>
      <c r="K277" s="534" t="str">
        <f>IF(K274=$F$7,$G$4,IF(ROUNDDOWN(K274,0)=$F$4,$H$4,$G$4))</f>
        <v>　レベル　3</v>
      </c>
      <c r="L277" s="3328" t="s">
        <v>2026</v>
      </c>
      <c r="M277" s="3334"/>
      <c r="N277" s="3334"/>
      <c r="O277" s="3327"/>
    </row>
    <row r="278" spans="2:15" ht="15.75" hidden="1">
      <c r="B278" s="1">
        <v>4</v>
      </c>
      <c r="C278" s="1">
        <v>4</v>
      </c>
      <c r="D278" s="503"/>
      <c r="E278" s="628"/>
      <c r="F278" s="534" t="str">
        <f>IF(F274=$F$7,$G$5,IF(ROUNDDOWN(F274,0)=$F$5,$H$5,$G$5))</f>
        <v>　レベル　4</v>
      </c>
      <c r="G278" s="3328"/>
      <c r="H278" s="3334"/>
      <c r="I278" s="3334"/>
      <c r="J278" s="3327"/>
      <c r="K278" s="534" t="str">
        <f>IF(K274=$F$7,$G$5,IF(ROUNDDOWN(K274,0)=$F$5,$H$5,$G$5))</f>
        <v>　レベル　4</v>
      </c>
      <c r="L278" s="3328" t="s">
        <v>2027</v>
      </c>
      <c r="M278" s="3334"/>
      <c r="N278" s="3334"/>
      <c r="O278" s="3327"/>
    </row>
    <row r="279" spans="2:15" ht="15.75" hidden="1">
      <c r="B279" s="1">
        <v>5</v>
      </c>
      <c r="C279" s="1">
        <v>5</v>
      </c>
      <c r="D279" s="503"/>
      <c r="E279" s="628"/>
      <c r="F279" s="544" t="str">
        <f>IF(F274=$F$7,$G$6,IF(ROUNDDOWN(F274,0)=$F$6,$H$6,$G$6))</f>
        <v>　レベル　5</v>
      </c>
      <c r="G279" s="3332" t="s">
        <v>2028</v>
      </c>
      <c r="H279" s="3333"/>
      <c r="I279" s="3333"/>
      <c r="J279" s="3325"/>
      <c r="K279" s="544" t="str">
        <f>IF(K274=$F$7,$G$6,IF(ROUNDDOWN(K274,0)=$F$6,$H$6,$G$6))</f>
        <v>　レベル　5</v>
      </c>
      <c r="L279" s="3332" t="s">
        <v>2029</v>
      </c>
      <c r="M279" s="3333"/>
      <c r="N279" s="3333"/>
      <c r="O279" s="3325"/>
    </row>
    <row r="280" spans="2:15" ht="15.75">
      <c r="B280" s="551">
        <v>0</v>
      </c>
      <c r="C280" s="551">
        <v>0</v>
      </c>
      <c r="D280" s="503"/>
      <c r="E280" s="628"/>
      <c r="F280" s="839" t="s">
        <v>2938</v>
      </c>
      <c r="G280" s="1941"/>
      <c r="H280" s="1917"/>
      <c r="I280" s="1915"/>
      <c r="J280" s="1916"/>
      <c r="K280" s="1918"/>
      <c r="L280" s="1231"/>
      <c r="M280"/>
      <c r="N280"/>
      <c r="O280"/>
    </row>
    <row r="281" spans="2:15" ht="15.75">
      <c r="B281" s="870"/>
      <c r="C281" s="870"/>
      <c r="D281" s="503"/>
      <c r="E281" s="628"/>
      <c r="F281" s="628"/>
      <c r="G281"/>
      <c r="H281"/>
      <c r="I281"/>
      <c r="J281"/>
      <c r="K281"/>
      <c r="L281"/>
      <c r="M281"/>
      <c r="N281"/>
      <c r="O281"/>
    </row>
    <row r="282" spans="2:15" ht="15.75">
      <c r="D282" s="499">
        <v>3</v>
      </c>
      <c r="E282" s="510" t="s">
        <v>722</v>
      </c>
      <c r="F282" s="509"/>
      <c r="G282"/>
      <c r="H282"/>
      <c r="I282"/>
      <c r="J282"/>
      <c r="K282"/>
      <c r="L282"/>
      <c r="M282"/>
      <c r="N282"/>
      <c r="O282"/>
    </row>
    <row r="283" spans="2:15" ht="15.75">
      <c r="D283" s="499">
        <v>3.1</v>
      </c>
      <c r="E283" s="510" t="s">
        <v>723</v>
      </c>
      <c r="F283" s="509"/>
      <c r="G283"/>
      <c r="H283"/>
      <c r="I283"/>
      <c r="J283"/>
      <c r="K283"/>
      <c r="L283"/>
      <c r="M283"/>
      <c r="N283"/>
      <c r="O283"/>
    </row>
    <row r="284" spans="2:15" ht="15.75">
      <c r="D284" s="503"/>
      <c r="E284" s="63"/>
      <c r="F284" s="511" t="s">
        <v>724</v>
      </c>
      <c r="G284"/>
      <c r="H284"/>
      <c r="I284"/>
      <c r="J284" t="str">
        <f>IF(OR(F286=0,AND(J285=0,O285=0)),$L$3,"")</f>
        <v>&lt;評価しない&gt;</v>
      </c>
      <c r="K284"/>
      <c r="L284"/>
      <c r="M284"/>
      <c r="N284"/>
      <c r="O284"/>
    </row>
    <row r="285" spans="2:15" ht="16.5" thickBot="1">
      <c r="D285" s="503"/>
      <c r="E285" s="63"/>
      <c r="F285" s="515" t="s">
        <v>1454</v>
      </c>
      <c r="G285" s="516"/>
      <c r="H285" s="517"/>
      <c r="I285" s="518" t="s">
        <v>1126</v>
      </c>
      <c r="J285" s="521">
        <f>重み!M37</f>
        <v>0.6</v>
      </c>
      <c r="K285" s="515" t="s">
        <v>1614</v>
      </c>
      <c r="L285" s="516"/>
      <c r="M285" s="517"/>
      <c r="N285" s="518" t="s">
        <v>1126</v>
      </c>
      <c r="O285" s="521">
        <f>重み!N37</f>
        <v>0.33333333333333331</v>
      </c>
    </row>
    <row r="286" spans="2:15" ht="27" customHeight="1" thickBot="1">
      <c r="D286" s="503"/>
      <c r="E286" s="63"/>
      <c r="F286" s="522">
        <v>0</v>
      </c>
      <c r="G286" s="618" t="s">
        <v>2548</v>
      </c>
      <c r="H286" s="527"/>
      <c r="I286" s="527"/>
      <c r="J286" s="528"/>
      <c r="K286" s="522">
        <v>3</v>
      </c>
      <c r="L286" s="618" t="s">
        <v>907</v>
      </c>
      <c r="M286" s="528"/>
      <c r="N286" s="618" t="s">
        <v>1552</v>
      </c>
      <c r="O286" s="528"/>
    </row>
    <row r="287" spans="2:15" ht="15.75">
      <c r="B287" s="1">
        <v>1</v>
      </c>
      <c r="C287" s="1">
        <v>1</v>
      </c>
      <c r="D287" s="503"/>
      <c r="E287" s="63"/>
      <c r="F287" s="529" t="str">
        <f>IF(F286=$F$7,$G$2,IF(ROUNDDOWN(F286,0)=$F$2,$H$2,$G$2))</f>
        <v>　レベル　1</v>
      </c>
      <c r="G287" s="3322" t="s">
        <v>726</v>
      </c>
      <c r="H287" s="3344"/>
      <c r="I287" s="3344"/>
      <c r="J287" s="3329"/>
      <c r="K287" s="529" t="str">
        <f>IF(K286=$F$7,$G$2,IF(ROUNDDOWN(K286,0)=$F$2,$H$2,$G$2))</f>
        <v>　レベル　1</v>
      </c>
      <c r="L287" s="3322" t="s">
        <v>1299</v>
      </c>
      <c r="M287" s="3342"/>
      <c r="N287" s="3322" t="s">
        <v>727</v>
      </c>
      <c r="O287" s="3342"/>
    </row>
    <row r="288" spans="2:15" ht="15.75" customHeight="1">
      <c r="B288" s="1">
        <v>2</v>
      </c>
      <c r="C288" s="1">
        <v>2</v>
      </c>
      <c r="D288" s="503"/>
      <c r="E288" s="63"/>
      <c r="F288" s="534" t="str">
        <f>IF(F286=$F$7,$G$3,IF(ROUNDDOWN(F286,0)=$F$3,$H$3,$G$3))</f>
        <v>　レベル　2</v>
      </c>
      <c r="G288" s="3328" t="s">
        <v>728</v>
      </c>
      <c r="H288" s="3345"/>
      <c r="I288" s="3345"/>
      <c r="J288" s="3372"/>
      <c r="K288" s="534" t="str">
        <f>IF(K286=$F$7,$G$3,IF(ROUNDDOWN(K286,0)=$F$3,$H$3,$G$3))</f>
        <v>　レベル　2</v>
      </c>
      <c r="L288" s="3328" t="s">
        <v>729</v>
      </c>
      <c r="M288" s="3327"/>
      <c r="N288" s="3328" t="s">
        <v>730</v>
      </c>
      <c r="O288" s="3327"/>
    </row>
    <row r="289" spans="2:15" ht="15.75" customHeight="1">
      <c r="B289" s="1">
        <v>3</v>
      </c>
      <c r="C289" s="1">
        <v>3</v>
      </c>
      <c r="D289" s="503"/>
      <c r="E289" s="63"/>
      <c r="F289" s="534" t="str">
        <f>IF(F286=$F$7,$G$4,IF(ROUNDDOWN(F286,0)=$F$4,$H$4,$G$4))</f>
        <v>　レベル　3</v>
      </c>
      <c r="G289" s="3362" t="s">
        <v>731</v>
      </c>
      <c r="H289" s="3363"/>
      <c r="I289" s="3363"/>
      <c r="J289" s="3364"/>
      <c r="K289" s="534" t="str">
        <f>IF(K286=$F$7,$G$4,IF(ROUNDDOWN(K286,0)=$F$4,$H$4,$G$4))</f>
        <v>■レベル　3</v>
      </c>
      <c r="L289" s="3328" t="s">
        <v>1300</v>
      </c>
      <c r="M289" s="3327"/>
      <c r="N289" s="3328" t="s">
        <v>728</v>
      </c>
      <c r="O289" s="3327"/>
    </row>
    <row r="290" spans="2:15" ht="15.75" customHeight="1">
      <c r="B290" s="1">
        <v>4</v>
      </c>
      <c r="C290" s="1">
        <v>4</v>
      </c>
      <c r="D290" s="503"/>
      <c r="E290" s="63"/>
      <c r="F290" s="534" t="str">
        <f>IF(F286=$F$7,$G$5,IF(ROUNDDOWN(F286,0)=$F$5,$H$5,$G$5))</f>
        <v>　レベル　4</v>
      </c>
      <c r="G290" s="3328" t="s">
        <v>732</v>
      </c>
      <c r="H290" s="3345"/>
      <c r="I290" s="3345"/>
      <c r="J290" s="3372"/>
      <c r="K290" s="534" t="str">
        <f>IF(K286=$F$7,$G$5,IF(ROUNDDOWN(K286,0)=$F$5,$H$5,$G$5))</f>
        <v>　レベル　4</v>
      </c>
      <c r="L290" s="3328" t="s">
        <v>2371</v>
      </c>
      <c r="M290" s="3327"/>
      <c r="N290" s="3328" t="s">
        <v>731</v>
      </c>
      <c r="O290" s="3327"/>
    </row>
    <row r="291" spans="2:15" ht="15.75">
      <c r="B291" s="1">
        <v>5</v>
      </c>
      <c r="C291" s="1">
        <v>5</v>
      </c>
      <c r="D291" s="503"/>
      <c r="E291" s="63"/>
      <c r="F291" s="544" t="str">
        <f>IF(F286=$F$7,$G$6,IF(ROUNDDOWN(F286,0)=$F$6,$H$6,$G$6))</f>
        <v>　レベル　5</v>
      </c>
      <c r="G291" s="3353" t="s">
        <v>733</v>
      </c>
      <c r="H291" s="3373"/>
      <c r="I291" s="3373"/>
      <c r="J291" s="3374"/>
      <c r="K291" s="544" t="str">
        <f>IF(K286=$F$7,$G$6,IF(ROUNDDOWN(K286,0)=$F$6,$H$6,$G$6))</f>
        <v>　レベル　5</v>
      </c>
      <c r="L291" s="3332" t="s">
        <v>2372</v>
      </c>
      <c r="M291" s="3325"/>
      <c r="N291" s="3332" t="s">
        <v>2373</v>
      </c>
      <c r="O291" s="3325"/>
    </row>
    <row r="292" spans="2:15" ht="15.75">
      <c r="B292" s="551">
        <v>0</v>
      </c>
      <c r="C292" s="551">
        <v>0</v>
      </c>
      <c r="D292" s="503"/>
      <c r="E292" s="63"/>
      <c r="F292" s="839" t="s">
        <v>2938</v>
      </c>
      <c r="G292" s="1941"/>
      <c r="H292" s="1917"/>
      <c r="I292" s="1915"/>
      <c r="J292" s="1916"/>
      <c r="K292" s="1918"/>
      <c r="L292" s="1231"/>
      <c r="M292"/>
      <c r="N292"/>
      <c r="O292"/>
    </row>
    <row r="293" spans="2:15" ht="15.75">
      <c r="B293" s="870"/>
      <c r="C293" s="870"/>
      <c r="D293" s="503"/>
      <c r="E293" s="63"/>
      <c r="F293" s="1977" t="s">
        <v>1513</v>
      </c>
      <c r="G293" s="2074" t="s">
        <v>4286</v>
      </c>
      <c r="H293"/>
      <c r="I293" s="500"/>
      <c r="J293" s="500"/>
      <c r="K293" s="1918"/>
      <c r="L293" s="1231"/>
      <c r="M293"/>
      <c r="N293"/>
      <c r="O293"/>
    </row>
    <row r="294" spans="2:15" ht="15.75">
      <c r="B294" s="870"/>
      <c r="C294" s="870"/>
      <c r="D294" s="503"/>
      <c r="E294" s="63"/>
      <c r="F294" s="616"/>
      <c r="G294"/>
      <c r="H294"/>
      <c r="I294"/>
      <c r="J294"/>
      <c r="K294"/>
      <c r="L294"/>
      <c r="M294"/>
      <c r="N294"/>
      <c r="O294"/>
    </row>
    <row r="295" spans="2:15" ht="15.75">
      <c r="D295" s="503"/>
      <c r="E295" s="63"/>
      <c r="F295" s="511" t="s">
        <v>734</v>
      </c>
      <c r="G295"/>
      <c r="H295"/>
      <c r="I295"/>
      <c r="J295" t="str">
        <f>IF(OR(F297=0,J296=0),$L$3,"")</f>
        <v/>
      </c>
      <c r="K295"/>
      <c r="L295"/>
      <c r="M295"/>
      <c r="N295"/>
      <c r="O295"/>
    </row>
    <row r="296" spans="2:15" ht="16.5" thickBot="1">
      <c r="D296" s="503"/>
      <c r="E296" s="63"/>
      <c r="F296" s="515" t="s">
        <v>2374</v>
      </c>
      <c r="G296" s="516"/>
      <c r="H296" s="517"/>
      <c r="I296" s="518" t="s">
        <v>1126</v>
      </c>
      <c r="J296" s="521">
        <f>重み!N38</f>
        <v>0.19999999999999998</v>
      </c>
      <c r="K296"/>
      <c r="L296"/>
      <c r="M296"/>
      <c r="N296"/>
      <c r="O296"/>
    </row>
    <row r="297" spans="2:15" ht="27" customHeight="1" thickBot="1">
      <c r="D297" s="503"/>
      <c r="E297" s="63"/>
      <c r="F297" s="522">
        <v>1</v>
      </c>
      <c r="G297" s="618" t="s">
        <v>1552</v>
      </c>
      <c r="H297" s="527"/>
      <c r="I297" s="527"/>
      <c r="J297" s="528"/>
      <c r="K297"/>
      <c r="L297"/>
      <c r="M297"/>
      <c r="N297"/>
      <c r="O297"/>
    </row>
    <row r="298" spans="2:15" ht="15.75">
      <c r="B298" s="1">
        <v>1</v>
      </c>
      <c r="C298" s="1">
        <v>1</v>
      </c>
      <c r="D298" s="503"/>
      <c r="E298" s="63"/>
      <c r="F298" s="529" t="str">
        <f>IF(F297=$F$7,$G$2,IF(ROUNDDOWN(F297,0)=$F$2,$H$2,$G$2))</f>
        <v>■レベル　1</v>
      </c>
      <c r="G298" s="3322" t="s">
        <v>735</v>
      </c>
      <c r="H298" s="3344"/>
      <c r="I298" s="3344"/>
      <c r="J298" s="3329"/>
      <c r="K298"/>
      <c r="L298"/>
      <c r="M298"/>
      <c r="N298"/>
      <c r="O298"/>
    </row>
    <row r="299" spans="2:15" ht="15.75">
      <c r="B299" s="1" t="s">
        <v>2375</v>
      </c>
      <c r="C299" s="1">
        <v>2</v>
      </c>
      <c r="D299" s="503"/>
      <c r="E299" s="63"/>
      <c r="F299" s="534" t="str">
        <f>IF(F297=$F$7,$G$3,IF(ROUNDDOWN(F297,0)=$F$3,$H$3,$G$3))</f>
        <v>　レベル　2</v>
      </c>
      <c r="G299" s="3328" t="s">
        <v>1794</v>
      </c>
      <c r="H299" s="3345"/>
      <c r="I299" s="3345"/>
      <c r="J299" s="3372"/>
      <c r="K299"/>
      <c r="L299"/>
      <c r="M299"/>
      <c r="N299"/>
      <c r="O299"/>
    </row>
    <row r="300" spans="2:15" ht="15.75">
      <c r="B300" s="1">
        <v>3</v>
      </c>
      <c r="C300" s="1">
        <v>3</v>
      </c>
      <c r="D300" s="503"/>
      <c r="E300" s="63"/>
      <c r="F300" s="534" t="str">
        <f>IF(F297=$F$7,$G$4,IF(ROUNDDOWN(F297,0)=$F$4,$H$4,$G$4))</f>
        <v>　レベル　3</v>
      </c>
      <c r="G300" s="3328" t="s">
        <v>736</v>
      </c>
      <c r="H300" s="3345"/>
      <c r="I300" s="3345"/>
      <c r="J300" s="3372"/>
      <c r="K300"/>
      <c r="L300"/>
      <c r="M300"/>
      <c r="N300"/>
      <c r="O300"/>
    </row>
    <row r="301" spans="2:15" ht="15.75">
      <c r="B301" s="1" t="s">
        <v>2375</v>
      </c>
      <c r="C301" s="1">
        <v>4</v>
      </c>
      <c r="D301" s="503"/>
      <c r="E301" s="63"/>
      <c r="F301" s="534" t="str">
        <f>IF(F297=$F$7,$G$5,IF(ROUNDDOWN(F297,0)=$F$5,$H$5,$G$5))</f>
        <v>　レベル　4</v>
      </c>
      <c r="G301" s="3328" t="s">
        <v>1794</v>
      </c>
      <c r="H301" s="3345"/>
      <c r="I301" s="3345"/>
      <c r="J301" s="3372"/>
      <c r="K301"/>
      <c r="L301"/>
      <c r="M301"/>
      <c r="N301"/>
      <c r="O301"/>
    </row>
    <row r="302" spans="2:15" ht="15.75">
      <c r="B302" s="1">
        <v>5</v>
      </c>
      <c r="C302" s="1">
        <v>5</v>
      </c>
      <c r="D302" s="503"/>
      <c r="E302" s="63"/>
      <c r="F302" s="544" t="str">
        <f>IF(F297=$F$7,$G$6,IF(ROUNDDOWN(F297,0)=$F$6,$H$6,$G$6))</f>
        <v>　レベル　5</v>
      </c>
      <c r="G302" s="3353" t="s">
        <v>737</v>
      </c>
      <c r="H302" s="3373"/>
      <c r="I302" s="3373"/>
      <c r="J302" s="3374"/>
      <c r="K302"/>
      <c r="L302"/>
      <c r="M302"/>
      <c r="N302"/>
      <c r="O302"/>
    </row>
    <row r="303" spans="2:15" ht="15.75">
      <c r="B303" s="551">
        <v>0</v>
      </c>
      <c r="C303" s="551">
        <v>0</v>
      </c>
      <c r="D303" s="503"/>
      <c r="E303" s="63"/>
      <c r="F303" s="839" t="s">
        <v>2938</v>
      </c>
      <c r="G303" s="1941"/>
      <c r="H303" s="1917"/>
      <c r="I303" s="1915"/>
      <c r="J303" s="1916"/>
      <c r="K303" s="1918"/>
      <c r="L303" s="1231"/>
      <c r="M303"/>
      <c r="N303"/>
      <c r="O303"/>
    </row>
    <row r="304" spans="2:15" ht="15.75">
      <c r="B304" s="870"/>
      <c r="C304" s="870"/>
      <c r="D304" s="503"/>
      <c r="E304" s="63"/>
      <c r="F304" s="616"/>
      <c r="G304"/>
      <c r="H304"/>
      <c r="I304"/>
      <c r="J304"/>
      <c r="K304"/>
      <c r="L304"/>
      <c r="M304"/>
      <c r="N304"/>
      <c r="O304"/>
    </row>
    <row r="305" spans="2:15" ht="15.75">
      <c r="D305" s="503"/>
      <c r="E305" s="63"/>
      <c r="F305" s="511" t="s">
        <v>738</v>
      </c>
      <c r="G305"/>
      <c r="H305"/>
      <c r="I305"/>
      <c r="J305" t="str">
        <f>IF(OR(F307=0,AND(J306=0,O306=0)),$L$3,"")</f>
        <v/>
      </c>
      <c r="K305"/>
      <c r="L305"/>
      <c r="M305"/>
      <c r="N305"/>
      <c r="O305"/>
    </row>
    <row r="306" spans="2:15" ht="16.5" thickBot="1">
      <c r="D306" s="503"/>
      <c r="E306" s="507"/>
      <c r="F306" s="515" t="s">
        <v>2376</v>
      </c>
      <c r="G306" s="516"/>
      <c r="H306" s="517"/>
      <c r="I306" s="518" t="s">
        <v>1126</v>
      </c>
      <c r="J306" s="521">
        <f>重み!M39</f>
        <v>0.4</v>
      </c>
      <c r="K306" s="515" t="s">
        <v>1614</v>
      </c>
      <c r="L306" s="516"/>
      <c r="M306" s="517"/>
      <c r="N306" s="518" t="s">
        <v>1126</v>
      </c>
      <c r="O306" s="521">
        <f>重み!N39</f>
        <v>0.13333333333333333</v>
      </c>
    </row>
    <row r="307" spans="2:15" ht="27.75" customHeight="1" thickBot="1">
      <c r="D307" s="503"/>
      <c r="E307" s="507"/>
      <c r="F307" s="522">
        <v>3</v>
      </c>
      <c r="G307" s="618" t="s">
        <v>739</v>
      </c>
      <c r="H307" s="527"/>
      <c r="I307" s="618" t="s">
        <v>2549</v>
      </c>
      <c r="J307" s="528"/>
      <c r="K307" s="522">
        <v>3</v>
      </c>
      <c r="L307" s="618" t="s">
        <v>740</v>
      </c>
      <c r="M307" s="528"/>
      <c r="N307" s="618"/>
      <c r="O307" s="623"/>
    </row>
    <row r="308" spans="2:15" ht="15.75" customHeight="1">
      <c r="B308" s="1" t="s">
        <v>2377</v>
      </c>
      <c r="C308" s="1" t="s">
        <v>2377</v>
      </c>
      <c r="D308" s="503"/>
      <c r="E308" s="628"/>
      <c r="F308" s="529" t="str">
        <f>IF(F307=$F$7,$G$2,IF(ROUNDDOWN(F307,0)=$F$2,$H$2,$G$2))</f>
        <v>　レベル　1</v>
      </c>
      <c r="G308" s="3322" t="s">
        <v>1794</v>
      </c>
      <c r="H308" s="3329"/>
      <c r="I308" s="3322" t="s">
        <v>1794</v>
      </c>
      <c r="J308" s="3342"/>
      <c r="K308" s="529" t="str">
        <f>IF(K307=$F$7,$G$2,IF(ROUNDDOWN(K307,0)=$F$2,$H$2,$G$2))</f>
        <v>　レベル　1</v>
      </c>
      <c r="L308" s="3322" t="s">
        <v>1794</v>
      </c>
      <c r="M308" s="3344"/>
      <c r="N308" s="3344"/>
      <c r="O308" s="3329"/>
    </row>
    <row r="309" spans="2:15" ht="15.75" customHeight="1">
      <c r="B309" s="1" t="s">
        <v>2377</v>
      </c>
      <c r="C309" s="1" t="s">
        <v>2377</v>
      </c>
      <c r="D309" s="503"/>
      <c r="E309" s="628"/>
      <c r="F309" s="534" t="str">
        <f>IF(F307=$F$7,$G$3,IF(ROUNDDOWN(F307,0)=$F$3,$H$3,$G$3))</f>
        <v>　レベル　2</v>
      </c>
      <c r="G309" s="3328" t="s">
        <v>1794</v>
      </c>
      <c r="H309" s="3327"/>
      <c r="I309" s="3328" t="s">
        <v>1794</v>
      </c>
      <c r="J309" s="3327"/>
      <c r="K309" s="534" t="str">
        <f>IF(K307=$F$7,$G$3,IF(ROUNDDOWN(K307,0)=$F$3,$H$3,$G$3))</f>
        <v>　レベル　2</v>
      </c>
      <c r="L309" s="3362" t="s">
        <v>1794</v>
      </c>
      <c r="M309" s="3363"/>
      <c r="N309" s="3363"/>
      <c r="O309" s="3364"/>
    </row>
    <row r="310" spans="2:15" ht="15.75" customHeight="1">
      <c r="B310" s="1">
        <v>3</v>
      </c>
      <c r="C310" s="1">
        <v>3</v>
      </c>
      <c r="D310" s="503"/>
      <c r="E310" s="628"/>
      <c r="F310" s="534" t="str">
        <f>IF(F307=$F$7,$G$4,IF(ROUNDDOWN(F307,0)=$F$4,$H$4,$G$4))</f>
        <v>■レベル　3</v>
      </c>
      <c r="G310" s="3328" t="s">
        <v>741</v>
      </c>
      <c r="H310" s="3327"/>
      <c r="I310" s="3328" t="s">
        <v>2378</v>
      </c>
      <c r="J310" s="3327"/>
      <c r="K310" s="534" t="str">
        <f>IF(K307=$F$7,$G$4,IF(ROUNDDOWN(K307,0)=$F$4,$H$4,$G$4))</f>
        <v>■レベル　3</v>
      </c>
      <c r="L310" s="3362" t="s">
        <v>2378</v>
      </c>
      <c r="M310" s="3363"/>
      <c r="N310" s="3363"/>
      <c r="O310" s="3364"/>
    </row>
    <row r="311" spans="2:15" ht="15.75" customHeight="1">
      <c r="B311" s="1">
        <v>4</v>
      </c>
      <c r="C311" s="1" t="s">
        <v>2377</v>
      </c>
      <c r="D311" s="503"/>
      <c r="E311" s="628"/>
      <c r="F311" s="534" t="str">
        <f>IF(F307=$F$7,$G$5,IF(ROUNDDOWN(F307,0)=$F$5,$H$5,$G$5))</f>
        <v>　レベル　4</v>
      </c>
      <c r="G311" s="3328" t="s">
        <v>742</v>
      </c>
      <c r="H311" s="3327"/>
      <c r="I311" s="3328" t="s">
        <v>1794</v>
      </c>
      <c r="J311" s="3327"/>
      <c r="K311" s="534" t="str">
        <f>IF(K307=$F$7,$G$5,IF(ROUNDDOWN(K307,0)=$F$5,$H$5,$G$5))</f>
        <v>　レベル　4</v>
      </c>
      <c r="L311" s="3362" t="s">
        <v>1794</v>
      </c>
      <c r="M311" s="3363"/>
      <c r="N311" s="3363"/>
      <c r="O311" s="3364"/>
    </row>
    <row r="312" spans="2:15" ht="33.75" customHeight="1">
      <c r="B312" s="1">
        <v>5</v>
      </c>
      <c r="C312" s="1">
        <v>5</v>
      </c>
      <c r="D312" s="503"/>
      <c r="E312" s="628"/>
      <c r="F312" s="544" t="str">
        <f>IF(F307=$F$7,$G$6,IF(ROUNDDOWN(F307,0)=$F$6,$H$6,$G$6))</f>
        <v>　レベル　5</v>
      </c>
      <c r="G312" s="3332" t="s">
        <v>1210</v>
      </c>
      <c r="H312" s="3325"/>
      <c r="I312" s="3332" t="s">
        <v>1211</v>
      </c>
      <c r="J312" s="3325"/>
      <c r="K312" s="544" t="str">
        <f>IF(K307=$F$7,$G$6,IF(ROUNDDOWN(K307,0)=$F$6,$H$6,$G$6))</f>
        <v>　レベル　5</v>
      </c>
      <c r="L312" s="3353" t="s">
        <v>1211</v>
      </c>
      <c r="M312" s="3373"/>
      <c r="N312" s="3373"/>
      <c r="O312" s="3374"/>
    </row>
    <row r="313" spans="2:15" ht="15.75">
      <c r="B313" s="551">
        <v>0</v>
      </c>
      <c r="C313" s="551">
        <v>0</v>
      </c>
      <c r="D313" s="503"/>
      <c r="E313" s="404"/>
      <c r="F313" s="839" t="s">
        <v>2938</v>
      </c>
      <c r="G313" s="1941"/>
      <c r="H313" s="1917"/>
      <c r="I313" s="1915"/>
      <c r="J313" s="1916"/>
      <c r="K313" s="2094" t="s">
        <v>3287</v>
      </c>
      <c r="L313" s="1231"/>
      <c r="M313"/>
      <c r="N313"/>
      <c r="O313"/>
    </row>
    <row r="314" spans="2:15" ht="15.75">
      <c r="B314" s="870"/>
      <c r="C314" s="870"/>
      <c r="D314" s="503"/>
      <c r="E314" s="404"/>
      <c r="F314" s="404"/>
      <c r="G314"/>
      <c r="H314"/>
      <c r="I314"/>
      <c r="J314"/>
      <c r="K314"/>
      <c r="L314"/>
      <c r="M314"/>
      <c r="N314"/>
      <c r="O314"/>
    </row>
    <row r="315" spans="2:15" ht="15.75">
      <c r="D315" s="499">
        <v>3.2</v>
      </c>
      <c r="E315" s="510" t="s">
        <v>743</v>
      </c>
      <c r="F315" s="509"/>
      <c r="G315"/>
      <c r="H315"/>
      <c r="I315"/>
      <c r="J315"/>
      <c r="K315"/>
      <c r="L315"/>
      <c r="M315"/>
      <c r="N315"/>
      <c r="O315"/>
    </row>
    <row r="316" spans="2:15" ht="15.75" hidden="1">
      <c r="D316" s="503"/>
      <c r="E316" s="63"/>
      <c r="F316" s="1350" t="s">
        <v>744</v>
      </c>
      <c r="G316"/>
      <c r="H316"/>
      <c r="I316"/>
      <c r="J316" t="str">
        <f>IF(OR(F318=0,AND(J317=0,O317=0)),$L$3,"")</f>
        <v>&lt;評価しない&gt;</v>
      </c>
      <c r="K316"/>
      <c r="L316"/>
      <c r="M316"/>
      <c r="N316"/>
      <c r="O316"/>
    </row>
    <row r="317" spans="2:15" ht="15.75" hidden="1">
      <c r="D317" s="503"/>
      <c r="E317" s="63"/>
      <c r="F317" s="515" t="s">
        <v>1212</v>
      </c>
      <c r="G317"/>
      <c r="H317"/>
      <c r="I317" t="s">
        <v>1126</v>
      </c>
      <c r="J317">
        <f>重み!M41</f>
        <v>0</v>
      </c>
      <c r="K317" t="s">
        <v>1614</v>
      </c>
      <c r="L317"/>
      <c r="M317"/>
      <c r="N317" t="s">
        <v>1126</v>
      </c>
      <c r="O317">
        <f>重み!N41</f>
        <v>0</v>
      </c>
    </row>
    <row r="318" spans="2:15" ht="16.5" hidden="1" thickBot="1">
      <c r="D318" s="503"/>
      <c r="E318" s="63"/>
      <c r="F318" s="522">
        <v>0</v>
      </c>
      <c r="G318" t="s">
        <v>725</v>
      </c>
      <c r="H318"/>
      <c r="I318"/>
      <c r="J318"/>
      <c r="K318">
        <v>0</v>
      </c>
      <c r="L318" t="s">
        <v>740</v>
      </c>
      <c r="M318"/>
      <c r="N318"/>
      <c r="O318"/>
    </row>
    <row r="319" spans="2:15" ht="15.75" hidden="1">
      <c r="B319" s="1">
        <v>1</v>
      </c>
      <c r="C319" s="1">
        <v>1</v>
      </c>
      <c r="D319" s="503"/>
      <c r="E319" s="63"/>
      <c r="F319" s="529" t="str">
        <f>IF(F318=$F$7,$G$2,IF(ROUNDDOWN(F318,0)=$F$2,$H$2,$G$2))</f>
        <v>　レベル　1</v>
      </c>
      <c r="G319" t="s">
        <v>666</v>
      </c>
      <c r="H319"/>
      <c r="I319"/>
      <c r="J319"/>
      <c r="K319" t="str">
        <f>IF(K318=$F$7,$G$2,IF(ROUNDDOWN(K318,0)=$F$2,$H$2,$G$2))</f>
        <v>　レベル　1</v>
      </c>
      <c r="L319" t="s">
        <v>667</v>
      </c>
      <c r="M319"/>
      <c r="N319"/>
      <c r="O319"/>
    </row>
    <row r="320" spans="2:15" ht="15.75" hidden="1">
      <c r="B320" s="1" t="s">
        <v>1213</v>
      </c>
      <c r="C320" s="1" t="s">
        <v>1213</v>
      </c>
      <c r="D320" s="503"/>
      <c r="E320" s="63"/>
      <c r="F320" s="534" t="str">
        <f>IF(F318=$F$7,$G$3,IF(ROUNDDOWN(F318,0)=$F$3,$H$3,$G$3))</f>
        <v>　レベル　2</v>
      </c>
      <c r="G320" t="s">
        <v>1794</v>
      </c>
      <c r="H320"/>
      <c r="I320"/>
      <c r="J320"/>
      <c r="K320" t="str">
        <f>IF(K318=$F$7,$G$3,IF(ROUNDDOWN(K318,0)=$F$3,$H$3,$G$3))</f>
        <v>　レベル　2</v>
      </c>
      <c r="L320" t="s">
        <v>1794</v>
      </c>
      <c r="M320"/>
      <c r="N320"/>
      <c r="O320"/>
    </row>
    <row r="321" spans="2:15" ht="15.75" hidden="1">
      <c r="B321" s="1">
        <v>3</v>
      </c>
      <c r="C321" s="1">
        <v>3</v>
      </c>
      <c r="D321" s="503"/>
      <c r="E321" s="63"/>
      <c r="F321" s="534" t="str">
        <f>IF(F318=$F$7,$G$4,IF(ROUNDDOWN(F318,0)=$F$4,$H$4,$G$4))</f>
        <v>　レベル　3</v>
      </c>
      <c r="G321" t="s">
        <v>668</v>
      </c>
      <c r="H321"/>
      <c r="I321"/>
      <c r="J321"/>
      <c r="K321" t="str">
        <f>IF(K318=$F$7,$G$4,IF(ROUNDDOWN(K318,0)=$F$4,$H$4,$G$4))</f>
        <v>　レベル　3</v>
      </c>
      <c r="L321" t="s">
        <v>1214</v>
      </c>
      <c r="M321"/>
      <c r="N321"/>
      <c r="O321"/>
    </row>
    <row r="322" spans="2:15" ht="15.75" hidden="1">
      <c r="B322" s="1" t="s">
        <v>1213</v>
      </c>
      <c r="C322" s="1" t="s">
        <v>1213</v>
      </c>
      <c r="D322" s="503"/>
      <c r="E322" s="63"/>
      <c r="F322" s="534" t="str">
        <f>IF(F318=$F$7,$G$5,IF(ROUNDDOWN(F318,0)=$F$5,$H$5,$G$5))</f>
        <v>　レベル　4</v>
      </c>
      <c r="G322" t="s">
        <v>1794</v>
      </c>
      <c r="H322"/>
      <c r="I322"/>
      <c r="J322"/>
      <c r="K322" t="str">
        <f>IF(K318=$F$7,$G$5,IF(ROUNDDOWN(K318,0)=$F$5,$H$5,$G$5))</f>
        <v>　レベル　4</v>
      </c>
      <c r="L322" t="s">
        <v>1794</v>
      </c>
      <c r="M322"/>
      <c r="N322"/>
      <c r="O322"/>
    </row>
    <row r="323" spans="2:15" ht="15.75" hidden="1">
      <c r="B323" s="1">
        <v>5</v>
      </c>
      <c r="C323" s="1">
        <v>5</v>
      </c>
      <c r="D323" s="503"/>
      <c r="E323" s="63"/>
      <c r="F323" s="544" t="str">
        <f>IF(F318=$F$7,$G$6,IF(ROUNDDOWN(F318,0)=$F$6,$H$6,$G$6))</f>
        <v>　レベル　5</v>
      </c>
      <c r="G323" t="s">
        <v>669</v>
      </c>
      <c r="H323"/>
      <c r="I323"/>
      <c r="J323"/>
      <c r="K323" t="str">
        <f>IF(K318=$F$7,$G$6,IF(ROUNDDOWN(K318,0)=$F$6,$H$6,$G$6))</f>
        <v>　レベル　5</v>
      </c>
      <c r="L323" t="s">
        <v>1215</v>
      </c>
      <c r="M323"/>
      <c r="N323"/>
      <c r="O323"/>
    </row>
    <row r="324" spans="2:15" ht="15.75" hidden="1">
      <c r="B324" s="551">
        <v>0</v>
      </c>
      <c r="C324" s="551">
        <v>0</v>
      </c>
      <c r="D324" s="503"/>
      <c r="E324" s="149"/>
      <c r="F324" s="149"/>
      <c r="G324"/>
      <c r="H324"/>
      <c r="I324"/>
      <c r="J324"/>
      <c r="K324"/>
      <c r="L324"/>
      <c r="M324"/>
      <c r="N324"/>
      <c r="O324"/>
    </row>
    <row r="325" spans="2:15" ht="15.75">
      <c r="D325" s="503"/>
      <c r="E325" s="149"/>
      <c r="F325" s="511" t="s">
        <v>2434</v>
      </c>
      <c r="G325"/>
      <c r="H325"/>
      <c r="I325"/>
      <c r="J325" t="str">
        <f>IF(OR(F327=0,AND(J326=0,O326=0)),$L$3,"")</f>
        <v/>
      </c>
      <c r="K325"/>
      <c r="L325"/>
      <c r="M325"/>
      <c r="N325"/>
      <c r="O325"/>
    </row>
    <row r="326" spans="2:15" ht="16.5" thickBot="1">
      <c r="D326" s="503"/>
      <c r="E326" s="149"/>
      <c r="F326" s="515" t="s">
        <v>1087</v>
      </c>
      <c r="G326" s="516"/>
      <c r="H326" s="517"/>
      <c r="I326" s="518" t="s">
        <v>1126</v>
      </c>
      <c r="J326" s="521">
        <f>重み!M42</f>
        <v>1</v>
      </c>
      <c r="K326" s="515" t="s">
        <v>1614</v>
      </c>
      <c r="L326" s="516"/>
      <c r="M326" s="517"/>
      <c r="N326" s="518" t="s">
        <v>1126</v>
      </c>
      <c r="O326" s="521">
        <f>重み!N42</f>
        <v>0.66666666666666663</v>
      </c>
    </row>
    <row r="327" spans="2:15" ht="27" customHeight="1" thickBot="1">
      <c r="D327" s="503"/>
      <c r="E327" s="149"/>
      <c r="F327" s="522">
        <v>3</v>
      </c>
      <c r="G327" s="618" t="s">
        <v>389</v>
      </c>
      <c r="H327" s="527"/>
      <c r="I327" s="618" t="s">
        <v>390</v>
      </c>
      <c r="J327" s="528"/>
      <c r="K327" s="522">
        <v>3</v>
      </c>
      <c r="L327" s="618" t="s">
        <v>740</v>
      </c>
      <c r="M327" s="528"/>
      <c r="N327" s="618"/>
      <c r="O327" s="623"/>
    </row>
    <row r="328" spans="2:15" ht="20.25" customHeight="1">
      <c r="B328" s="1">
        <v>1</v>
      </c>
      <c r="C328" s="1">
        <v>1</v>
      </c>
      <c r="D328" s="503"/>
      <c r="E328" s="149"/>
      <c r="F328" s="529" t="str">
        <f>IF(F327=$F$7,$G$2,IF(ROUNDDOWN(F327,0)=$F$2,$H$2,$G$2))</f>
        <v>　レベル　1</v>
      </c>
      <c r="G328" s="3322" t="s">
        <v>1216</v>
      </c>
      <c r="H328" s="3329"/>
      <c r="I328" s="3322" t="s">
        <v>1216</v>
      </c>
      <c r="J328" s="3329"/>
      <c r="K328" s="529" t="str">
        <f>IF(K327=$F$7,$G$2,IF(ROUNDDOWN(K327,0)=$F$2,$H$2,$G$2))</f>
        <v>　レベル　1</v>
      </c>
      <c r="L328" s="3322" t="s">
        <v>391</v>
      </c>
      <c r="M328" s="3344"/>
      <c r="N328" s="3344"/>
      <c r="O328" s="3329"/>
    </row>
    <row r="329" spans="2:15" ht="33.75" customHeight="1">
      <c r="B329" s="1">
        <v>2</v>
      </c>
      <c r="C329" s="1" t="s">
        <v>2377</v>
      </c>
      <c r="D329" s="503"/>
      <c r="E329" s="149"/>
      <c r="F329" s="534" t="str">
        <f>IF(F327=$F$7,$G$3,IF(ROUNDDOWN(F327,0)=$F$3,$H$3,$G$3))</f>
        <v>　レベル　2</v>
      </c>
      <c r="G329" s="3328" t="s">
        <v>1217</v>
      </c>
      <c r="H329" s="3327"/>
      <c r="I329" s="3328" t="s">
        <v>1794</v>
      </c>
      <c r="J329" s="3327"/>
      <c r="K329" s="534" t="str">
        <f>IF(K327=$F$7,$G$3,IF(ROUNDDOWN(K327,0)=$F$3,$H$3,$G$3))</f>
        <v>　レベル　2</v>
      </c>
      <c r="L329" s="3362" t="s">
        <v>1794</v>
      </c>
      <c r="M329" s="3363"/>
      <c r="N329" s="3363"/>
      <c r="O329" s="3364"/>
    </row>
    <row r="330" spans="2:15" ht="48" customHeight="1">
      <c r="B330" s="1">
        <v>3</v>
      </c>
      <c r="C330" s="1">
        <v>3</v>
      </c>
      <c r="D330" s="503"/>
      <c r="E330" s="149"/>
      <c r="F330" s="534" t="str">
        <f>IF(F327=$F$7,$G$4,IF(ROUNDDOWN(F327,0)=$F$4,$H$4,$G$4))</f>
        <v>■レベル　3</v>
      </c>
      <c r="G330" s="3328" t="s">
        <v>1218</v>
      </c>
      <c r="H330" s="3327"/>
      <c r="I330" s="3328" t="s">
        <v>1219</v>
      </c>
      <c r="J330" s="3327"/>
      <c r="K330" s="534" t="str">
        <f>IF(K327=$F$7,$G$4,IF(ROUNDDOWN(K327,0)=$F$4,$H$4,$G$4))</f>
        <v>■レベル　3</v>
      </c>
      <c r="L330" s="3362" t="s">
        <v>1219</v>
      </c>
      <c r="M330" s="3363"/>
      <c r="N330" s="3363"/>
      <c r="O330" s="3364"/>
    </row>
    <row r="331" spans="2:15" ht="55.5" customHeight="1">
      <c r="B331" s="1">
        <v>4</v>
      </c>
      <c r="C331" s="1">
        <v>4</v>
      </c>
      <c r="D331" s="503"/>
      <c r="E331" s="149"/>
      <c r="F331" s="534" t="str">
        <f>IF(F327=$F$7,$G$5,IF(ROUNDDOWN(F327,0)=$F$5,$H$5,$G$5))</f>
        <v>　レベル　4</v>
      </c>
      <c r="G331" s="3328" t="s">
        <v>1220</v>
      </c>
      <c r="H331" s="3327"/>
      <c r="I331" s="3328" t="s">
        <v>1221</v>
      </c>
      <c r="J331" s="3327"/>
      <c r="K331" s="534" t="str">
        <f>IF(K327=$F$7,$G$5,IF(ROUNDDOWN(K327,0)=$F$5,$H$5,$G$5))</f>
        <v>　レベル　4</v>
      </c>
      <c r="L331" s="3362" t="s">
        <v>1221</v>
      </c>
      <c r="M331" s="3363"/>
      <c r="N331" s="3363"/>
      <c r="O331" s="3364"/>
    </row>
    <row r="332" spans="2:15" ht="42.75" customHeight="1">
      <c r="B332" s="1">
        <v>5</v>
      </c>
      <c r="C332" s="1">
        <v>5</v>
      </c>
      <c r="D332" s="503"/>
      <c r="E332" s="149"/>
      <c r="F332" s="544" t="str">
        <f>IF(F327=$F$7,$G$6,IF(ROUNDDOWN(F327,0)=$F$6,$H$6,$G$6))</f>
        <v>　レベル　5</v>
      </c>
      <c r="G332" s="3332" t="s">
        <v>11</v>
      </c>
      <c r="H332" s="3325"/>
      <c r="I332" s="3332" t="s">
        <v>1222</v>
      </c>
      <c r="J332" s="3325"/>
      <c r="K332" s="544" t="str">
        <f>IF(K327=$F$7,$G$6,IF(ROUNDDOWN(K327,0)=$F$6,$H$6,$G$6))</f>
        <v>　レベル　5</v>
      </c>
      <c r="L332" s="3353" t="s">
        <v>1222</v>
      </c>
      <c r="M332" s="3373"/>
      <c r="N332" s="3373"/>
      <c r="O332" s="3374"/>
    </row>
    <row r="333" spans="2:15" ht="15.75">
      <c r="B333" s="551">
        <v>0</v>
      </c>
      <c r="C333" s="551">
        <v>0</v>
      </c>
      <c r="D333" s="503"/>
      <c r="E333" s="149"/>
      <c r="F333" s="839" t="s">
        <v>2938</v>
      </c>
      <c r="G333" s="1941"/>
      <c r="H333" s="1917"/>
      <c r="I333" s="1915"/>
      <c r="J333" s="1916"/>
      <c r="K333" s="2094" t="s">
        <v>3287</v>
      </c>
      <c r="L333" s="1231"/>
      <c r="M333"/>
      <c r="N333"/>
      <c r="O333"/>
    </row>
    <row r="334" spans="2:15" ht="15.75">
      <c r="B334" s="870"/>
      <c r="C334" s="870"/>
      <c r="D334" s="503"/>
      <c r="E334" s="149"/>
      <c r="F334" s="149"/>
      <c r="G334"/>
      <c r="H334"/>
      <c r="I334"/>
      <c r="J334"/>
      <c r="K334"/>
      <c r="L334"/>
      <c r="M334"/>
      <c r="N334"/>
      <c r="O334"/>
    </row>
    <row r="335" spans="2:15" ht="15.75">
      <c r="D335" s="503"/>
      <c r="E335" s="149"/>
      <c r="F335" s="511" t="s">
        <v>2435</v>
      </c>
      <c r="G335"/>
      <c r="H335"/>
      <c r="I335"/>
      <c r="J335" t="str">
        <f>IF(OR(F337=0,J336=0),$L$3,"")</f>
        <v>&lt;評価しない&gt;</v>
      </c>
      <c r="K335"/>
      <c r="L335"/>
      <c r="M335"/>
      <c r="N335"/>
      <c r="O335"/>
    </row>
    <row r="336" spans="2:15" ht="16.5" hidden="1" thickBot="1">
      <c r="D336" s="503"/>
      <c r="E336" s="149"/>
      <c r="F336" s="515" t="s">
        <v>235</v>
      </c>
      <c r="G336" s="516"/>
      <c r="H336" s="517"/>
      <c r="I336" s="518" t="s">
        <v>1126</v>
      </c>
      <c r="J336" s="521">
        <f>重み!M43</f>
        <v>0</v>
      </c>
      <c r="K336"/>
      <c r="L336"/>
      <c r="M336"/>
      <c r="N336"/>
      <c r="O336"/>
    </row>
    <row r="337" spans="2:15" ht="16.5" hidden="1" thickBot="1">
      <c r="B337" s="670" t="s">
        <v>638</v>
      </c>
      <c r="D337" s="503"/>
      <c r="E337" s="149"/>
      <c r="F337" s="522">
        <v>0</v>
      </c>
      <c r="G337" s="618" t="s">
        <v>393</v>
      </c>
      <c r="H337" s="527"/>
      <c r="I337" s="527"/>
      <c r="J337" s="528"/>
      <c r="K337"/>
      <c r="L337"/>
      <c r="M337"/>
      <c r="N337"/>
      <c r="O337"/>
    </row>
    <row r="338" spans="2:15" ht="15.75" hidden="1">
      <c r="B338" s="1">
        <v>1</v>
      </c>
      <c r="D338" s="503"/>
      <c r="E338" s="149"/>
      <c r="F338" s="529" t="str">
        <f>IF(F337=$F$7,$G$2,IF(ROUNDDOWN(F337,0)=$F$2,$H$2,$G$2))</f>
        <v>　レベル　1</v>
      </c>
      <c r="G338" s="1263" t="s">
        <v>1223</v>
      </c>
      <c r="H338" s="698"/>
      <c r="I338" s="698"/>
      <c r="J338" s="699"/>
      <c r="K338"/>
      <c r="L338"/>
      <c r="M338"/>
      <c r="N338"/>
      <c r="O338"/>
    </row>
    <row r="339" spans="2:15" ht="15.75" hidden="1">
      <c r="B339" s="1" t="s">
        <v>2377</v>
      </c>
      <c r="D339" s="503"/>
      <c r="E339" s="149"/>
      <c r="F339" s="534" t="str">
        <f>IF(F337=$F$7,$G$3,IF(ROUNDDOWN(F337,0)=$F$3,$H$3,$G$3))</f>
        <v>　レベル　2</v>
      </c>
      <c r="G339" s="662" t="s">
        <v>1794</v>
      </c>
      <c r="H339" s="1702"/>
      <c r="I339" s="1702"/>
      <c r="J339" s="1703"/>
      <c r="K339"/>
      <c r="L339"/>
      <c r="M339"/>
      <c r="N339"/>
      <c r="O339"/>
    </row>
    <row r="340" spans="2:15" ht="15.75" hidden="1">
      <c r="B340" s="1">
        <v>3</v>
      </c>
      <c r="D340" s="503"/>
      <c r="E340" s="149"/>
      <c r="F340" s="534" t="str">
        <f>IF(F337=$F$7,$G$4,IF(ROUNDDOWN(F337,0)=$F$4,$H$4,$G$4))</f>
        <v>　レベル　3</v>
      </c>
      <c r="G340" s="662" t="s">
        <v>1224</v>
      </c>
      <c r="H340" s="1702"/>
      <c r="I340" s="1702"/>
      <c r="J340" s="1703"/>
      <c r="K340"/>
      <c r="L340"/>
      <c r="M340"/>
      <c r="N340"/>
      <c r="O340"/>
    </row>
    <row r="341" spans="2:15" ht="15.75" hidden="1">
      <c r="B341" s="1" t="s">
        <v>2377</v>
      </c>
      <c r="D341" s="503"/>
      <c r="E341" s="149"/>
      <c r="F341" s="534" t="str">
        <f>IF(F337=$F$7,$G$5,IF(ROUNDDOWN(F337,0)=$F$5,$H$5,$G$5))</f>
        <v>　レベル　4</v>
      </c>
      <c r="G341" s="662" t="s">
        <v>1794</v>
      </c>
      <c r="H341" s="1702"/>
      <c r="I341" s="1702"/>
      <c r="J341" s="1703"/>
      <c r="K341"/>
      <c r="L341"/>
      <c r="M341"/>
      <c r="N341"/>
      <c r="O341"/>
    </row>
    <row r="342" spans="2:15" ht="15.75" hidden="1">
      <c r="B342" s="1">
        <v>5</v>
      </c>
      <c r="D342" s="503"/>
      <c r="E342" s="149"/>
      <c r="F342" s="544" t="str">
        <f>IF(F337=$F$7,$G$6,IF(ROUNDDOWN(F337,0)=$F$6,$H$6,$G$6))</f>
        <v>　レベル　5</v>
      </c>
      <c r="G342" s="810" t="s">
        <v>1225</v>
      </c>
      <c r="H342" s="1704"/>
      <c r="I342" s="1704"/>
      <c r="J342" s="1705"/>
      <c r="K342"/>
      <c r="L342"/>
      <c r="M342"/>
      <c r="N342"/>
      <c r="O342"/>
    </row>
    <row r="343" spans="2:15" ht="15.75" hidden="1">
      <c r="B343" s="551">
        <v>0</v>
      </c>
      <c r="D343" s="503"/>
      <c r="E343" s="149"/>
      <c r="F343" s="839" t="s">
        <v>2938</v>
      </c>
      <c r="G343" s="1941"/>
      <c r="H343" s="1917"/>
      <c r="I343" s="1915"/>
      <c r="J343" s="1916"/>
      <c r="K343" s="1918" t="s">
        <v>2939</v>
      </c>
      <c r="L343" s="1231"/>
      <c r="M343"/>
      <c r="N343"/>
      <c r="O343"/>
    </row>
    <row r="344" spans="2:15" ht="15.75" hidden="1">
      <c r="D344" s="503"/>
      <c r="E344" s="149"/>
      <c r="F344" s="149"/>
      <c r="G344" t="s">
        <v>394</v>
      </c>
      <c r="H344"/>
      <c r="I344"/>
      <c r="J344"/>
      <c r="K344"/>
      <c r="L344"/>
      <c r="M344"/>
      <c r="N344"/>
      <c r="O344"/>
    </row>
    <row r="345" spans="2:15" ht="15.75" hidden="1">
      <c r="D345" s="503"/>
      <c r="E345" s="149"/>
      <c r="F345" s="149"/>
      <c r="G345" s="672" t="s">
        <v>395</v>
      </c>
      <c r="H345" s="672" t="s">
        <v>1226</v>
      </c>
      <c r="I345" s="673"/>
      <c r="J345" s="673"/>
      <c r="K345" s="673"/>
      <c r="L345" s="673"/>
      <c r="M345" s="674"/>
      <c r="N345"/>
      <c r="O345"/>
    </row>
    <row r="346" spans="2:15" ht="15.75" hidden="1">
      <c r="D346" s="503"/>
      <c r="E346" s="149"/>
      <c r="F346" s="149"/>
      <c r="G346" s="672" t="s">
        <v>396</v>
      </c>
      <c r="H346" s="672" t="s">
        <v>397</v>
      </c>
      <c r="I346" s="673"/>
      <c r="J346" s="673"/>
      <c r="K346" s="673"/>
      <c r="L346" s="673"/>
      <c r="M346" s="674"/>
      <c r="N346"/>
      <c r="O346"/>
    </row>
    <row r="347" spans="2:15" ht="15.75" hidden="1">
      <c r="D347" s="503"/>
      <c r="E347" s="149"/>
      <c r="F347" s="149"/>
      <c r="G347" s="672" t="s">
        <v>398</v>
      </c>
      <c r="H347" s="672" t="s">
        <v>399</v>
      </c>
      <c r="I347" s="673"/>
      <c r="J347" s="673"/>
      <c r="K347" s="673"/>
      <c r="L347" s="673"/>
      <c r="M347" s="674"/>
      <c r="N347"/>
      <c r="O347"/>
    </row>
    <row r="348" spans="2:15" hidden="1">
      <c r="D348"/>
      <c r="E348"/>
      <c r="F348"/>
      <c r="G348" s="672" t="s">
        <v>400</v>
      </c>
      <c r="H348" s="672" t="s">
        <v>401</v>
      </c>
      <c r="I348" s="672"/>
      <c r="J348" s="673"/>
      <c r="K348" s="673"/>
      <c r="L348" s="673"/>
      <c r="M348" s="674"/>
      <c r="N348"/>
      <c r="O348"/>
    </row>
    <row r="349" spans="2:15">
      <c r="D349"/>
      <c r="E349"/>
      <c r="F349"/>
      <c r="G349"/>
      <c r="H349"/>
      <c r="I349"/>
      <c r="J349"/>
      <c r="K349"/>
      <c r="L349"/>
      <c r="M349"/>
      <c r="N349"/>
      <c r="O349"/>
    </row>
    <row r="350" spans="2:15" ht="15.75">
      <c r="D350" s="499">
        <v>3.3</v>
      </c>
      <c r="E350" s="510" t="s">
        <v>816</v>
      </c>
      <c r="F350" s="629"/>
      <c r="G350"/>
      <c r="H350"/>
      <c r="I350"/>
      <c r="J350" t="str">
        <f>IF(OR(F352=0,AND(J351=0,O351=0)),$L$3,"")</f>
        <v/>
      </c>
      <c r="K350"/>
      <c r="L350"/>
      <c r="M350"/>
      <c r="N350"/>
      <c r="O350"/>
    </row>
    <row r="351" spans="2:15" ht="16.5" thickBot="1">
      <c r="D351" s="503"/>
      <c r="E351" s="63"/>
      <c r="F351" s="1365" t="s">
        <v>1227</v>
      </c>
      <c r="G351" s="631"/>
      <c r="H351" s="632"/>
      <c r="I351" s="518" t="s">
        <v>1126</v>
      </c>
      <c r="J351" s="516">
        <f>重み!M44</f>
        <v>0.15</v>
      </c>
      <c r="K351" s="631"/>
      <c r="L351" s="633"/>
      <c r="M351" s="1366" t="s">
        <v>1614</v>
      </c>
      <c r="N351" s="518" t="s">
        <v>1126</v>
      </c>
      <c r="O351" s="520">
        <f>重み!N44</f>
        <v>9.9999999999999992E-2</v>
      </c>
    </row>
    <row r="352" spans="2:15" ht="27" customHeight="1" thickBot="1">
      <c r="D352" s="503"/>
      <c r="E352" s="63"/>
      <c r="F352" s="522">
        <v>3</v>
      </c>
      <c r="G352" s="618" t="s">
        <v>2550</v>
      </c>
      <c r="H352" s="528"/>
      <c r="I352" s="623" t="s">
        <v>1228</v>
      </c>
      <c r="J352" s="635" t="s">
        <v>1229</v>
      </c>
      <c r="K352" s="635" t="s">
        <v>1230</v>
      </c>
      <c r="L352" s="636" t="s">
        <v>1552</v>
      </c>
      <c r="M352" s="522">
        <v>0</v>
      </c>
      <c r="N352" s="618" t="s">
        <v>1231</v>
      </c>
      <c r="O352" s="637" t="s">
        <v>402</v>
      </c>
    </row>
    <row r="353" spans="2:15" ht="22.5" customHeight="1">
      <c r="B353" s="1">
        <v>1</v>
      </c>
      <c r="C353" s="1">
        <v>1</v>
      </c>
      <c r="D353" s="503"/>
      <c r="E353" s="63"/>
      <c r="F353" s="529" t="str">
        <f>IF(F352=$F$7,$G$2,IF(ROUNDDOWN(F352,0)=$F$2,$H$2,$G$2))</f>
        <v>　レベル　1</v>
      </c>
      <c r="G353" s="3322" t="s">
        <v>1498</v>
      </c>
      <c r="H353" s="3329"/>
      <c r="I353" s="675" t="s">
        <v>883</v>
      </c>
      <c r="J353" s="582" t="s">
        <v>884</v>
      </c>
      <c r="K353" s="675" t="s">
        <v>885</v>
      </c>
      <c r="L353" s="675" t="s">
        <v>885</v>
      </c>
      <c r="M353" s="529" t="str">
        <f>IF(M352=$F$7,$G$2,IF(ROUNDDOWN(M352,0)=$F$2,$H$2,$G$2))</f>
        <v>　レベル　1</v>
      </c>
      <c r="N353" s="530" t="s">
        <v>886</v>
      </c>
      <c r="O353" s="676" t="s">
        <v>885</v>
      </c>
    </row>
    <row r="354" spans="2:15" ht="32.25" customHeight="1">
      <c r="B354" s="1">
        <v>2</v>
      </c>
      <c r="C354" s="1" t="s">
        <v>2375</v>
      </c>
      <c r="D354" s="503"/>
      <c r="E354" s="63"/>
      <c r="F354" s="534" t="str">
        <f>IF(F352=$F$7,$G$3,IF(ROUNDDOWN(F352,0)=$F$3,$H$3,$G$3))</f>
        <v>　レベル　2</v>
      </c>
      <c r="G354" s="3328" t="s">
        <v>10</v>
      </c>
      <c r="H354" s="3372"/>
      <c r="I354" s="2214" t="s">
        <v>1794</v>
      </c>
      <c r="J354" s="2214" t="s">
        <v>1794</v>
      </c>
      <c r="K354" s="2214" t="s">
        <v>1794</v>
      </c>
      <c r="L354" s="2214" t="s">
        <v>1794</v>
      </c>
      <c r="M354" s="534" t="str">
        <f>IF(M352=$F$7,$G$3,IF(ROUNDDOWN(M352,0)=$F$3,$H$3,$G$3))</f>
        <v>　レベル　2</v>
      </c>
      <c r="N354" s="2214" t="s">
        <v>1794</v>
      </c>
      <c r="O354" s="2214" t="s">
        <v>1794</v>
      </c>
    </row>
    <row r="355" spans="2:15" ht="91.5" customHeight="1">
      <c r="B355" s="1">
        <v>3</v>
      </c>
      <c r="C355" s="1">
        <v>3</v>
      </c>
      <c r="D355" s="503"/>
      <c r="E355" s="63"/>
      <c r="F355" s="534" t="str">
        <f>IF(F352=$F$7,$G$4,IF(ROUNDDOWN(F352,0)=$F$4,$H$4,$G$4))</f>
        <v>■レベル　3</v>
      </c>
      <c r="G355" s="3328" t="s">
        <v>306</v>
      </c>
      <c r="H355" s="3372"/>
      <c r="I355" s="677" t="s">
        <v>887</v>
      </c>
      <c r="J355" s="536" t="s">
        <v>888</v>
      </c>
      <c r="K355" s="677" t="s">
        <v>889</v>
      </c>
      <c r="L355" s="677" t="s">
        <v>889</v>
      </c>
      <c r="M355" s="534" t="str">
        <f>IF(M352=$F$7,$G$4,IF(ROUNDDOWN(M352,0)=$F$4,$H$4,$G$4))</f>
        <v>　レベル　3</v>
      </c>
      <c r="N355" s="536" t="s">
        <v>888</v>
      </c>
      <c r="O355" s="540" t="s">
        <v>889</v>
      </c>
    </row>
    <row r="356" spans="2:15" ht="99.75" customHeight="1">
      <c r="B356" s="1">
        <v>4</v>
      </c>
      <c r="C356" s="1">
        <v>4</v>
      </c>
      <c r="D356" s="503"/>
      <c r="E356" s="63"/>
      <c r="F356" s="534" t="str">
        <f>IF(F352=$F$7,$G$5,IF(ROUNDDOWN(F352,0)=$F$5,$H$5,$G$5))</f>
        <v>　レベル　4</v>
      </c>
      <c r="G356" s="3328" t="s">
        <v>305</v>
      </c>
      <c r="H356" s="3372"/>
      <c r="I356" s="641" t="s">
        <v>890</v>
      </c>
      <c r="J356" s="541" t="s">
        <v>403</v>
      </c>
      <c r="K356" s="2214" t="s">
        <v>1794</v>
      </c>
      <c r="L356" s="641" t="s">
        <v>404</v>
      </c>
      <c r="M356" s="534" t="str">
        <f>IF(M352=$F$7,$G$5,IF(ROUNDDOWN(M352,0)=$F$5,$H$5,$G$5))</f>
        <v>　レベル　4</v>
      </c>
      <c r="N356" s="536" t="s">
        <v>404</v>
      </c>
      <c r="O356" s="2214" t="s">
        <v>1794</v>
      </c>
    </row>
    <row r="357" spans="2:15" ht="115.5" customHeight="1">
      <c r="B357" s="1">
        <v>5</v>
      </c>
      <c r="C357" s="1">
        <v>5</v>
      </c>
      <c r="D357" s="503"/>
      <c r="E357" s="63"/>
      <c r="F357" s="544" t="str">
        <f>IF(F352=$F$7,$G$6,IF(ROUNDDOWN(F352,0)=$F$6,$H$6,$G$6))</f>
        <v>　レベル　5</v>
      </c>
      <c r="G357" s="3332" t="s">
        <v>2721</v>
      </c>
      <c r="H357" s="3356"/>
      <c r="I357" s="2215" t="s">
        <v>1794</v>
      </c>
      <c r="J357" s="2215" t="s">
        <v>1794</v>
      </c>
      <c r="K357" s="2215" t="s">
        <v>1794</v>
      </c>
      <c r="L357" s="2215" t="s">
        <v>1794</v>
      </c>
      <c r="M357" s="544" t="str">
        <f>IF(M352=$F$7,$G$6,IF(ROUNDDOWN(M352,0)=$F$6,$H$6,$G$6))</f>
        <v>　レベル　5</v>
      </c>
      <c r="N357" s="2215" t="s">
        <v>1794</v>
      </c>
      <c r="O357" s="651" t="s">
        <v>2394</v>
      </c>
    </row>
    <row r="358" spans="2:15" ht="15.75" hidden="1">
      <c r="B358" s="551">
        <v>0</v>
      </c>
      <c r="C358" s="551">
        <v>0</v>
      </c>
      <c r="D358" s="503"/>
      <c r="E358" s="149"/>
      <c r="F358" s="149"/>
      <c r="G358" s="669"/>
      <c r="H358" s="669"/>
      <c r="I358" s="669"/>
      <c r="J358" s="669"/>
      <c r="K358" s="678"/>
      <c r="L358" s="678"/>
      <c r="M358" s="678"/>
      <c r="N358" s="678"/>
      <c r="O358" s="678"/>
    </row>
    <row r="359" spans="2:15" ht="15.75" hidden="1">
      <c r="D359" s="503"/>
      <c r="E359" s="149"/>
      <c r="F359" s="629" t="s">
        <v>2395</v>
      </c>
      <c r="G359" s="679"/>
      <c r="H359" s="680"/>
      <c r="I359" s="681" t="s">
        <v>1126</v>
      </c>
      <c r="J359" s="520">
        <f>重み!M46</f>
        <v>0</v>
      </c>
      <c r="K359" s="601"/>
      <c r="L359" s="679"/>
      <c r="M359" s="680"/>
      <c r="N359" s="681" t="s">
        <v>1126</v>
      </c>
      <c r="O359" s="520">
        <f>重み!N46</f>
        <v>0</v>
      </c>
    </row>
    <row r="360" spans="2:15" ht="15.75" hidden="1">
      <c r="D360" s="503"/>
      <c r="E360" s="149"/>
      <c r="F360" s="3388">
        <v>3</v>
      </c>
      <c r="G360" s="682" t="s">
        <v>1656</v>
      </c>
      <c r="H360" s="517"/>
      <c r="I360" s="517"/>
      <c r="J360" s="682"/>
      <c r="K360" s="3388">
        <v>3</v>
      </c>
      <c r="L360" s="526" t="s">
        <v>1614</v>
      </c>
      <c r="M360" s="527"/>
      <c r="N360" s="527"/>
      <c r="O360" s="528"/>
    </row>
    <row r="361" spans="2:15" ht="16.5" hidden="1" thickBot="1">
      <c r="D361" s="503"/>
      <c r="E361" s="149"/>
      <c r="F361" s="3389"/>
      <c r="G361" s="618" t="s">
        <v>2396</v>
      </c>
      <c r="H361" s="528"/>
      <c r="I361" s="618"/>
      <c r="J361" s="623"/>
      <c r="K361" s="3389"/>
      <c r="L361" s="618" t="s">
        <v>891</v>
      </c>
      <c r="M361" s="528"/>
      <c r="N361" s="618"/>
      <c r="O361" s="623"/>
    </row>
    <row r="362" spans="2:15" ht="15.75" hidden="1" customHeight="1">
      <c r="D362" s="503"/>
      <c r="E362" s="149"/>
      <c r="F362" s="683" t="str">
        <f>IF(F360=$F$7,$G$2,IF(ROUNDDOWN(F360,0)=$F$2,$H$2,$G$2))</f>
        <v>　レベル　1</v>
      </c>
      <c r="G362" s="3322" t="s">
        <v>1543</v>
      </c>
      <c r="H362" s="3344"/>
      <c r="I362" s="3344"/>
      <c r="J362" s="3329"/>
      <c r="K362" s="529" t="str">
        <f>IF(K360=$F$7,$G$2,IF(ROUNDDOWN(K360,0)=$F$2,$H$2,$G$2))</f>
        <v>　レベル　1</v>
      </c>
      <c r="L362" s="3322" t="s">
        <v>1543</v>
      </c>
      <c r="M362" s="3344"/>
      <c r="N362" s="3344"/>
      <c r="O362" s="3329"/>
    </row>
    <row r="363" spans="2:15" ht="15.75" hidden="1" customHeight="1">
      <c r="D363" s="503"/>
      <c r="E363" s="149"/>
      <c r="F363" s="684" t="str">
        <f>IF(F360=$F$7,$G$3,IF(ROUNDDOWN(F360,0)=$F$3,$H$3,$G$3))</f>
        <v>　レベル　2</v>
      </c>
      <c r="G363" s="3362" t="s">
        <v>2006</v>
      </c>
      <c r="H363" s="3363"/>
      <c r="I363" s="3363"/>
      <c r="J363" s="3364"/>
      <c r="K363" s="534" t="str">
        <f>IF(K360=$F$7,$G$3,IF(ROUNDDOWN(K360,0)=$F$3,$H$3,$G$3))</f>
        <v>　レベル　2</v>
      </c>
      <c r="L363" s="3362" t="s">
        <v>2006</v>
      </c>
      <c r="M363" s="3363"/>
      <c r="N363" s="3363"/>
      <c r="O363" s="3364"/>
    </row>
    <row r="364" spans="2:15" ht="15.75" hidden="1" customHeight="1">
      <c r="D364" s="503"/>
      <c r="E364" s="149"/>
      <c r="F364" s="684" t="str">
        <f>IF(F360=$F$7,$G$4,IF(ROUNDDOWN(F360,0)=$F$4,$H$4,$G$4))</f>
        <v>■レベル　3</v>
      </c>
      <c r="G364" s="3362" t="s">
        <v>2397</v>
      </c>
      <c r="H364" s="3363"/>
      <c r="I364" s="3363"/>
      <c r="J364" s="3364"/>
      <c r="K364" s="534" t="str">
        <f>IF(K360=$F$7,$G$4,IF(ROUNDDOWN(K360,0)=$F$4,$H$4,$G$4))</f>
        <v>■レベル　3</v>
      </c>
      <c r="L364" s="3362" t="s">
        <v>2397</v>
      </c>
      <c r="M364" s="3363"/>
      <c r="N364" s="3363"/>
      <c r="O364" s="3364"/>
    </row>
    <row r="365" spans="2:15" ht="15.75" hidden="1">
      <c r="D365" s="503"/>
      <c r="E365" s="149"/>
      <c r="F365" s="684" t="str">
        <f>IF(F360=$F$7,$G$5,IF(ROUNDDOWN(F360,0)=$F$5,$H$5,$G$5))</f>
        <v>　レベル　4</v>
      </c>
      <c r="G365" s="3362" t="s">
        <v>2007</v>
      </c>
      <c r="H365" s="3363"/>
      <c r="I365" s="3363"/>
      <c r="J365" s="3364"/>
      <c r="K365" s="534" t="str">
        <f>IF(K360=$F$7,$G$5,IF(ROUNDDOWN(K360,0)=$F$5,$H$5,$G$5))</f>
        <v>　レベル　4</v>
      </c>
      <c r="L365" s="3362" t="s">
        <v>2007</v>
      </c>
      <c r="M365" s="3363"/>
      <c r="N365" s="3363"/>
      <c r="O365" s="3364"/>
    </row>
    <row r="366" spans="2:15" ht="15.75" hidden="1" customHeight="1">
      <c r="D366" s="503"/>
      <c r="E366" s="149"/>
      <c r="F366" s="685" t="str">
        <f>IF(F360=$F$7,$G$6,IF(ROUNDDOWN(F360,0)=$F$6,$H$6,$G$6))</f>
        <v>　レベル　5</v>
      </c>
      <c r="G366" s="3353" t="s">
        <v>2398</v>
      </c>
      <c r="H366" s="3373"/>
      <c r="I366" s="3373"/>
      <c r="J366" s="3374"/>
      <c r="K366" s="544" t="str">
        <f>IF(K360=$F$7,$G$6,IF(ROUNDDOWN(K360,0)=$F$6,$H$6,$G$6))</f>
        <v>　レベル　5</v>
      </c>
      <c r="L366" s="3353" t="s">
        <v>2398</v>
      </c>
      <c r="M366" s="3373"/>
      <c r="N366" s="3373"/>
      <c r="O366" s="3374"/>
    </row>
    <row r="367" spans="2:15" ht="15.75">
      <c r="D367" s="503"/>
      <c r="E367" s="149"/>
      <c r="F367" s="839" t="s">
        <v>2938</v>
      </c>
      <c r="G367" s="1941"/>
      <c r="H367" s="1917"/>
      <c r="I367" s="1915"/>
      <c r="J367" s="1916"/>
      <c r="K367" s="1918"/>
      <c r="L367" s="1231"/>
      <c r="M367"/>
      <c r="N367"/>
      <c r="O367"/>
    </row>
    <row r="368" spans="2:15" ht="15.75">
      <c r="D368" s="503"/>
      <c r="E368" s="149"/>
      <c r="F368" s="149"/>
      <c r="G368"/>
      <c r="H368"/>
      <c r="I368"/>
      <c r="J368"/>
      <c r="K368"/>
      <c r="L368"/>
      <c r="M368"/>
      <c r="N368"/>
      <c r="O368"/>
    </row>
    <row r="369" spans="2:15" ht="15.75">
      <c r="D369" s="499">
        <v>3.4</v>
      </c>
      <c r="E369" s="508" t="s">
        <v>818</v>
      </c>
      <c r="F369" s="511"/>
      <c r="G369"/>
      <c r="H369"/>
      <c r="I369"/>
      <c r="J369" t="str">
        <f>IF(OR(F371=0,AND(J370=0,O370=0)),$L$3,"")</f>
        <v/>
      </c>
      <c r="K369"/>
      <c r="L369"/>
      <c r="M369"/>
      <c r="N369"/>
      <c r="O369"/>
    </row>
    <row r="370" spans="2:15" ht="16.5" thickBot="1">
      <c r="D370" s="503"/>
      <c r="E370" s="500"/>
      <c r="F370" s="515" t="s">
        <v>1087</v>
      </c>
      <c r="G370" s="516"/>
      <c r="H370" s="517"/>
      <c r="I370" s="518" t="s">
        <v>1126</v>
      </c>
      <c r="J370" s="521">
        <f>重み!M47</f>
        <v>0.25</v>
      </c>
      <c r="K370" s="515" t="s">
        <v>1614</v>
      </c>
      <c r="L370" s="516"/>
      <c r="M370" s="517"/>
      <c r="N370" s="518" t="s">
        <v>1126</v>
      </c>
      <c r="O370" s="521">
        <f>重み!N47</f>
        <v>0.16666666666666666</v>
      </c>
    </row>
    <row r="371" spans="2:15" ht="23.25" thickBot="1">
      <c r="D371" s="503"/>
      <c r="E371" s="500"/>
      <c r="F371" s="522">
        <v>3</v>
      </c>
      <c r="G371" s="1463" t="s">
        <v>2551</v>
      </c>
      <c r="H371" s="1464"/>
      <c r="I371" s="1470" t="s">
        <v>1127</v>
      </c>
      <c r="J371" s="1472" t="s">
        <v>1089</v>
      </c>
      <c r="K371" s="522">
        <v>0</v>
      </c>
      <c r="L371" s="618" t="s">
        <v>2008</v>
      </c>
      <c r="M371" s="528"/>
      <c r="N371" s="618" t="s">
        <v>402</v>
      </c>
      <c r="O371" s="623"/>
    </row>
    <row r="372" spans="2:15" ht="15.75" hidden="1" customHeight="1">
      <c r="B372" s="1">
        <v>1</v>
      </c>
      <c r="C372" s="1">
        <v>1</v>
      </c>
      <c r="D372" s="503"/>
      <c r="E372" s="500"/>
      <c r="F372" s="646"/>
      <c r="G372" s="618" t="s">
        <v>1040</v>
      </c>
      <c r="H372" s="527"/>
      <c r="I372" s="580"/>
      <c r="J372" s="1467" t="s">
        <v>2553</v>
      </c>
      <c r="K372" s="646"/>
      <c r="L372" s="527" t="s">
        <v>1040</v>
      </c>
      <c r="M372" s="527"/>
      <c r="N372" s="527"/>
      <c r="O372" s="528"/>
    </row>
    <row r="373" spans="2:15" ht="36.75" hidden="1" customHeight="1">
      <c r="B373" s="1" t="s">
        <v>2375</v>
      </c>
      <c r="C373" s="1" t="s">
        <v>2375</v>
      </c>
      <c r="D373" s="503"/>
      <c r="E373" s="500"/>
      <c r="F373" s="534" t="str">
        <f>IF(F371=$F$7,$G$2,IF(AND($O$9=$O$3,ROUNDDOWN(F371,0)=$F$2),$H$2,$G$2))</f>
        <v>　レベル　1</v>
      </c>
      <c r="G373" s="3322" t="s">
        <v>2009</v>
      </c>
      <c r="H373" s="3344"/>
      <c r="I373" s="582" t="s">
        <v>2399</v>
      </c>
      <c r="J373" s="1468"/>
      <c r="K373" s="534" t="str">
        <f>IF(K371=$F$7,$G$2,IF(AND($O$9=$O$3,ROUNDDOWN(K371,0)=$F$2),$H$2,$G$2))</f>
        <v>　レベル　1</v>
      </c>
      <c r="L373" s="3322" t="s">
        <v>2400</v>
      </c>
      <c r="M373" s="3329"/>
      <c r="N373" s="3322" t="s">
        <v>2400</v>
      </c>
      <c r="O373" s="3342"/>
    </row>
    <row r="374" spans="2:15" ht="15.75" hidden="1" customHeight="1">
      <c r="B374" s="1">
        <v>3</v>
      </c>
      <c r="C374" s="1">
        <v>3</v>
      </c>
      <c r="D374" s="503"/>
      <c r="E374" s="500"/>
      <c r="F374" s="534" t="str">
        <f>IF(F371=$F$7,$G$3,IF(AND($O$9=$O$3,ROUNDDOWN(F371,0)=$F$3),$H$3,$G$3))</f>
        <v>　レベル　2</v>
      </c>
      <c r="G374" s="3328" t="s">
        <v>1794</v>
      </c>
      <c r="H374" s="3345"/>
      <c r="I374" s="541" t="s">
        <v>1794</v>
      </c>
      <c r="J374" s="1468"/>
      <c r="K374" s="534" t="str">
        <f>IF(K371=$F$7,$G$3,IF(AND($O$9=$O$3,ROUNDDOWN(K371,0)=$F$3),$H$3,$G$3))</f>
        <v>　レベル　2</v>
      </c>
      <c r="L374" s="3328" t="s">
        <v>1794</v>
      </c>
      <c r="M374" s="3327"/>
      <c r="N374" s="3328" t="s">
        <v>1794</v>
      </c>
      <c r="O374" s="3327"/>
    </row>
    <row r="375" spans="2:15" ht="42" hidden="1" customHeight="1">
      <c r="B375" s="1" t="s">
        <v>2375</v>
      </c>
      <c r="C375" s="1" t="s">
        <v>2375</v>
      </c>
      <c r="D375" s="503"/>
      <c r="E375" s="500"/>
      <c r="F375" s="534" t="str">
        <f>IF(F371=$F$7,$G$4,IF(AND($O$9=$O$3,ROUNDDOWN(F371,0)=$F$4),$H$4,$G$4))</f>
        <v>　レベル　3</v>
      </c>
      <c r="G375" s="3328" t="s">
        <v>2010</v>
      </c>
      <c r="H375" s="3345"/>
      <c r="I375" s="541" t="s">
        <v>2011</v>
      </c>
      <c r="J375" s="1468"/>
      <c r="K375" s="534" t="str">
        <f>IF(K371=$F$7,$G$4,IF(AND($O$9=$O$3,ROUNDDOWN(K371,0)=$F$4),$H$4,$G$4))</f>
        <v>　レベル　3</v>
      </c>
      <c r="L375" s="3328" t="s">
        <v>2401</v>
      </c>
      <c r="M375" s="3327"/>
      <c r="N375" s="3328" t="s">
        <v>2402</v>
      </c>
      <c r="O375" s="3327"/>
    </row>
    <row r="376" spans="2:15" ht="15.75" hidden="1" customHeight="1">
      <c r="B376" s="1">
        <v>5</v>
      </c>
      <c r="C376" s="1">
        <v>5</v>
      </c>
      <c r="D376" s="503"/>
      <c r="E376" s="500"/>
      <c r="F376" s="534" t="str">
        <f>IF(F371=$F$7,$G$5,IF(AND($O$9=$O$3,ROUNDDOWN(F371,0)=$F$5),$H$5,$G$5))</f>
        <v>　レベル　4</v>
      </c>
      <c r="G376" s="3328" t="s">
        <v>1794</v>
      </c>
      <c r="H376" s="3345"/>
      <c r="I376" s="541" t="s">
        <v>1794</v>
      </c>
      <c r="J376" s="1469"/>
      <c r="K376" s="534" t="str">
        <f>IF(K371=$F$7,$G$5,IF(AND($O$9=$O$3,ROUNDDOWN(K371,0)=$F$5),$H$5,$G$5))</f>
        <v>　レベル　4</v>
      </c>
      <c r="L376" s="3328" t="s">
        <v>1794</v>
      </c>
      <c r="M376" s="3327"/>
      <c r="N376" s="3328" t="s">
        <v>1794</v>
      </c>
      <c r="O376" s="3327"/>
    </row>
    <row r="377" spans="2:15" ht="45" hidden="1" customHeight="1">
      <c r="B377" s="551">
        <v>0</v>
      </c>
      <c r="C377" s="551">
        <v>0</v>
      </c>
      <c r="D377" s="503"/>
      <c r="E377" s="500"/>
      <c r="F377" s="544" t="str">
        <f>IF(F371=$F$7,$G$6,IF(AND($O$9=$O$3,ROUNDDOWN(F371,0)=$F$6),$H$6,$G$6))</f>
        <v>　レベル　5</v>
      </c>
      <c r="G377" s="3332" t="s">
        <v>2012</v>
      </c>
      <c r="H377" s="3350"/>
      <c r="I377" s="545" t="s">
        <v>1739</v>
      </c>
      <c r="J377" s="1461"/>
      <c r="K377" s="544" t="str">
        <f>IF(K371=$F$7,$G$6,IF(AND($O$9=$O$3,ROUNDDOWN(K371,0)=$F$6),$H$6,$G$6))</f>
        <v>　レベル　5</v>
      </c>
      <c r="L377" s="3332" t="s">
        <v>2403</v>
      </c>
      <c r="M377" s="3325"/>
      <c r="N377" s="3332" t="s">
        <v>2404</v>
      </c>
      <c r="O377" s="3325"/>
    </row>
    <row r="378" spans="2:15" ht="15.75" hidden="1" customHeight="1">
      <c r="D378" s="503"/>
      <c r="E378" s="500"/>
      <c r="F378" s="620"/>
      <c r="G378" s="618" t="s">
        <v>1039</v>
      </c>
      <c r="H378" s="528"/>
      <c r="I378" s="1471"/>
      <c r="J378" s="1473"/>
      <c r="K378" s="620"/>
      <c r="L378" s="632" t="s">
        <v>1039</v>
      </c>
      <c r="M378" s="632"/>
      <c r="N378" s="618"/>
      <c r="O378" s="528"/>
    </row>
    <row r="379" spans="2:15" ht="49.5" customHeight="1">
      <c r="D379" s="503"/>
      <c r="E379" s="500"/>
      <c r="F379" s="621" t="str">
        <f>IF(F371=$F$7,$G$2,IF(AND($O$9&lt;&gt;$O$3,ROUNDDOWN(F371,0)=$F$2),$H$2,$G$2))</f>
        <v>　レベル　1</v>
      </c>
      <c r="G379" s="3322" t="s">
        <v>2013</v>
      </c>
      <c r="H379" s="3342"/>
      <c r="I379" s="582" t="s">
        <v>2014</v>
      </c>
      <c r="J379" s="3390" t="s">
        <v>2554</v>
      </c>
      <c r="K379" s="621" t="str">
        <f>IF(K371=$F$7,$G$2,IF(AND($O$9&lt;&gt;$O$3,ROUNDDOWN(K371,0)=$F$2),$H$2,$G$2))</f>
        <v>　レベル　1</v>
      </c>
      <c r="L379" s="3322" t="s">
        <v>2400</v>
      </c>
      <c r="M379" s="3329"/>
      <c r="N379" s="3322" t="s">
        <v>2015</v>
      </c>
      <c r="O379" s="3342"/>
    </row>
    <row r="380" spans="2:15" ht="23.25" customHeight="1">
      <c r="D380" s="503"/>
      <c r="E380" s="500"/>
      <c r="F380" s="534" t="str">
        <f>IF(F371=$F$7,$G$3,IF(AND($O$9&lt;&gt;$O$3,ROUNDDOWN(F371,0)=$F$3),$H$3,$G$3))</f>
        <v>　レベル　2</v>
      </c>
      <c r="G380" s="3328" t="s">
        <v>1794</v>
      </c>
      <c r="H380" s="3334"/>
      <c r="I380" s="535"/>
      <c r="J380" s="3391"/>
      <c r="K380" s="534" t="str">
        <f>IF(K371=$F$7,$G$3,IF(AND($O$9&lt;&gt;$O$3,ROUNDDOWN(K371,0)=$F$3),$H$3,$G$3))</f>
        <v>　レベル　2</v>
      </c>
      <c r="L380" s="3328" t="s">
        <v>1794</v>
      </c>
      <c r="M380" s="3327"/>
      <c r="N380" s="3328" t="s">
        <v>1794</v>
      </c>
      <c r="O380" s="3327"/>
    </row>
    <row r="381" spans="2:15" ht="77.25" customHeight="1">
      <c r="D381" s="503"/>
      <c r="E381" s="500"/>
      <c r="F381" s="534" t="str">
        <f>IF(F371=$F$7,$G$4,IF(AND($O$9&lt;&gt;$O$3,ROUNDDOWN(F371,0)=$F$4),$H$4,$G$4))</f>
        <v>■レベル　3</v>
      </c>
      <c r="G381" s="3328" t="s">
        <v>2405</v>
      </c>
      <c r="H381" s="3327"/>
      <c r="I381" s="541" t="s">
        <v>2722</v>
      </c>
      <c r="J381" s="3391"/>
      <c r="K381" s="534" t="str">
        <f>IF(K371=$F$7,$G$4,IF(AND($O$9&lt;&gt;$O$3,ROUNDDOWN(K371,0)=$F$4),$H$4,$G$4))</f>
        <v>　レベル　3</v>
      </c>
      <c r="L381" s="3328" t="s">
        <v>169</v>
      </c>
      <c r="M381" s="3327"/>
      <c r="N381" s="3328" t="s">
        <v>1738</v>
      </c>
      <c r="O381" s="3327"/>
    </row>
    <row r="382" spans="2:15" ht="15.75" customHeight="1">
      <c r="D382" s="503"/>
      <c r="E382" s="500"/>
      <c r="F382" s="534" t="str">
        <f>IF(F371=$F$7,$G$5,IF(AND($O$9&lt;&gt;$O$3,ROUNDDOWN(F371,0)=$F$5),$H$5,$G$5))</f>
        <v>　レベル　4</v>
      </c>
      <c r="G382" s="3328" t="s">
        <v>1794</v>
      </c>
      <c r="H382" s="3334"/>
      <c r="I382" s="535"/>
      <c r="J382" s="3391"/>
      <c r="K382" s="534" t="str">
        <f>IF(K371=$F$7,$G$5,IF(AND($O$9&lt;&gt;$O$3,ROUNDDOWN(K371,0)=$F$5),$H$5,$G$5))</f>
        <v>　レベル　4</v>
      </c>
      <c r="L382" s="3328" t="s">
        <v>1794</v>
      </c>
      <c r="M382" s="3327"/>
      <c r="N382" s="3328" t="s">
        <v>1794</v>
      </c>
      <c r="O382" s="3327"/>
    </row>
    <row r="383" spans="2:15" ht="56.25" customHeight="1">
      <c r="D383" s="503"/>
      <c r="E383" s="500"/>
      <c r="F383" s="544" t="str">
        <f>IF(F371=$F$7,$G$6,IF(AND($O$9&lt;&gt;$O$3,ROUNDDOWN(F371,0)=$F$6),$H$6,$G$6))</f>
        <v>　レベル　5</v>
      </c>
      <c r="G383" s="3332" t="s">
        <v>1621</v>
      </c>
      <c r="H383" s="3325"/>
      <c r="I383" s="545" t="s">
        <v>1739</v>
      </c>
      <c r="J383" s="1469"/>
      <c r="K383" s="544" t="str">
        <f>IF(K371=$F$7,$G$6,IF(AND($O$9&lt;&gt;$O$3,ROUNDDOWN(K371,0)=$F$6),$H$6,$G$6))</f>
        <v>　レベル　5</v>
      </c>
      <c r="L383" s="3332" t="s">
        <v>2403</v>
      </c>
      <c r="M383" s="3325"/>
      <c r="N383" s="3332" t="s">
        <v>1622</v>
      </c>
      <c r="O383" s="3325"/>
    </row>
    <row r="384" spans="2:15" ht="15.75">
      <c r="D384" s="503"/>
      <c r="E384" s="149"/>
      <c r="F384" s="839" t="s">
        <v>2938</v>
      </c>
      <c r="G384" s="1941"/>
      <c r="H384" s="1917"/>
      <c r="I384" s="1915"/>
      <c r="J384" s="1916"/>
      <c r="K384" s="1918"/>
      <c r="L384" s="1231"/>
      <c r="M384"/>
      <c r="N384"/>
      <c r="O384"/>
    </row>
    <row r="385" spans="2:15" ht="15.75">
      <c r="D385" s="503"/>
      <c r="E385" s="149"/>
      <c r="F385" s="149"/>
      <c r="G385"/>
      <c r="H385"/>
      <c r="I385"/>
      <c r="J385"/>
      <c r="K385"/>
      <c r="L385"/>
      <c r="M385"/>
      <c r="N385"/>
      <c r="O385"/>
    </row>
    <row r="386" spans="2:15" ht="15.75">
      <c r="D386" s="499">
        <v>4</v>
      </c>
      <c r="E386" s="510" t="s">
        <v>819</v>
      </c>
      <c r="F386" s="510"/>
      <c r="G386"/>
      <c r="H386"/>
      <c r="I386"/>
      <c r="J386"/>
      <c r="K386"/>
      <c r="L386"/>
      <c r="M386"/>
      <c r="N386"/>
      <c r="O386"/>
    </row>
    <row r="387" spans="2:15" ht="15.75">
      <c r="D387" s="499">
        <v>4.0999999999999996</v>
      </c>
      <c r="E387" s="510" t="s">
        <v>1623</v>
      </c>
      <c r="F387" s="509"/>
      <c r="G387"/>
      <c r="H387"/>
      <c r="I387"/>
      <c r="J387"/>
      <c r="K387"/>
      <c r="L387"/>
      <c r="M387"/>
      <c r="N387"/>
      <c r="O387"/>
    </row>
    <row r="388" spans="2:15" ht="15.75">
      <c r="D388" s="503"/>
      <c r="E388" s="63"/>
      <c r="F388" s="511" t="s">
        <v>1624</v>
      </c>
      <c r="G388"/>
      <c r="H388"/>
      <c r="I388"/>
      <c r="J388" t="str">
        <f>IF(OR(F390=0,AND(J389=0,O389=0)),$L$3,"")</f>
        <v/>
      </c>
      <c r="K388"/>
      <c r="L388"/>
      <c r="M388"/>
      <c r="N388"/>
      <c r="O388"/>
    </row>
    <row r="389" spans="2:15" ht="16.5" thickBot="1">
      <c r="D389" s="503"/>
      <c r="E389" s="63"/>
      <c r="F389" s="515" t="s">
        <v>1203</v>
      </c>
      <c r="G389" s="516"/>
      <c r="H389" s="517"/>
      <c r="I389" s="518" t="s">
        <v>1126</v>
      </c>
      <c r="J389" s="521">
        <f>重み!M50</f>
        <v>1</v>
      </c>
      <c r="K389" s="515" t="s">
        <v>1614</v>
      </c>
      <c r="L389" s="516"/>
      <c r="M389" s="517"/>
      <c r="N389" s="518" t="s">
        <v>1126</v>
      </c>
      <c r="O389" s="521">
        <f>重み!N50</f>
        <v>0.66666666666666663</v>
      </c>
    </row>
    <row r="390" spans="2:15" ht="27" customHeight="1" thickBot="1">
      <c r="D390" s="503"/>
      <c r="E390" s="63"/>
      <c r="F390" s="522">
        <v>3</v>
      </c>
      <c r="G390" s="618" t="s">
        <v>1625</v>
      </c>
      <c r="H390" s="528"/>
      <c r="I390" s="1802" t="s">
        <v>1204</v>
      </c>
      <c r="J390" s="1803"/>
      <c r="K390" s="522">
        <v>3</v>
      </c>
      <c r="L390" s="618" t="s">
        <v>1626</v>
      </c>
      <c r="M390" s="528"/>
      <c r="N390" s="618"/>
      <c r="O390" s="623"/>
    </row>
    <row r="391" spans="2:15" ht="19.5" customHeight="1">
      <c r="B391" s="1" t="s">
        <v>1793</v>
      </c>
      <c r="C391" s="1" t="s">
        <v>1793</v>
      </c>
      <c r="D391" s="503"/>
      <c r="E391" s="63"/>
      <c r="F391" s="529" t="str">
        <f>IF(F390=$F$7,$G$2,IF(ROUNDDOWN(F390,0)=$F$2,$H$2,$G$2))</f>
        <v>　レベル　1</v>
      </c>
      <c r="G391" s="3322" t="s">
        <v>1794</v>
      </c>
      <c r="H391" s="3342"/>
      <c r="I391" s="3392" t="s">
        <v>369</v>
      </c>
      <c r="J391" s="3393"/>
      <c r="K391" s="529" t="str">
        <f>IF(K390=$F$7,$G$2,IF(ROUNDDOWN(K390,0)=$F$2,$H$2,$G$2))</f>
        <v>　レベル　1</v>
      </c>
      <c r="L391" s="3328" t="s">
        <v>1794</v>
      </c>
      <c r="M391" s="3334"/>
      <c r="N391" s="3334"/>
      <c r="O391" s="3327"/>
    </row>
    <row r="392" spans="2:15" ht="19.5" customHeight="1">
      <c r="B392" s="1" t="s">
        <v>1793</v>
      </c>
      <c r="C392" s="1" t="s">
        <v>1793</v>
      </c>
      <c r="D392" s="503"/>
      <c r="E392" s="63"/>
      <c r="F392" s="534" t="str">
        <f>IF(F390=$F$7,$G$3,IF(ROUNDDOWN(F390,0)=$F$3,$H$3,$G$3))</f>
        <v>　レベル　2</v>
      </c>
      <c r="G392" s="3328" t="s">
        <v>1794</v>
      </c>
      <c r="H392" s="3327"/>
      <c r="I392" s="3392" t="s">
        <v>1794</v>
      </c>
      <c r="J392" s="3394"/>
      <c r="K392" s="534" t="str">
        <f>IF(K390=$F$7,$G$3,IF(ROUNDDOWN(K390,0)=$F$3,$H$3,$G$3))</f>
        <v>　レベル　2</v>
      </c>
      <c r="L392" s="3328" t="s">
        <v>1794</v>
      </c>
      <c r="M392" s="3345"/>
      <c r="N392" s="3345"/>
      <c r="O392" s="3372"/>
    </row>
    <row r="393" spans="2:15" ht="27" customHeight="1">
      <c r="B393" s="1">
        <v>3</v>
      </c>
      <c r="C393" s="1">
        <v>3</v>
      </c>
      <c r="D393" s="503"/>
      <c r="E393" s="63"/>
      <c r="F393" s="534" t="str">
        <f>IF(F390=$F$7,$G$4,IF(ROUNDDOWN(F390,0)=$F$4,$H$4,$G$4))</f>
        <v>■レベル　3</v>
      </c>
      <c r="G393" s="3328" t="s">
        <v>1628</v>
      </c>
      <c r="H393" s="3327"/>
      <c r="I393" s="3392" t="s">
        <v>1629</v>
      </c>
      <c r="J393" s="3393"/>
      <c r="K393" s="534" t="str">
        <f>IF(K390=$F$7,$G$4,IF(ROUNDDOWN(K390,0)=$F$4,$H$4,$G$4))</f>
        <v>■レベル　3</v>
      </c>
      <c r="L393" s="3328" t="s">
        <v>1628</v>
      </c>
      <c r="M393" s="3334"/>
      <c r="N393" s="3334"/>
      <c r="O393" s="3327"/>
    </row>
    <row r="394" spans="2:15" ht="93.75" customHeight="1">
      <c r="B394" s="1">
        <v>4</v>
      </c>
      <c r="C394" s="1">
        <v>4</v>
      </c>
      <c r="D394" s="503"/>
      <c r="E394" s="63"/>
      <c r="F394" s="534" t="str">
        <f>IF(F390=$F$7,$G$5,IF(ROUNDDOWN(F390,0)=$F$5,$H$5,$G$5))</f>
        <v>　レベル　4</v>
      </c>
      <c r="G394" s="3328" t="s">
        <v>1630</v>
      </c>
      <c r="H394" s="3327"/>
      <c r="I394" s="3392" t="s">
        <v>1205</v>
      </c>
      <c r="J394" s="3393"/>
      <c r="K394" s="534" t="str">
        <f>IF(K390=$F$7,$G$5,IF(ROUNDDOWN(K390,0)=$F$5,$H$5,$G$5))</f>
        <v>　レベル　4</v>
      </c>
      <c r="L394" s="3328" t="s">
        <v>1206</v>
      </c>
      <c r="M394" s="3334"/>
      <c r="N394" s="3334"/>
      <c r="O394" s="3327"/>
    </row>
    <row r="395" spans="2:15" ht="126.75" customHeight="1">
      <c r="B395" s="1">
        <v>5</v>
      </c>
      <c r="C395" s="1">
        <v>5</v>
      </c>
      <c r="D395" s="503"/>
      <c r="E395" s="63"/>
      <c r="F395" s="544" t="str">
        <f>IF(F390=$F$7,$G$6,IF(ROUNDDOWN(F390,0)=$F$6,$H$6,$G$6))</f>
        <v>　レベル　5</v>
      </c>
      <c r="G395" s="3332" t="s">
        <v>1207</v>
      </c>
      <c r="H395" s="3325"/>
      <c r="I395" s="3395" t="s">
        <v>1208</v>
      </c>
      <c r="J395" s="3396"/>
      <c r="K395" s="544" t="str">
        <f>IF(K390=$F$7,$G$6,IF(ROUNDDOWN(K390,0)=$F$6,$H$6,$G$6))</f>
        <v>　レベル　5</v>
      </c>
      <c r="L395" s="3332" t="s">
        <v>1207</v>
      </c>
      <c r="M395" s="3333"/>
      <c r="N395" s="3333"/>
      <c r="O395" s="3325"/>
    </row>
    <row r="396" spans="2:15" ht="15.75">
      <c r="B396" s="551">
        <v>0</v>
      </c>
      <c r="C396" s="551">
        <v>0</v>
      </c>
      <c r="D396" s="503"/>
      <c r="E396" s="404"/>
      <c r="F396" s="839" t="s">
        <v>2938</v>
      </c>
      <c r="G396" s="1941"/>
      <c r="H396" s="1917"/>
      <c r="I396" s="1915"/>
      <c r="J396" s="1916"/>
      <c r="K396" s="1918"/>
      <c r="L396" s="1231"/>
      <c r="M396"/>
      <c r="N396"/>
      <c r="O396"/>
    </row>
    <row r="397" spans="2:15" ht="15.75">
      <c r="B397" s="870"/>
      <c r="C397" s="870"/>
      <c r="D397" s="503"/>
      <c r="E397" s="404"/>
      <c r="F397" s="404"/>
      <c r="G397"/>
      <c r="H397"/>
      <c r="I397"/>
      <c r="J397"/>
      <c r="K397"/>
      <c r="L397"/>
      <c r="M397"/>
      <c r="N397"/>
      <c r="O397"/>
    </row>
    <row r="398" spans="2:15" ht="15.75">
      <c r="D398" s="503"/>
      <c r="E398" s="507"/>
      <c r="F398" s="511" t="s">
        <v>1631</v>
      </c>
      <c r="G398"/>
      <c r="H398"/>
      <c r="I398"/>
      <c r="J398" t="str">
        <f>IF(OR(F400=0,AND(J399=0,O399=0)),$L$3,"")</f>
        <v>&lt;評価しない&gt;</v>
      </c>
      <c r="K398"/>
      <c r="L398"/>
      <c r="M398"/>
      <c r="N398"/>
      <c r="O398"/>
    </row>
    <row r="399" spans="2:15" ht="15.75" hidden="1">
      <c r="B399" s="670" t="s">
        <v>1632</v>
      </c>
      <c r="C399" s="670"/>
      <c r="D399" s="503"/>
      <c r="E399" s="507"/>
      <c r="F399" s="515" t="s">
        <v>2360</v>
      </c>
      <c r="G399" s="516"/>
      <c r="H399" s="517"/>
      <c r="I399" s="518" t="s">
        <v>1126</v>
      </c>
      <c r="J399" s="521">
        <f>重み!M51</f>
        <v>0</v>
      </c>
      <c r="K399" s="515" t="s">
        <v>1614</v>
      </c>
      <c r="L399" s="516"/>
      <c r="M399" s="517"/>
      <c r="N399" s="518" t="s">
        <v>1126</v>
      </c>
      <c r="O399" s="521">
        <f>重み!N51</f>
        <v>0</v>
      </c>
    </row>
    <row r="400" spans="2:15" ht="16.5" hidden="1" thickBot="1">
      <c r="D400" s="503"/>
      <c r="E400" s="507"/>
      <c r="F400" s="522">
        <v>0</v>
      </c>
      <c r="G400" s="618" t="s">
        <v>1209</v>
      </c>
      <c r="H400" s="527"/>
      <c r="I400" s="637"/>
      <c r="J400" s="528"/>
      <c r="K400" s="522">
        <v>0</v>
      </c>
      <c r="L400" s="618" t="s">
        <v>1626</v>
      </c>
      <c r="M400" s="528"/>
      <c r="N400" s="618"/>
      <c r="O400" s="623"/>
    </row>
    <row r="401" spans="2:15" ht="15.75" hidden="1">
      <c r="B401" s="1">
        <v>1</v>
      </c>
      <c r="C401" s="1">
        <v>1</v>
      </c>
      <c r="D401" s="503"/>
      <c r="E401" s="628"/>
      <c r="F401" s="529" t="str">
        <f>IF(F400=$F$7,$G$2,IF(ROUNDDOWN(F400,0)=$F$2,$H$2,$G$2))</f>
        <v>　レベル　1</v>
      </c>
      <c r="G401" s="3328" t="s">
        <v>174</v>
      </c>
      <c r="H401" s="3334"/>
      <c r="I401" s="3334"/>
      <c r="J401" s="3327"/>
      <c r="K401" s="529" t="str">
        <f>IF(K400=$F$7,$G$2,IF(ROUNDDOWN(K400,0)=$F$2,$H$2,$G$2))</f>
        <v>　レベル　1</v>
      </c>
      <c r="L401" s="3328" t="s">
        <v>174</v>
      </c>
      <c r="M401" s="3334"/>
      <c r="N401" s="3334"/>
      <c r="O401" s="3327"/>
    </row>
    <row r="402" spans="2:15" ht="15.75" hidden="1">
      <c r="B402" s="1">
        <v>2</v>
      </c>
      <c r="C402" s="1">
        <v>2</v>
      </c>
      <c r="D402" s="503"/>
      <c r="E402" s="628"/>
      <c r="F402" s="534" t="str">
        <f>IF(F400=$F$7,$G$3,IF(ROUNDDOWN(F400,0)=$F$3,$H$3,$G$3))</f>
        <v>　レベル　2</v>
      </c>
      <c r="G402" s="3328" t="s">
        <v>1633</v>
      </c>
      <c r="H402" s="3334"/>
      <c r="I402" s="3334"/>
      <c r="J402" s="3327"/>
      <c r="K402" s="534" t="str">
        <f>IF(K400=$F$7,$G$3,IF(ROUNDDOWN(K400,0)=$F$3,$H$3,$G$3))</f>
        <v>　レベル　2</v>
      </c>
      <c r="L402" s="3328" t="s">
        <v>1633</v>
      </c>
      <c r="M402" s="3334"/>
      <c r="N402" s="3334"/>
      <c r="O402" s="3327"/>
    </row>
    <row r="403" spans="2:15" ht="15.75" hidden="1">
      <c r="B403" s="1">
        <v>3</v>
      </c>
      <c r="C403" s="1">
        <v>3</v>
      </c>
      <c r="D403" s="503"/>
      <c r="E403" s="628"/>
      <c r="F403" s="534" t="str">
        <f>IF(F400=$F$7,$G$4,IF(ROUNDDOWN(F400,0)=$F$4,$H$4,$G$4))</f>
        <v>　レベル　3</v>
      </c>
      <c r="G403" s="3328" t="s">
        <v>1634</v>
      </c>
      <c r="H403" s="3334"/>
      <c r="I403" s="3334"/>
      <c r="J403" s="3327"/>
      <c r="K403" s="534" t="str">
        <f>IF(K400=$F$7,$G$4,IF(ROUNDDOWN(K400,0)=$F$4,$H$4,$G$4))</f>
        <v>　レベル　3</v>
      </c>
      <c r="L403" s="3328" t="s">
        <v>1634</v>
      </c>
      <c r="M403" s="3345"/>
      <c r="N403" s="3345"/>
      <c r="O403" s="3372"/>
    </row>
    <row r="404" spans="2:15" ht="15.75" hidden="1">
      <c r="B404" s="1" t="s">
        <v>1793</v>
      </c>
      <c r="C404" s="1" t="s">
        <v>1793</v>
      </c>
      <c r="D404" s="503"/>
      <c r="E404" s="628"/>
      <c r="F404" s="534" t="str">
        <f>IF(F400=$F$7,$G$5,IF(ROUNDDOWN(F400,0)=$F$5,$H$5,$G$5))</f>
        <v>　レベル　4</v>
      </c>
      <c r="G404" s="3328" t="s">
        <v>1794</v>
      </c>
      <c r="H404" s="3334"/>
      <c r="I404" s="3334"/>
      <c r="J404" s="3327"/>
      <c r="K404" s="534" t="str">
        <f>IF(K400=$F$7,$G$5,IF(ROUNDDOWN(K400,0)=$F$5,$H$5,$G$5))</f>
        <v>　レベル　4</v>
      </c>
      <c r="L404" s="3328" t="s">
        <v>1794</v>
      </c>
      <c r="M404" s="3334"/>
      <c r="N404" s="3334"/>
      <c r="O404" s="3327"/>
    </row>
    <row r="405" spans="2:15" ht="15.75" hidden="1">
      <c r="B405" s="1" t="s">
        <v>1793</v>
      </c>
      <c r="C405" s="1" t="s">
        <v>1793</v>
      </c>
      <c r="D405" s="503"/>
      <c r="E405" s="628"/>
      <c r="F405" s="544" t="str">
        <f>IF(F400=$F$7,$G$6,IF(ROUNDDOWN(F400,0)=$F$6,$H$6,$G$6))</f>
        <v>　レベル　5</v>
      </c>
      <c r="G405" s="3332" t="s">
        <v>1794</v>
      </c>
      <c r="H405" s="3333"/>
      <c r="I405" s="3333"/>
      <c r="J405" s="3325"/>
      <c r="K405" s="544" t="str">
        <f>IF(K400=$F$7,$G$6,IF(ROUNDDOWN(K400,0)=$F$6,$H$6,$G$6))</f>
        <v>　レベル　5</v>
      </c>
      <c r="L405" s="3328" t="s">
        <v>1794</v>
      </c>
      <c r="M405" s="3334"/>
      <c r="N405" s="3334"/>
      <c r="O405" s="3327"/>
    </row>
    <row r="406" spans="2:15" ht="15.75" hidden="1">
      <c r="B406" s="551">
        <v>0</v>
      </c>
      <c r="C406" s="551">
        <v>0</v>
      </c>
      <c r="D406" s="503"/>
      <c r="E406" s="404"/>
      <c r="F406" s="404"/>
      <c r="G406" s="574"/>
      <c r="H406" s="574"/>
      <c r="I406" s="574"/>
      <c r="J406" s="574"/>
      <c r="K406" s="574"/>
      <c r="L406" s="574"/>
      <c r="M406" s="574"/>
      <c r="N406" s="574"/>
      <c r="O406" s="574"/>
    </row>
    <row r="407" spans="2:15" ht="15.75" hidden="1">
      <c r="D407" s="503"/>
      <c r="E407" s="404"/>
      <c r="F407" s="1350" t="s">
        <v>1635</v>
      </c>
      <c r="G407" s="575"/>
      <c r="H407" s="617"/>
      <c r="I407" s="601"/>
      <c r="J407" s="578" t="str">
        <f>IF(OR(F409=0,AND(J408=0,O408=0)),$L$3,"")</f>
        <v>&lt;評価しない&gt;</v>
      </c>
      <c r="K407" s="645"/>
      <c r="L407" s="575"/>
      <c r="M407" s="617"/>
      <c r="N407" s="601"/>
      <c r="O407" s="578"/>
    </row>
    <row r="408" spans="2:15" ht="15.75" hidden="1">
      <c r="D408" s="503"/>
      <c r="E408" s="404"/>
      <c r="F408" s="515" t="s">
        <v>1227</v>
      </c>
      <c r="G408" s="516"/>
      <c r="H408" s="517"/>
      <c r="I408" s="518" t="s">
        <v>1126</v>
      </c>
      <c r="J408" s="521">
        <f>重み!M52</f>
        <v>0</v>
      </c>
      <c r="K408" s="515" t="s">
        <v>1614</v>
      </c>
      <c r="L408" s="516"/>
      <c r="M408" s="517"/>
      <c r="N408" s="518" t="s">
        <v>1126</v>
      </c>
      <c r="O408" s="521">
        <f>重み!N52</f>
        <v>0</v>
      </c>
    </row>
    <row r="409" spans="2:15" ht="16.5" hidden="1" thickBot="1">
      <c r="D409" s="503"/>
      <c r="E409" s="404"/>
      <c r="F409" s="522">
        <v>0</v>
      </c>
      <c r="G409" s="623" t="s">
        <v>1636</v>
      </c>
      <c r="H409" s="623"/>
      <c r="I409" s="686" t="s">
        <v>175</v>
      </c>
      <c r="J409" s="687"/>
      <c r="K409" s="522">
        <v>0</v>
      </c>
      <c r="L409" s="618" t="s">
        <v>740</v>
      </c>
      <c r="M409" s="528"/>
      <c r="N409" s="618"/>
      <c r="O409" s="623"/>
    </row>
    <row r="410" spans="2:15" ht="15.75" hidden="1">
      <c r="B410" s="1">
        <v>1</v>
      </c>
      <c r="C410" s="1">
        <v>1</v>
      </c>
      <c r="D410" s="503"/>
      <c r="E410" s="404"/>
      <c r="F410" s="529" t="str">
        <f>IF(F409=$F$7,$G$2,IF(ROUNDDOWN(F409,0)=$F$2,$H$2,$G$2))</f>
        <v>　レベル　1</v>
      </c>
      <c r="G410" s="3400" t="s">
        <v>176</v>
      </c>
      <c r="H410" s="3401"/>
      <c r="I410" s="3397" t="s">
        <v>176</v>
      </c>
      <c r="J410" s="3398"/>
      <c r="K410" s="529" t="str">
        <f>IF(K409=$F$7,$G$2,IF(ROUNDDOWN(K409,0)=$F$2,$H$2,$G$2))</f>
        <v>　レベル　1</v>
      </c>
      <c r="L410" s="3322" t="s">
        <v>335</v>
      </c>
      <c r="M410" s="3344"/>
      <c r="N410" s="3344"/>
      <c r="O410" s="3329"/>
    </row>
    <row r="411" spans="2:15" ht="15.75" hidden="1">
      <c r="B411" s="1" t="s">
        <v>177</v>
      </c>
      <c r="C411" s="1" t="s">
        <v>177</v>
      </c>
      <c r="D411" s="503"/>
      <c r="E411" s="404"/>
      <c r="F411" s="534" t="str">
        <f>IF(F409=$F$7,$G$3,IF(ROUNDDOWN(F409,0)=$F$3,$H$3,$G$3))</f>
        <v>　レベル　2</v>
      </c>
      <c r="G411" s="3328" t="s">
        <v>1794</v>
      </c>
      <c r="H411" s="3372"/>
      <c r="I411" s="3397" t="s">
        <v>1794</v>
      </c>
      <c r="J411" s="3399"/>
      <c r="K411" s="534" t="str">
        <f>IF(K409=$F$7,$G$3,IF(ROUNDDOWN(K409,0)=$F$3,$H$3,$G$3))</f>
        <v>　レベル　2</v>
      </c>
      <c r="L411" s="3362" t="s">
        <v>1794</v>
      </c>
      <c r="M411" s="3363"/>
      <c r="N411" s="3363"/>
      <c r="O411" s="3364"/>
    </row>
    <row r="412" spans="2:15" ht="15.75" hidden="1">
      <c r="B412" s="1">
        <v>3</v>
      </c>
      <c r="C412" s="1">
        <v>3</v>
      </c>
      <c r="D412" s="503"/>
      <c r="E412" s="404"/>
      <c r="F412" s="534" t="str">
        <f>IF(F409=$F$7,$G$4,IF(ROUNDDOWN(F409,0)=$F$4,$H$4,$G$4))</f>
        <v>　レベル　3</v>
      </c>
      <c r="G412" s="3328" t="s">
        <v>1637</v>
      </c>
      <c r="H412" s="3372"/>
      <c r="I412" s="3397" t="s">
        <v>178</v>
      </c>
      <c r="J412" s="3398"/>
      <c r="K412" s="534" t="str">
        <f>IF(K409=$F$7,$G$4,IF(ROUNDDOWN(K409,0)=$F$4,$H$4,$G$4))</f>
        <v>　レベル　3</v>
      </c>
      <c r="L412" s="3362" t="s">
        <v>179</v>
      </c>
      <c r="M412" s="3363"/>
      <c r="N412" s="3363"/>
      <c r="O412" s="3364"/>
    </row>
    <row r="413" spans="2:15" ht="15.75" hidden="1">
      <c r="B413" s="1">
        <v>4</v>
      </c>
      <c r="C413" s="1">
        <v>4</v>
      </c>
      <c r="D413" s="503"/>
      <c r="E413" s="404"/>
      <c r="F413" s="534" t="str">
        <f>IF(F409=$F$7,$G$5,IF(ROUNDDOWN(F409,0)=$F$5,$H$5,$G$5))</f>
        <v>　レベル　4</v>
      </c>
      <c r="G413" s="3328" t="s">
        <v>180</v>
      </c>
      <c r="H413" s="3372"/>
      <c r="I413" s="3397" t="s">
        <v>1794</v>
      </c>
      <c r="J413" s="3398"/>
      <c r="K413" s="534" t="str">
        <f>IF(K409=$F$7,$G$5,IF(ROUNDDOWN(K409,0)=$F$5,$H$5,$G$5))</f>
        <v>　レベル　4</v>
      </c>
      <c r="L413" s="3362" t="s">
        <v>180</v>
      </c>
      <c r="M413" s="3363"/>
      <c r="N413" s="3363"/>
      <c r="O413" s="3364"/>
    </row>
    <row r="414" spans="2:15" ht="15.75" hidden="1">
      <c r="B414" s="1">
        <v>5</v>
      </c>
      <c r="C414" s="1">
        <v>5</v>
      </c>
      <c r="D414" s="503"/>
      <c r="E414" s="404"/>
      <c r="F414" s="544" t="str">
        <f>IF(F409=$F$7,$G$6,IF(ROUNDDOWN(F409,0)=$F$6,$H$6,$G$6))</f>
        <v>　レベル　5</v>
      </c>
      <c r="G414" s="3402" t="s">
        <v>181</v>
      </c>
      <c r="H414" s="3403"/>
      <c r="I414" s="3404" t="s">
        <v>850</v>
      </c>
      <c r="J414" s="3405"/>
      <c r="K414" s="544" t="str">
        <f>IF(K409=$F$7,$G$6,IF(ROUNDDOWN(K409,0)=$F$6,$H$6,$G$6))</f>
        <v>　レベル　5</v>
      </c>
      <c r="L414" s="3353" t="s">
        <v>181</v>
      </c>
      <c r="M414" s="3373"/>
      <c r="N414" s="3373"/>
      <c r="O414" s="3374"/>
    </row>
    <row r="415" spans="2:15" ht="15.75" hidden="1">
      <c r="B415" s="551">
        <v>0</v>
      </c>
      <c r="C415" s="551">
        <v>0</v>
      </c>
      <c r="D415" s="503"/>
      <c r="E415" s="63"/>
      <c r="F415" s="63"/>
      <c r="G415" s="622"/>
      <c r="H415" s="622"/>
      <c r="I415" s="622"/>
      <c r="J415" s="622"/>
      <c r="K415" s="622"/>
      <c r="L415" s="622"/>
      <c r="M415" s="622"/>
      <c r="N415" s="622"/>
      <c r="O415" s="622"/>
    </row>
    <row r="416" spans="2:15" ht="15.75" hidden="1">
      <c r="D416" s="503"/>
      <c r="E416" s="507"/>
      <c r="F416" s="1350" t="s">
        <v>1638</v>
      </c>
      <c r="G416" s="575"/>
      <c r="H416" s="617"/>
      <c r="I416" s="601"/>
      <c r="J416" s="578" t="str">
        <f>IF(OR(F418=0,AND(J417=0,O417=0)),$L$3,"")</f>
        <v>&lt;評価しない&gt;</v>
      </c>
      <c r="K416" s="645"/>
      <c r="L416" s="575"/>
      <c r="M416" s="617"/>
      <c r="N416" s="601"/>
      <c r="O416" s="578"/>
    </row>
    <row r="417" spans="2:15" ht="15.75" hidden="1">
      <c r="D417" s="503"/>
      <c r="E417" s="507"/>
      <c r="F417" s="515" t="s">
        <v>270</v>
      </c>
      <c r="G417" s="516"/>
      <c r="H417" s="517"/>
      <c r="I417" s="518" t="s">
        <v>1126</v>
      </c>
      <c r="J417" s="521">
        <f>重み!M53</f>
        <v>0</v>
      </c>
      <c r="K417" s="515" t="s">
        <v>1614</v>
      </c>
      <c r="L417" s="516"/>
      <c r="M417" s="517"/>
      <c r="N417" s="518" t="s">
        <v>1126</v>
      </c>
      <c r="O417" s="521">
        <f>重み!N53</f>
        <v>0</v>
      </c>
    </row>
    <row r="418" spans="2:15" ht="16.5" hidden="1" thickBot="1">
      <c r="D418" s="503"/>
      <c r="E418" s="507"/>
      <c r="F418" s="522">
        <v>0</v>
      </c>
      <c r="G418" s="618" t="s">
        <v>1639</v>
      </c>
      <c r="H418" s="527"/>
      <c r="I418" s="637"/>
      <c r="J418" s="528"/>
      <c r="K418" s="522">
        <v>0</v>
      </c>
      <c r="L418" s="618" t="s">
        <v>740</v>
      </c>
      <c r="M418" s="528"/>
      <c r="N418" s="618"/>
      <c r="O418" s="623"/>
    </row>
    <row r="419" spans="2:15" ht="15.75" hidden="1">
      <c r="B419" s="1">
        <v>1</v>
      </c>
      <c r="C419" s="1">
        <v>1</v>
      </c>
      <c r="D419" s="503"/>
      <c r="E419" s="628"/>
      <c r="F419" s="529" t="str">
        <f>IF(F418=$F$7,$G$2,IF(ROUNDDOWN(F418,0)=$F$2,$H$2,$G$2))</f>
        <v>　レベル　1</v>
      </c>
      <c r="G419" s="3322" t="s">
        <v>335</v>
      </c>
      <c r="H419" s="3344"/>
      <c r="I419" s="3344"/>
      <c r="J419" s="3329"/>
      <c r="K419" s="529" t="str">
        <f>IF(K418=$F$7,$G$2,IF(ROUNDDOWN(K418,0)=$F$2,$H$2,$G$2))</f>
        <v>　レベル　1</v>
      </c>
      <c r="L419" s="3322" t="s">
        <v>335</v>
      </c>
      <c r="M419" s="3344"/>
      <c r="N419" s="3344"/>
      <c r="O419" s="3329"/>
    </row>
    <row r="420" spans="2:15" ht="15.75" hidden="1">
      <c r="B420" s="1" t="s">
        <v>177</v>
      </c>
      <c r="C420" s="1" t="s">
        <v>177</v>
      </c>
      <c r="D420" s="503"/>
      <c r="E420" s="628"/>
      <c r="F420" s="534" t="str">
        <f>IF(F418=$F$7,$G$3,IF(ROUNDDOWN(F418,0)=$F$3,$H$3,$G$3))</f>
        <v>　レベル　2</v>
      </c>
      <c r="G420" s="3328" t="s">
        <v>1794</v>
      </c>
      <c r="H420" s="3334"/>
      <c r="I420" s="3334"/>
      <c r="J420" s="3327"/>
      <c r="K420" s="534" t="str">
        <f>IF(K418=$F$7,$G$3,IF(ROUNDDOWN(K418,0)=$F$3,$H$3,$G$3))</f>
        <v>　レベル　2</v>
      </c>
      <c r="L420" s="3362" t="s">
        <v>1794</v>
      </c>
      <c r="M420" s="3363"/>
      <c r="N420" s="3363"/>
      <c r="O420" s="3364"/>
    </row>
    <row r="421" spans="2:15" ht="15.75" hidden="1">
      <c r="B421" s="1">
        <v>3</v>
      </c>
      <c r="C421" s="1">
        <v>3</v>
      </c>
      <c r="D421" s="503"/>
      <c r="E421" s="628"/>
      <c r="F421" s="534" t="str">
        <f>IF(F418=$F$7,$G$4,IF(ROUNDDOWN(F418,0)=$F$4,$H$4,$G$4))</f>
        <v>　レベル　3</v>
      </c>
      <c r="G421" s="3328" t="s">
        <v>1640</v>
      </c>
      <c r="H421" s="3334"/>
      <c r="I421" s="3334"/>
      <c r="J421" s="3327"/>
      <c r="K421" s="534" t="str">
        <f>IF(K418=$F$7,$G$4,IF(ROUNDDOWN(K418,0)=$F$4,$H$4,$G$4))</f>
        <v>　レベル　3</v>
      </c>
      <c r="L421" s="3362" t="s">
        <v>851</v>
      </c>
      <c r="M421" s="3363"/>
      <c r="N421" s="3363"/>
      <c r="O421" s="3364"/>
    </row>
    <row r="422" spans="2:15" ht="15.75" hidden="1">
      <c r="B422" s="1">
        <v>4</v>
      </c>
      <c r="C422" s="1">
        <v>4</v>
      </c>
      <c r="D422" s="503"/>
      <c r="E422" s="628"/>
      <c r="F422" s="534" t="str">
        <f>IF(F418=$F$7,$G$5,IF(ROUNDDOWN(F418,0)=$F$5,$H$5,$G$5))</f>
        <v>　レベル　4</v>
      </c>
      <c r="G422" s="3328" t="s">
        <v>1077</v>
      </c>
      <c r="H422" s="3334"/>
      <c r="I422" s="3334"/>
      <c r="J422" s="3327"/>
      <c r="K422" s="534" t="str">
        <f>IF(K418=$F$7,$G$5,IF(ROUNDDOWN(K418,0)=$F$5,$H$5,$G$5))</f>
        <v>　レベル　4</v>
      </c>
      <c r="L422" s="3362" t="s">
        <v>852</v>
      </c>
      <c r="M422" s="3363"/>
      <c r="N422" s="3363"/>
      <c r="O422" s="3364"/>
    </row>
    <row r="423" spans="2:15" ht="15.75" hidden="1">
      <c r="B423" s="1">
        <v>5</v>
      </c>
      <c r="C423" s="1">
        <v>5</v>
      </c>
      <c r="D423" s="503"/>
      <c r="E423" s="628"/>
      <c r="F423" s="544" t="str">
        <f>IF(F418=$F$7,$G$6,IF(ROUNDDOWN(F418,0)=$F$6,$H$6,$G$6))</f>
        <v>　レベル　5</v>
      </c>
      <c r="G423" s="3332" t="s">
        <v>12</v>
      </c>
      <c r="H423" s="3333"/>
      <c r="I423" s="3333"/>
      <c r="J423" s="3325"/>
      <c r="K423" s="544" t="str">
        <f>IF(K418=$F$7,$G$6,IF(ROUNDDOWN(K418,0)=$F$6,$H$6,$G$6))</f>
        <v>　レベル　5</v>
      </c>
      <c r="L423" s="3353" t="s">
        <v>12</v>
      </c>
      <c r="M423" s="3373"/>
      <c r="N423" s="3373"/>
      <c r="O423" s="3374"/>
    </row>
    <row r="424" spans="2:15" ht="15.75" hidden="1">
      <c r="B424" s="551">
        <v>0</v>
      </c>
      <c r="C424" s="551">
        <v>0</v>
      </c>
      <c r="D424" s="503"/>
      <c r="E424" s="404"/>
      <c r="F424" s="839" t="s">
        <v>2938</v>
      </c>
      <c r="G424" s="1941"/>
      <c r="H424" s="1917"/>
      <c r="I424" s="1915"/>
      <c r="J424" s="1916"/>
      <c r="K424" s="1918" t="s">
        <v>2939</v>
      </c>
      <c r="L424" s="1231"/>
      <c r="M424"/>
      <c r="N424"/>
      <c r="O424"/>
    </row>
    <row r="425" spans="2:15" ht="15.75">
      <c r="B425" s="870"/>
      <c r="C425" s="870"/>
      <c r="D425" s="503"/>
      <c r="E425" s="404"/>
      <c r="F425" s="404"/>
      <c r="G425"/>
      <c r="H425"/>
      <c r="I425"/>
      <c r="J425"/>
      <c r="K425"/>
      <c r="L425"/>
      <c r="M425"/>
      <c r="N425"/>
      <c r="O425"/>
    </row>
    <row r="426" spans="2:15" ht="15.75">
      <c r="D426" s="499">
        <v>4.2</v>
      </c>
      <c r="E426" s="510" t="s">
        <v>1078</v>
      </c>
      <c r="F426" s="509"/>
      <c r="G426" t="str">
        <f>IF(AND(J438="対象外",J438&gt;0.001),"★入力エラー：レベル１～５を選択し直してください！","")</f>
        <v/>
      </c>
      <c r="H426"/>
      <c r="I426"/>
      <c r="J426"/>
      <c r="K426"/>
      <c r="L426"/>
      <c r="M426"/>
      <c r="N426"/>
      <c r="O426"/>
    </row>
    <row r="427" spans="2:15" ht="15.75">
      <c r="D427" s="503"/>
      <c r="E427" s="507"/>
      <c r="F427" s="511" t="s">
        <v>1079</v>
      </c>
      <c r="G427"/>
      <c r="H427"/>
      <c r="I427"/>
      <c r="J427" t="str">
        <f>IF(OR(F429=0,AND(J428=0,O428=0)),$L$3,"")</f>
        <v/>
      </c>
      <c r="K427"/>
      <c r="L427"/>
      <c r="M427"/>
      <c r="N427"/>
      <c r="O427"/>
    </row>
    <row r="428" spans="2:15" ht="16.5" thickBot="1">
      <c r="D428" s="503"/>
      <c r="E428" s="507"/>
      <c r="F428" s="515" t="s">
        <v>1125</v>
      </c>
      <c r="G428" s="516"/>
      <c r="H428" s="517"/>
      <c r="I428" s="518" t="s">
        <v>1126</v>
      </c>
      <c r="J428" s="521">
        <f>重み!M55</f>
        <v>0.44444444444444442</v>
      </c>
      <c r="K428" s="515" t="s">
        <v>1614</v>
      </c>
      <c r="L428" s="516"/>
      <c r="M428" s="517"/>
      <c r="N428" s="518" t="s">
        <v>1126</v>
      </c>
      <c r="O428" s="521">
        <f>重み!N55</f>
        <v>0.22222222222222221</v>
      </c>
    </row>
    <row r="429" spans="2:15" ht="27" customHeight="1" thickBot="1">
      <c r="D429" s="503"/>
      <c r="E429" s="628"/>
      <c r="F429" s="522">
        <v>3</v>
      </c>
      <c r="G429" s="1463" t="s">
        <v>1080</v>
      </c>
      <c r="H429" s="1464"/>
      <c r="I429" s="637" t="s">
        <v>393</v>
      </c>
      <c r="J429" s="528"/>
      <c r="K429" s="522">
        <v>3</v>
      </c>
      <c r="L429" s="618" t="s">
        <v>740</v>
      </c>
      <c r="M429" s="528"/>
      <c r="N429" s="618"/>
      <c r="O429" s="623"/>
    </row>
    <row r="430" spans="2:15" ht="15.75" customHeight="1">
      <c r="B430" s="1">
        <v>1</v>
      </c>
      <c r="C430" s="1">
        <v>1</v>
      </c>
      <c r="D430" s="503"/>
      <c r="E430" s="63"/>
      <c r="F430" s="529" t="str">
        <f>IF(F429=$F$7,$G$2,IF(ROUNDDOWN(F429,0)=$F$2,$H$2,$G$2))</f>
        <v>　レベル　1</v>
      </c>
      <c r="G430" s="3328" t="s">
        <v>369</v>
      </c>
      <c r="H430" s="3376"/>
      <c r="I430" s="3328" t="s">
        <v>1794</v>
      </c>
      <c r="J430" s="3376"/>
      <c r="K430" s="529" t="str">
        <f>IF(K429=$F$7,$G$2,IF(ROUNDDOWN(K429,0)=$F$2,$H$2,$G$2))</f>
        <v>　レベル　1</v>
      </c>
      <c r="L430" s="3328" t="s">
        <v>369</v>
      </c>
      <c r="M430" s="3334"/>
      <c r="N430" s="3334"/>
      <c r="O430" s="3327"/>
    </row>
    <row r="431" spans="2:15" ht="15.75" customHeight="1">
      <c r="B431" s="1" t="s">
        <v>2377</v>
      </c>
      <c r="C431" s="1" t="s">
        <v>2377</v>
      </c>
      <c r="D431" s="503"/>
      <c r="E431" s="63"/>
      <c r="F431" s="534" t="str">
        <f>IF(F429=$F$7,$G$3,IF(ROUNDDOWN(F429,0)=$F$3,$H$3,$G$3))</f>
        <v>　レベル　2</v>
      </c>
      <c r="G431" s="3328" t="s">
        <v>1794</v>
      </c>
      <c r="H431" s="3345"/>
      <c r="I431" s="3328" t="s">
        <v>1794</v>
      </c>
      <c r="J431" s="3372"/>
      <c r="K431" s="534" t="str">
        <f>IF(K429=$F$7,$G$3,IF(ROUNDDOWN(K429,0)=$F$3,$H$3,$G$3))</f>
        <v>　レベル　2</v>
      </c>
      <c r="L431" s="3328" t="s">
        <v>1794</v>
      </c>
      <c r="M431" s="3407"/>
      <c r="N431" s="3407"/>
      <c r="O431" s="3376"/>
    </row>
    <row r="432" spans="2:15" ht="84" customHeight="1">
      <c r="B432" s="1">
        <v>3</v>
      </c>
      <c r="C432" s="1">
        <v>3</v>
      </c>
      <c r="D432" s="503"/>
      <c r="E432" s="63"/>
      <c r="F432" s="534" t="str">
        <f>IF(F429=$F$7,$G$4,IF(ROUNDDOWN(F429,0)=$F$4,$H$4,$G$4))</f>
        <v>■レベル　3</v>
      </c>
      <c r="G432" s="3328" t="s">
        <v>853</v>
      </c>
      <c r="H432" s="3376"/>
      <c r="I432" s="3328" t="s">
        <v>2723</v>
      </c>
      <c r="J432" s="3406"/>
      <c r="K432" s="534" t="str">
        <f>IF(K429=$F$7,$G$4,IF(ROUNDDOWN(K429,0)=$F$4,$H$4,$G$4))</f>
        <v>■レベル　3</v>
      </c>
      <c r="L432" s="3328" t="s">
        <v>853</v>
      </c>
      <c r="M432" s="3334"/>
      <c r="N432" s="3334"/>
      <c r="O432" s="3327"/>
    </row>
    <row r="433" spans="2:15" ht="84" customHeight="1">
      <c r="B433" s="1">
        <v>4</v>
      </c>
      <c r="C433" s="1">
        <v>4</v>
      </c>
      <c r="D433" s="503"/>
      <c r="E433" s="63"/>
      <c r="F433" s="534" t="str">
        <f>IF(F429=$F$7,$G$5,IF(ROUNDDOWN(F429,0)=$F$5,$H$5,$G$5))</f>
        <v>　レベル　4</v>
      </c>
      <c r="G433" s="3328" t="s">
        <v>1081</v>
      </c>
      <c r="H433" s="3376"/>
      <c r="I433" s="3328" t="s">
        <v>2724</v>
      </c>
      <c r="J433" s="3406"/>
      <c r="K433" s="534" t="str">
        <f>IF(K429=$F$7,$G$5,IF(ROUNDDOWN(K429,0)=$F$5,$H$5,$G$5))</f>
        <v>　レベル　4</v>
      </c>
      <c r="L433" s="3328" t="s">
        <v>1081</v>
      </c>
      <c r="M433" s="3334"/>
      <c r="N433" s="3334"/>
      <c r="O433" s="3327"/>
    </row>
    <row r="434" spans="2:15" ht="84" customHeight="1">
      <c r="B434" s="1">
        <v>5</v>
      </c>
      <c r="C434" s="1">
        <v>5</v>
      </c>
      <c r="D434" s="503"/>
      <c r="E434" s="63"/>
      <c r="F434" s="544" t="str">
        <f>IF(F429=$F$7,$G$6,IF(ROUNDDOWN(F429,0)=$F$6,$H$6,$G$6))</f>
        <v>　レベル　5</v>
      </c>
      <c r="G434" s="3332" t="s">
        <v>1082</v>
      </c>
      <c r="H434" s="3325"/>
      <c r="I434" s="3332" t="s">
        <v>2725</v>
      </c>
      <c r="J434" s="3408"/>
      <c r="K434" s="544" t="str">
        <f>IF(K429=$F$7,$G$6,IF(ROUNDDOWN(K429,0)=$F$6,$H$6,$G$6))</f>
        <v>　レベル　5</v>
      </c>
      <c r="L434" s="3332" t="s">
        <v>1082</v>
      </c>
      <c r="M434" s="3333"/>
      <c r="N434" s="3333"/>
      <c r="O434" s="3325"/>
    </row>
    <row r="435" spans="2:15" ht="15.75">
      <c r="B435" s="551">
        <v>0</v>
      </c>
      <c r="C435" s="551">
        <v>0</v>
      </c>
      <c r="D435" s="503"/>
      <c r="E435" s="63"/>
      <c r="F435" s="839" t="s">
        <v>2938</v>
      </c>
      <c r="G435" s="1941"/>
      <c r="H435" s="1917"/>
      <c r="I435" s="1915"/>
      <c r="J435" s="1916"/>
      <c r="K435" s="1918"/>
      <c r="L435" s="1231"/>
      <c r="M435"/>
      <c r="N435"/>
      <c r="O435"/>
    </row>
    <row r="436" spans="2:15" ht="15.75">
      <c r="B436" s="870"/>
      <c r="C436" s="870"/>
      <c r="D436" s="503"/>
      <c r="E436" s="63"/>
      <c r="F436" s="404"/>
      <c r="G436"/>
      <c r="H436"/>
      <c r="I436"/>
      <c r="J436"/>
      <c r="K436"/>
      <c r="L436"/>
      <c r="M436"/>
      <c r="N436"/>
      <c r="O436"/>
    </row>
    <row r="437" spans="2:15" ht="15.75">
      <c r="D437" s="503"/>
      <c r="E437" s="63"/>
      <c r="F437" s="511" t="s">
        <v>1083</v>
      </c>
      <c r="G437"/>
      <c r="H437"/>
      <c r="I437"/>
      <c r="J437" t="str">
        <f>IF(OR(F439=0,AND(J438=0,O438=0)),$L$3,"")</f>
        <v>&lt;評価しない&gt;</v>
      </c>
      <c r="K437"/>
      <c r="L437"/>
      <c r="M437"/>
      <c r="N437"/>
      <c r="O437"/>
    </row>
    <row r="438" spans="2:15" ht="16.5" thickBot="1">
      <c r="D438" s="503"/>
      <c r="E438" s="63"/>
      <c r="F438" s="515" t="s">
        <v>2054</v>
      </c>
      <c r="G438" s="516"/>
      <c r="H438" s="517"/>
      <c r="I438" s="518" t="s">
        <v>1126</v>
      </c>
      <c r="J438" s="521">
        <f>重み!M56</f>
        <v>0.1111111111111111</v>
      </c>
      <c r="K438" s="515" t="s">
        <v>1614</v>
      </c>
      <c r="L438" s="516"/>
      <c r="M438" s="517"/>
      <c r="N438" s="518" t="s">
        <v>1126</v>
      </c>
      <c r="O438" s="521">
        <f>重み!N56</f>
        <v>0.22222222222222221</v>
      </c>
    </row>
    <row r="439" spans="2:15" ht="27" customHeight="1" thickBot="1">
      <c r="D439" s="503"/>
      <c r="E439" s="63"/>
      <c r="F439" s="522">
        <v>0</v>
      </c>
      <c r="G439" s="618" t="s">
        <v>2552</v>
      </c>
      <c r="H439" s="527"/>
      <c r="I439" s="637" t="s">
        <v>18</v>
      </c>
      <c r="J439" s="528"/>
      <c r="K439" s="522">
        <v>3</v>
      </c>
      <c r="L439" s="618" t="s">
        <v>1842</v>
      </c>
      <c r="M439" s="528"/>
      <c r="N439" s="618" t="s">
        <v>1552</v>
      </c>
      <c r="O439" s="528"/>
    </row>
    <row r="440" spans="2:15" ht="15.75" customHeight="1">
      <c r="B440" s="1">
        <v>1</v>
      </c>
      <c r="C440" s="1">
        <v>1</v>
      </c>
      <c r="D440" s="503"/>
      <c r="E440" s="63"/>
      <c r="F440" s="529" t="str">
        <f>IF(F439=$F$7,$G$2,IF(ROUNDDOWN(F439,0)=$F$2,$H$2,$G$2))</f>
        <v>　レベル　1</v>
      </c>
      <c r="G440" s="3322" t="s">
        <v>335</v>
      </c>
      <c r="H440" s="3329"/>
      <c r="I440" s="3322" t="s">
        <v>335</v>
      </c>
      <c r="J440" s="3329"/>
      <c r="K440" s="529" t="str">
        <f>IF(K439=$F$7,$G$2,IF(ROUNDDOWN(K439,0)=$F$2,$H$2,$G$2))</f>
        <v>　レベル　1</v>
      </c>
      <c r="L440" s="3322" t="s">
        <v>1343</v>
      </c>
      <c r="M440" s="3342"/>
      <c r="N440" s="3322" t="s">
        <v>1343</v>
      </c>
      <c r="O440" s="3342"/>
    </row>
    <row r="441" spans="2:15" ht="15.75" customHeight="1">
      <c r="B441" s="1" t="s">
        <v>2375</v>
      </c>
      <c r="C441" s="1" t="s">
        <v>2375</v>
      </c>
      <c r="D441" s="503"/>
      <c r="E441" s="63"/>
      <c r="F441" s="534" t="str">
        <f>IF(F439=$F$7,$G$3,IF(ROUNDDOWN(F439,0)=$F$3,$H$3,$G$3))</f>
        <v>　レベル　2</v>
      </c>
      <c r="G441" s="3328" t="s">
        <v>1794</v>
      </c>
      <c r="H441" s="3372"/>
      <c r="I441" s="3328" t="s">
        <v>1794</v>
      </c>
      <c r="J441" s="3372"/>
      <c r="K441" s="534" t="str">
        <f>IF(K439=$F$7,$G$3,IF(ROUNDDOWN(K439,0)=$F$3,$H$3,$G$3))</f>
        <v>　レベル　2</v>
      </c>
      <c r="L441" s="3328" t="s">
        <v>1794</v>
      </c>
      <c r="M441" s="3327"/>
      <c r="N441" s="3328" t="s">
        <v>1794</v>
      </c>
      <c r="O441" s="3327"/>
    </row>
    <row r="442" spans="2:15" ht="81" customHeight="1">
      <c r="B442" s="1">
        <v>3</v>
      </c>
      <c r="C442" s="1">
        <v>3</v>
      </c>
      <c r="D442" s="503"/>
      <c r="E442" s="63"/>
      <c r="F442" s="534" t="str">
        <f>IF(F439=$F$7,$G$4,IF(ROUNDDOWN(F439,0)=$F$4,$H$4,$G$4))</f>
        <v>　レベル　3</v>
      </c>
      <c r="G442" s="3328" t="s">
        <v>307</v>
      </c>
      <c r="H442" s="3372"/>
      <c r="I442" s="3328" t="s">
        <v>15</v>
      </c>
      <c r="J442" s="3372"/>
      <c r="K442" s="534" t="str">
        <f>IF(K439=$F$7,$G$4,IF(ROUNDDOWN(K439,0)=$F$4,$H$4,$G$4))</f>
        <v>■レベル　3</v>
      </c>
      <c r="L442" s="3328" t="s">
        <v>308</v>
      </c>
      <c r="M442" s="3327"/>
      <c r="N442" s="3328" t="s">
        <v>1764</v>
      </c>
      <c r="O442" s="3327"/>
    </row>
    <row r="443" spans="2:15" ht="111" customHeight="1">
      <c r="B443" s="1">
        <v>4</v>
      </c>
      <c r="C443" s="1">
        <v>4</v>
      </c>
      <c r="D443" s="503"/>
      <c r="E443" s="63"/>
      <c r="F443" s="534" t="str">
        <f>IF(F439=$F$7,$G$5,IF(ROUNDDOWN(F439,0)=$F$5,$H$5,$G$5))</f>
        <v>　レベル　4</v>
      </c>
      <c r="G443" s="3328" t="s">
        <v>13</v>
      </c>
      <c r="H443" s="3372"/>
      <c r="I443" s="3328" t="s">
        <v>16</v>
      </c>
      <c r="J443" s="3372"/>
      <c r="K443" s="534" t="str">
        <f>IF(K439=$F$7,$G$5,IF(ROUNDDOWN(K439,0)=$F$5,$H$5,$G$5))</f>
        <v>　レベル　4</v>
      </c>
      <c r="L443" s="3328" t="s">
        <v>613</v>
      </c>
      <c r="M443" s="3327"/>
      <c r="N443" s="3328" t="s">
        <v>1387</v>
      </c>
      <c r="O443" s="3327"/>
    </row>
    <row r="444" spans="2:15" ht="128.25" customHeight="1">
      <c r="B444" s="1">
        <v>5</v>
      </c>
      <c r="C444" s="1">
        <v>5</v>
      </c>
      <c r="D444" s="503"/>
      <c r="E444" s="63"/>
      <c r="F444" s="544" t="str">
        <f>IF(F439=$F$7,$G$6,IF(ROUNDDOWN(F439,0)=$F$6,$H$6,$G$6))</f>
        <v>　レベル　5</v>
      </c>
      <c r="G444" s="3332" t="s">
        <v>14</v>
      </c>
      <c r="H444" s="3356"/>
      <c r="I444" s="3332" t="s">
        <v>17</v>
      </c>
      <c r="J444" s="3356"/>
      <c r="K444" s="544" t="str">
        <f>IF(K439=$F$7,$G$6,IF(ROUNDDOWN(K439,0)=$F$6,$H$6,$G$6))</f>
        <v>　レベル　5</v>
      </c>
      <c r="L444" s="3332" t="s">
        <v>309</v>
      </c>
      <c r="M444" s="3325"/>
      <c r="N444" s="3332" t="s">
        <v>614</v>
      </c>
      <c r="O444" s="3325"/>
    </row>
    <row r="445" spans="2:15" ht="15.75">
      <c r="B445" s="551">
        <v>0</v>
      </c>
      <c r="C445" s="551">
        <v>0</v>
      </c>
      <c r="D445" s="503"/>
      <c r="E445" s="63"/>
      <c r="F445" s="839" t="s">
        <v>2938</v>
      </c>
      <c r="G445" s="1941"/>
      <c r="H445" s="1917"/>
      <c r="I445" s="1915"/>
      <c r="J445" s="1916"/>
      <c r="K445" s="1918"/>
      <c r="L445" s="1231"/>
      <c r="M445"/>
      <c r="N445"/>
      <c r="O445"/>
    </row>
    <row r="446" spans="2:15" ht="15.75">
      <c r="B446" s="870"/>
      <c r="C446" s="870"/>
      <c r="D446" s="503"/>
      <c r="E446" s="63"/>
      <c r="F446"/>
      <c r="G446" s="1977" t="s">
        <v>2907</v>
      </c>
      <c r="H446" s="2074">
        <f>1/30</f>
        <v>3.3333333333333333E-2</v>
      </c>
      <c r="I446"/>
      <c r="J446" s="500"/>
      <c r="K446" s="1918"/>
      <c r="L446" s="1231"/>
      <c r="M446"/>
      <c r="N446"/>
      <c r="O446"/>
    </row>
    <row r="447" spans="2:15" ht="15.75">
      <c r="B447" s="870"/>
      <c r="C447" s="870"/>
      <c r="D447" s="503"/>
      <c r="E447" s="63"/>
      <c r="F447" s="404"/>
      <c r="G447"/>
      <c r="H447"/>
      <c r="I447"/>
      <c r="J447"/>
      <c r="K447"/>
      <c r="L447"/>
      <c r="M447"/>
      <c r="N447"/>
      <c r="O447"/>
    </row>
    <row r="448" spans="2:15" ht="15.75">
      <c r="D448" s="503"/>
      <c r="E448" s="507"/>
      <c r="F448" s="511" t="s">
        <v>1479</v>
      </c>
      <c r="G448"/>
      <c r="H448"/>
      <c r="I448"/>
      <c r="J448" t="str">
        <f>IF(OR(F450=0,AND(J449=0,O449=0)),$L$3,"")</f>
        <v/>
      </c>
      <c r="K448"/>
      <c r="L448"/>
      <c r="M448"/>
      <c r="N448"/>
      <c r="O448"/>
    </row>
    <row r="449" spans="2:15" ht="16.5" thickBot="1">
      <c r="D449" s="503"/>
      <c r="E449" s="507"/>
      <c r="F449" s="515" t="s">
        <v>1087</v>
      </c>
      <c r="G449" s="516"/>
      <c r="H449" s="517"/>
      <c r="I449" s="518" t="s">
        <v>1126</v>
      </c>
      <c r="J449" s="521">
        <f>重み!M57</f>
        <v>0.44444444444444442</v>
      </c>
      <c r="K449" s="515" t="s">
        <v>1614</v>
      </c>
      <c r="L449" s="516"/>
      <c r="M449" s="517"/>
      <c r="N449" s="518" t="s">
        <v>1126</v>
      </c>
      <c r="O449" s="521">
        <f>重み!N57</f>
        <v>0.22222222222222221</v>
      </c>
    </row>
    <row r="450" spans="2:15" ht="27" customHeight="1" thickBot="1">
      <c r="D450" s="503"/>
      <c r="E450" s="507"/>
      <c r="F450" s="522">
        <v>3</v>
      </c>
      <c r="G450" s="618" t="s">
        <v>2332</v>
      </c>
      <c r="H450" s="527"/>
      <c r="I450" s="618" t="s">
        <v>1552</v>
      </c>
      <c r="J450" s="528"/>
      <c r="K450" s="522">
        <v>3</v>
      </c>
      <c r="L450" s="618" t="s">
        <v>2213</v>
      </c>
      <c r="M450" s="528"/>
      <c r="N450" s="618" t="s">
        <v>1552</v>
      </c>
      <c r="O450" s="528"/>
    </row>
    <row r="451" spans="2:15" ht="15.75" customHeight="1">
      <c r="B451" s="1">
        <v>1</v>
      </c>
      <c r="C451" s="1">
        <v>1</v>
      </c>
      <c r="D451" s="503"/>
      <c r="E451" s="628"/>
      <c r="F451" s="529" t="str">
        <f>IF(F450=$F$7,$G$2,IF(ROUNDDOWN(F450,0)=$F$2,$H$2,$G$2))</f>
        <v>　レベル　1</v>
      </c>
      <c r="G451" s="3322" t="s">
        <v>335</v>
      </c>
      <c r="H451" s="3329"/>
      <c r="I451" s="3322" t="s">
        <v>1343</v>
      </c>
      <c r="J451" s="3342"/>
      <c r="K451" s="529" t="str">
        <f>IF(K450=$F$7,$G$2,IF(ROUNDDOWN(K450,0)=$F$2,$H$2,$G$2))</f>
        <v>　レベル　1</v>
      </c>
      <c r="L451" s="3322" t="s">
        <v>1343</v>
      </c>
      <c r="M451" s="3342"/>
      <c r="N451" s="3322" t="s">
        <v>1343</v>
      </c>
      <c r="O451" s="3342"/>
    </row>
    <row r="452" spans="2:15" ht="15.75">
      <c r="B452" s="1" t="s">
        <v>2375</v>
      </c>
      <c r="C452" s="1" t="s">
        <v>2375</v>
      </c>
      <c r="D452" s="503"/>
      <c r="E452" s="628"/>
      <c r="F452" s="534" t="str">
        <f>IF(F450=$F$7,$G$3,IF(ROUNDDOWN(F450,0)=$F$3,$H$3,$G$3))</f>
        <v>　レベル　2</v>
      </c>
      <c r="G452" s="3328" t="s">
        <v>1794</v>
      </c>
      <c r="H452" s="3327"/>
      <c r="I452" s="3328" t="s">
        <v>1794</v>
      </c>
      <c r="J452" s="3327"/>
      <c r="K452" s="534" t="str">
        <f>IF(K450=$F$7,$G$3,IF(ROUNDDOWN(K450,0)=$F$3,$H$3,$G$3))</f>
        <v>　レベル　2</v>
      </c>
      <c r="L452" s="3328" t="s">
        <v>1794</v>
      </c>
      <c r="M452" s="3327"/>
      <c r="N452" s="3328" t="s">
        <v>1794</v>
      </c>
      <c r="O452" s="3327"/>
    </row>
    <row r="453" spans="2:15" ht="72.75" customHeight="1">
      <c r="B453" s="1">
        <v>3</v>
      </c>
      <c r="C453" s="1">
        <v>3</v>
      </c>
      <c r="D453" s="503"/>
      <c r="E453" s="628"/>
      <c r="F453" s="534" t="str">
        <f>IF(F450=$F$7,$G$4,IF(ROUNDDOWN(F450,0)=$F$4,$H$4,$G$4))</f>
        <v>■レベル　3</v>
      </c>
      <c r="G453" s="3328" t="s">
        <v>2333</v>
      </c>
      <c r="H453" s="3327"/>
      <c r="I453" s="3328" t="s">
        <v>1799</v>
      </c>
      <c r="J453" s="3327"/>
      <c r="K453" s="534" t="str">
        <f>IF(K450=$F$7,$G$4,IF(ROUNDDOWN(K450,0)=$F$4,$H$4,$G$4))</f>
        <v>■レベル　3</v>
      </c>
      <c r="L453" s="3328" t="s">
        <v>1800</v>
      </c>
      <c r="M453" s="3327"/>
      <c r="N453" s="3328" t="s">
        <v>1799</v>
      </c>
      <c r="O453" s="3327"/>
    </row>
    <row r="454" spans="2:15" ht="61.5" customHeight="1">
      <c r="B454" s="1">
        <v>4</v>
      </c>
      <c r="C454" s="1">
        <v>4</v>
      </c>
      <c r="D454" s="503"/>
      <c r="E454" s="628"/>
      <c r="F454" s="534" t="str">
        <f>IF(F450=$F$7,$G$5,IF(ROUNDDOWN(F450,0)=$F$5,$H$5,$G$5))</f>
        <v>　レベル　4</v>
      </c>
      <c r="G454" s="3328" t="s">
        <v>387</v>
      </c>
      <c r="H454" s="3327"/>
      <c r="I454" s="3328" t="s">
        <v>1794</v>
      </c>
      <c r="J454" s="3327"/>
      <c r="K454" s="534" t="str">
        <f>IF(K450=$F$7,$G$5,IF(ROUNDDOWN(K450,0)=$F$5,$H$5,$G$5))</f>
        <v>　レベル　4</v>
      </c>
      <c r="L454" s="3328" t="s">
        <v>387</v>
      </c>
      <c r="M454" s="3327"/>
      <c r="N454" s="3328" t="s">
        <v>1794</v>
      </c>
      <c r="O454" s="3327"/>
    </row>
    <row r="455" spans="2:15" ht="70.5" customHeight="1">
      <c r="B455" s="1">
        <v>5</v>
      </c>
      <c r="C455" s="1">
        <v>5</v>
      </c>
      <c r="D455" s="503"/>
      <c r="E455" s="628"/>
      <c r="F455" s="544" t="str">
        <f>IF(F450=$F$7,$G$6,IF(ROUNDDOWN(F450,0)=$F$6,$H$6,$G$6))</f>
        <v>　レベル　5</v>
      </c>
      <c r="G455" s="3332" t="s">
        <v>1821</v>
      </c>
      <c r="H455" s="3325"/>
      <c r="I455" s="3332" t="s">
        <v>1800</v>
      </c>
      <c r="J455" s="3325"/>
      <c r="K455" s="544" t="str">
        <f>IF(K450=$F$7,$G$6,IF(ROUNDDOWN(K450,0)=$F$6,$H$6,$G$6))</f>
        <v>　レベル　5</v>
      </c>
      <c r="L455" s="3332" t="s">
        <v>1801</v>
      </c>
      <c r="M455" s="3325"/>
      <c r="N455" s="3332" t="s">
        <v>1800</v>
      </c>
      <c r="O455" s="3325"/>
    </row>
    <row r="456" spans="2:15" ht="15.75" hidden="1">
      <c r="B456" s="551">
        <v>0</v>
      </c>
      <c r="C456" s="551">
        <v>0</v>
      </c>
      <c r="D456" s="503"/>
      <c r="E456" s="628"/>
      <c r="F456" s="628"/>
      <c r="G456" s="668"/>
      <c r="H456" s="668"/>
      <c r="I456" s="668"/>
      <c r="J456" s="668"/>
      <c r="K456" s="668"/>
      <c r="L456" s="668"/>
      <c r="M456" s="668"/>
      <c r="N456" s="668"/>
      <c r="O456" s="668"/>
    </row>
    <row r="457" spans="2:15" ht="15.75" hidden="1">
      <c r="D457" s="503"/>
      <c r="E457" s="628"/>
      <c r="F457" s="1350" t="s">
        <v>1822</v>
      </c>
      <c r="G457" s="575"/>
      <c r="H457" s="617"/>
      <c r="I457" s="601"/>
      <c r="J457" s="578" t="str">
        <f>IF(OR(F459=0,AND(J458=0,O458=0)),$L$3,"")</f>
        <v>&lt;評価しない&gt;</v>
      </c>
      <c r="K457" s="645"/>
      <c r="L457" s="575"/>
      <c r="M457" s="617"/>
      <c r="N457" s="601"/>
      <c r="O457" s="578"/>
    </row>
    <row r="458" spans="2:15" ht="15.75" hidden="1">
      <c r="D458" s="503"/>
      <c r="E458" s="628"/>
      <c r="F458" s="515" t="s">
        <v>2360</v>
      </c>
      <c r="G458" s="516"/>
      <c r="H458" s="517"/>
      <c r="I458" s="518" t="s">
        <v>1126</v>
      </c>
      <c r="J458" s="521">
        <f>重み!M58</f>
        <v>0</v>
      </c>
      <c r="K458" s="515" t="s">
        <v>1614</v>
      </c>
      <c r="L458" s="516"/>
      <c r="M458" s="517"/>
      <c r="N458" s="518" t="s">
        <v>1126</v>
      </c>
      <c r="O458" s="521">
        <f>重み!N58</f>
        <v>0</v>
      </c>
    </row>
    <row r="459" spans="2:15" ht="16.5" hidden="1" thickBot="1">
      <c r="D459" s="503"/>
      <c r="E459" s="628"/>
      <c r="F459" s="522">
        <v>0</v>
      </c>
      <c r="G459" s="618" t="s">
        <v>2070</v>
      </c>
      <c r="H459" s="527"/>
      <c r="I459" s="637"/>
      <c r="J459" s="528"/>
      <c r="K459" s="522">
        <v>0</v>
      </c>
      <c r="L459" s="618" t="s">
        <v>740</v>
      </c>
      <c r="M459" s="528"/>
      <c r="N459" s="618"/>
      <c r="O459" s="623"/>
    </row>
    <row r="460" spans="2:15" ht="15.75" hidden="1" customHeight="1">
      <c r="B460" s="1">
        <v>1</v>
      </c>
      <c r="C460" s="1">
        <v>1</v>
      </c>
      <c r="D460" s="503"/>
      <c r="E460" s="628"/>
      <c r="F460" s="529" t="str">
        <f>IF(F459=$F$7,$G$2,IF(ROUNDDOWN(F459,0)=$F$2,$H$2,$G$2))</f>
        <v>　レベル　1</v>
      </c>
      <c r="G460" s="3322" t="s">
        <v>335</v>
      </c>
      <c r="H460" s="3344"/>
      <c r="I460" s="3344"/>
      <c r="J460" s="3329"/>
      <c r="K460" s="529" t="str">
        <f>IF(K459=$F$7,$G$2,IF(ROUNDDOWN(K459,0)=$F$2,$H$2,$G$2))</f>
        <v>　レベル　1</v>
      </c>
      <c r="L460" s="3322" t="s">
        <v>335</v>
      </c>
      <c r="M460" s="3344"/>
      <c r="N460" s="3344"/>
      <c r="O460" s="3329"/>
    </row>
    <row r="461" spans="2:15" ht="15.75" hidden="1">
      <c r="B461" s="1" t="s">
        <v>177</v>
      </c>
      <c r="C461" s="1" t="s">
        <v>177</v>
      </c>
      <c r="D461" s="503"/>
      <c r="E461" s="628"/>
      <c r="F461" s="534" t="str">
        <f>IF(F459=$F$7,$G$3,IF(ROUNDDOWN(F459,0)=$F$3,$H$3,$G$3))</f>
        <v>　レベル　2</v>
      </c>
      <c r="G461" s="3328" t="s">
        <v>1794</v>
      </c>
      <c r="H461" s="3334"/>
      <c r="I461" s="3334"/>
      <c r="J461" s="3327"/>
      <c r="K461" s="534" t="str">
        <f>IF(K459=$F$7,$G$3,IF(ROUNDDOWN(K459,0)=$F$3,$H$3,$G$3))</f>
        <v>　レベル　2</v>
      </c>
      <c r="L461" s="3362" t="s">
        <v>1794</v>
      </c>
      <c r="M461" s="3363"/>
      <c r="N461" s="3363"/>
      <c r="O461" s="3364"/>
    </row>
    <row r="462" spans="2:15" ht="52.5" hidden="1" customHeight="1">
      <c r="B462" s="1">
        <v>3</v>
      </c>
      <c r="C462" s="1">
        <v>3</v>
      </c>
      <c r="D462" s="503"/>
      <c r="E462" s="628"/>
      <c r="F462" s="534" t="str">
        <f>IF(F459=$F$7,$G$4,IF(ROUNDDOWN(F459,0)=$F$4,$H$4,$G$4))</f>
        <v>　レベル　3</v>
      </c>
      <c r="G462" s="3328" t="s">
        <v>2071</v>
      </c>
      <c r="H462" s="3334"/>
      <c r="I462" s="3334"/>
      <c r="J462" s="3327"/>
      <c r="K462" s="534" t="str">
        <f>IF(K459=$F$7,$G$4,IF(ROUNDDOWN(K459,0)=$F$4,$H$4,$G$4))</f>
        <v>　レベル　3</v>
      </c>
      <c r="L462" s="3362" t="s">
        <v>1802</v>
      </c>
      <c r="M462" s="3363"/>
      <c r="N462" s="3363"/>
      <c r="O462" s="3364"/>
    </row>
    <row r="463" spans="2:15" ht="15.75" hidden="1">
      <c r="B463" s="1" t="s">
        <v>177</v>
      </c>
      <c r="C463" s="1" t="s">
        <v>177</v>
      </c>
      <c r="D463" s="503"/>
      <c r="E463" s="628"/>
      <c r="F463" s="534" t="str">
        <f>IF(F459=$F$7,$G$5,IF(ROUNDDOWN(F459,0)=$F$5,$H$5,$G$5))</f>
        <v>　レベル　4</v>
      </c>
      <c r="G463" s="3328" t="s">
        <v>1794</v>
      </c>
      <c r="H463" s="3334"/>
      <c r="I463" s="3334"/>
      <c r="J463" s="3327"/>
      <c r="K463" s="534" t="str">
        <f>IF(K459=$F$7,$G$5,IF(ROUNDDOWN(K459,0)=$F$5,$H$5,$G$5))</f>
        <v>　レベル　4</v>
      </c>
      <c r="L463" s="3362" t="s">
        <v>1794</v>
      </c>
      <c r="M463" s="3363"/>
      <c r="N463" s="3363"/>
      <c r="O463" s="3364"/>
    </row>
    <row r="464" spans="2:15" ht="6" hidden="1" customHeight="1">
      <c r="B464" s="1">
        <v>5</v>
      </c>
      <c r="C464" s="1">
        <v>5</v>
      </c>
      <c r="D464" s="503"/>
      <c r="E464" s="628"/>
      <c r="F464" s="544" t="str">
        <f>IF(F459=$F$7,$G$6,IF(ROUNDDOWN(F459,0)=$F$6,$H$6,$G$6))</f>
        <v>　レベル　5</v>
      </c>
      <c r="G464" s="3332" t="s">
        <v>2072</v>
      </c>
      <c r="H464" s="3333"/>
      <c r="I464" s="3333"/>
      <c r="J464" s="3325"/>
      <c r="K464" s="544" t="str">
        <f>IF(K459=$F$7,$G$6,IF(ROUNDDOWN(K459,0)=$F$6,$H$6,$G$6))</f>
        <v>　レベル　5</v>
      </c>
      <c r="L464" s="3353" t="s">
        <v>1362</v>
      </c>
      <c r="M464" s="3373"/>
      <c r="N464" s="3373"/>
      <c r="O464" s="3374"/>
    </row>
    <row r="465" spans="2:17" ht="15.75">
      <c r="B465" s="551">
        <v>0</v>
      </c>
      <c r="C465" s="551">
        <v>0</v>
      </c>
      <c r="D465" s="503"/>
      <c r="E465" s="63"/>
      <c r="F465" s="839" t="s">
        <v>2938</v>
      </c>
      <c r="G465" s="1941"/>
      <c r="H465" s="1917"/>
      <c r="I465" s="1915"/>
      <c r="J465" s="1916"/>
      <c r="K465" s="1918"/>
      <c r="L465" s="1231"/>
      <c r="M465"/>
      <c r="N465"/>
      <c r="O465"/>
    </row>
    <row r="466" spans="2:17" ht="15.75">
      <c r="B466" s="870"/>
      <c r="C466" s="870"/>
      <c r="D466" s="503"/>
      <c r="E466" s="63"/>
      <c r="F466" s="63"/>
      <c r="G466"/>
      <c r="H466"/>
      <c r="I466"/>
      <c r="J466"/>
      <c r="K466"/>
      <c r="L466"/>
      <c r="M466"/>
      <c r="N466"/>
      <c r="O466"/>
    </row>
    <row r="467" spans="2:17" ht="15.75">
      <c r="D467" s="499">
        <v>4.3</v>
      </c>
      <c r="E467" s="510" t="s">
        <v>1947</v>
      </c>
      <c r="F467" s="509"/>
      <c r="G467"/>
      <c r="H467"/>
      <c r="I467"/>
      <c r="J467"/>
      <c r="K467"/>
      <c r="L467"/>
      <c r="M467"/>
      <c r="N467"/>
      <c r="O467"/>
    </row>
    <row r="468" spans="2:17" ht="15.75">
      <c r="D468" s="503"/>
      <c r="E468" s="63"/>
      <c r="F468" s="511" t="s">
        <v>1363</v>
      </c>
      <c r="G468"/>
      <c r="H468"/>
      <c r="I468"/>
      <c r="J468" t="str">
        <f>IF(OR(F470=0,J469=0),$L$3,"")</f>
        <v>&lt;評価しない&gt;</v>
      </c>
      <c r="K468" s="511" t="s">
        <v>1522</v>
      </c>
      <c r="L468"/>
      <c r="M468"/>
      <c r="N468"/>
      <c r="O468" t="str">
        <f>IF(OR(K470=0,O469=0),$L$3,"")</f>
        <v>&lt;評価しない&gt;</v>
      </c>
    </row>
    <row r="469" spans="2:17" ht="16.5" thickBot="1">
      <c r="D469" s="503"/>
      <c r="E469" s="63"/>
      <c r="F469" s="515" t="s">
        <v>1364</v>
      </c>
      <c r="G469" s="516"/>
      <c r="H469" s="517"/>
      <c r="I469" s="518" t="s">
        <v>1126</v>
      </c>
      <c r="J469" s="521">
        <f>重み!M60</f>
        <v>0.16666666666666666</v>
      </c>
      <c r="K469" s="515" t="s">
        <v>1656</v>
      </c>
      <c r="L469" s="516"/>
      <c r="M469" s="517"/>
      <c r="N469" s="518" t="s">
        <v>1126</v>
      </c>
      <c r="O469" s="521">
        <f>重み!M61</f>
        <v>0.16666666666666666</v>
      </c>
    </row>
    <row r="470" spans="2:17" ht="27" customHeight="1" thickBot="1">
      <c r="D470" s="503"/>
      <c r="E470" s="63"/>
      <c r="F470" s="522">
        <v>0</v>
      </c>
      <c r="G470" s="618" t="s">
        <v>1523</v>
      </c>
      <c r="H470" s="527"/>
      <c r="I470" s="637"/>
      <c r="J470" s="528"/>
      <c r="K470" s="522">
        <v>0</v>
      </c>
      <c r="L470" s="618" t="s">
        <v>1524</v>
      </c>
      <c r="M470" s="528"/>
      <c r="N470" s="618"/>
      <c r="O470" s="623"/>
    </row>
    <row r="471" spans="2:17" ht="15.75">
      <c r="B471" s="1">
        <v>1</v>
      </c>
      <c r="C471" s="1">
        <v>1</v>
      </c>
      <c r="D471" s="503"/>
      <c r="E471" s="63"/>
      <c r="F471" s="529" t="str">
        <f>IF(F470=$F$7,$G$2,IF(ROUNDDOWN(F470,0)=$F$2,$H$2,$G$2))</f>
        <v>　レベル　1</v>
      </c>
      <c r="G471" s="3322" t="s">
        <v>335</v>
      </c>
      <c r="H471" s="3344"/>
      <c r="I471" s="3344"/>
      <c r="J471" s="3329"/>
      <c r="K471" s="529" t="str">
        <f>IF(K470=$F$7,$G$2,IF(ROUNDDOWN(K470,0)=$F$2,$H$2,$G$2))</f>
        <v>　レベル　1</v>
      </c>
      <c r="L471" s="3322" t="s">
        <v>335</v>
      </c>
      <c r="M471" s="3344"/>
      <c r="N471" s="3344"/>
      <c r="O471" s="3329"/>
    </row>
    <row r="472" spans="2:17" ht="15.75">
      <c r="B472" s="1" t="s">
        <v>1793</v>
      </c>
      <c r="C472" s="1" t="s">
        <v>1793</v>
      </c>
      <c r="D472" s="503"/>
      <c r="E472" s="63"/>
      <c r="F472" s="534" t="str">
        <f>IF(F470=$F$7,$G$3,IF(ROUNDDOWN(F470,0)=$F$3,$H$3,$G$3))</f>
        <v>　レベル　2</v>
      </c>
      <c r="G472" s="3328" t="s">
        <v>1794</v>
      </c>
      <c r="H472" s="3334"/>
      <c r="I472" s="3334"/>
      <c r="J472" s="3327"/>
      <c r="K472" s="534" t="str">
        <f>IF(K470=$F$7,$G$3,IF(ROUNDDOWN(K470,0)=$F$3,$H$3,$G$3))</f>
        <v>　レベル　2</v>
      </c>
      <c r="L472" s="3328" t="s">
        <v>1794</v>
      </c>
      <c r="M472" s="3334"/>
      <c r="N472" s="3334"/>
      <c r="O472" s="3327"/>
    </row>
    <row r="473" spans="2:17" ht="45" customHeight="1">
      <c r="B473" s="1">
        <v>3</v>
      </c>
      <c r="C473" s="1">
        <v>3</v>
      </c>
      <c r="D473" s="503"/>
      <c r="E473" s="63"/>
      <c r="F473" s="534" t="str">
        <f>IF(F470=$F$7,$G$4,IF(ROUNDDOWN(F470,0)=$F$4,$H$4,$G$4))</f>
        <v>　レベル　3</v>
      </c>
      <c r="G473" s="3328" t="s">
        <v>1525</v>
      </c>
      <c r="H473" s="3334"/>
      <c r="I473" s="3334"/>
      <c r="J473" s="3327"/>
      <c r="K473" s="534" t="str">
        <f>IF(K470=$F$7,$G$4,IF(ROUNDDOWN(K470,0)=$F$4,$H$4,$G$4))</f>
        <v>　レベル　3</v>
      </c>
      <c r="L473" s="3328" t="s">
        <v>1526</v>
      </c>
      <c r="M473" s="3334"/>
      <c r="N473" s="3334"/>
      <c r="O473" s="3327"/>
    </row>
    <row r="474" spans="2:17" ht="45" customHeight="1">
      <c r="B474" s="1">
        <v>4</v>
      </c>
      <c r="C474" s="1" t="s">
        <v>1793</v>
      </c>
      <c r="D474" s="503"/>
      <c r="E474" s="63"/>
      <c r="F474" s="534" t="str">
        <f>IF(F470=$F$7,$G$5,IF(ROUNDDOWN(F470,0)=$F$5,$H$5,$G$5))</f>
        <v>　レベル　4</v>
      </c>
      <c r="G474" s="3328" t="s">
        <v>1527</v>
      </c>
      <c r="H474" s="3334"/>
      <c r="I474" s="3334"/>
      <c r="J474" s="3327"/>
      <c r="K474" s="534" t="str">
        <f>IF(K470=$F$7,$G$5,IF(ROUNDDOWN(K470,0)=$F$5,$H$5,$G$5))</f>
        <v>　レベル　4</v>
      </c>
      <c r="L474" s="3328" t="s">
        <v>1794</v>
      </c>
      <c r="M474" s="3334"/>
      <c r="N474" s="3334"/>
      <c r="O474" s="3327"/>
    </row>
    <row r="475" spans="2:17" ht="45" customHeight="1">
      <c r="B475" s="1">
        <v>5</v>
      </c>
      <c r="C475" s="1">
        <v>5</v>
      </c>
      <c r="D475" s="503"/>
      <c r="E475" s="63"/>
      <c r="F475" s="544" t="str">
        <f>IF(F470=$F$7,$G$6,IF(ROUNDDOWN(F470,0)=$F$6,$H$6,$G$6))</f>
        <v>　レベル　5</v>
      </c>
      <c r="G475" s="3332" t="s">
        <v>1365</v>
      </c>
      <c r="H475" s="3333"/>
      <c r="I475" s="3333"/>
      <c r="J475" s="3325"/>
      <c r="K475" s="544" t="str">
        <f>IF(K470=$F$7,$G$6,IF(ROUNDDOWN(K470,0)=$F$6,$H$6,$G$6))</f>
        <v>　レベル　5</v>
      </c>
      <c r="L475" s="3332" t="s">
        <v>1528</v>
      </c>
      <c r="M475" s="3333"/>
      <c r="N475" s="3333"/>
      <c r="O475" s="3325"/>
    </row>
    <row r="476" spans="2:17">
      <c r="B476" s="551">
        <v>0</v>
      </c>
      <c r="C476" s="551">
        <v>0</v>
      </c>
      <c r="F476" s="839" t="s">
        <v>2938</v>
      </c>
      <c r="G476" s="1941"/>
      <c r="H476" s="1917"/>
      <c r="I476" s="1915"/>
      <c r="J476" s="1916"/>
      <c r="K476" s="839" t="s">
        <v>2938</v>
      </c>
      <c r="L476" s="1941"/>
      <c r="M476" s="1917"/>
      <c r="N476" s="1915"/>
      <c r="O476" s="1916"/>
      <c r="P476" s="1977"/>
      <c r="Q476" s="1231"/>
    </row>
    <row r="480" spans="2:17"/>
    <row r="481"/>
    <row r="482"/>
    <row r="483"/>
    <row r="484"/>
    <row r="485"/>
    <row r="486"/>
    <row r="487"/>
    <row r="488"/>
    <row r="489"/>
    <row r="490"/>
    <row r="491"/>
    <row r="492"/>
    <row r="493"/>
    <row r="494"/>
    <row r="495"/>
    <row r="496"/>
    <row r="497"/>
    <row r="498"/>
    <row r="499"/>
    <row r="500"/>
    <row r="501"/>
    <row r="502"/>
    <row r="503"/>
  </sheetData>
  <sheetProtection password="C784" sheet="1" objects="1" scenarios="1"/>
  <mergeCells count="408">
    <mergeCell ref="G474:J474"/>
    <mergeCell ref="L474:O474"/>
    <mergeCell ref="G475:J475"/>
    <mergeCell ref="L475:O475"/>
    <mergeCell ref="G472:J472"/>
    <mergeCell ref="L472:O472"/>
    <mergeCell ref="G473:J473"/>
    <mergeCell ref="L473:O473"/>
    <mergeCell ref="G464:J464"/>
    <mergeCell ref="L464:O464"/>
    <mergeCell ref="G471:J471"/>
    <mergeCell ref="L471:O471"/>
    <mergeCell ref="G462:J462"/>
    <mergeCell ref="L462:O462"/>
    <mergeCell ref="G463:J463"/>
    <mergeCell ref="L463:O463"/>
    <mergeCell ref="G460:J460"/>
    <mergeCell ref="L460:O460"/>
    <mergeCell ref="G461:J461"/>
    <mergeCell ref="L461:O461"/>
    <mergeCell ref="G455:H455"/>
    <mergeCell ref="I455:J455"/>
    <mergeCell ref="L455:M455"/>
    <mergeCell ref="N455:O455"/>
    <mergeCell ref="G454:H454"/>
    <mergeCell ref="I454:J454"/>
    <mergeCell ref="L454:M454"/>
    <mergeCell ref="N454:O454"/>
    <mergeCell ref="G453:H453"/>
    <mergeCell ref="I453:J453"/>
    <mergeCell ref="L453:M453"/>
    <mergeCell ref="N453:O453"/>
    <mergeCell ref="G452:H452"/>
    <mergeCell ref="I452:J452"/>
    <mergeCell ref="L452:M452"/>
    <mergeCell ref="N452:O452"/>
    <mergeCell ref="G451:H451"/>
    <mergeCell ref="I451:J451"/>
    <mergeCell ref="L451:M451"/>
    <mergeCell ref="N451:O451"/>
    <mergeCell ref="L443:M443"/>
    <mergeCell ref="N443:O443"/>
    <mergeCell ref="L444:M444"/>
    <mergeCell ref="N444:O444"/>
    <mergeCell ref="G443:H443"/>
    <mergeCell ref="G444:H444"/>
    <mergeCell ref="I443:J443"/>
    <mergeCell ref="I444:J444"/>
    <mergeCell ref="L441:M441"/>
    <mergeCell ref="N441:O441"/>
    <mergeCell ref="L442:M442"/>
    <mergeCell ref="N442:O442"/>
    <mergeCell ref="G441:H441"/>
    <mergeCell ref="G442:H442"/>
    <mergeCell ref="I441:J441"/>
    <mergeCell ref="I442:J442"/>
    <mergeCell ref="G434:H434"/>
    <mergeCell ref="I434:J434"/>
    <mergeCell ref="L434:O434"/>
    <mergeCell ref="L440:M440"/>
    <mergeCell ref="N440:O440"/>
    <mergeCell ref="G440:H440"/>
    <mergeCell ref="I440:J440"/>
    <mergeCell ref="G432:H432"/>
    <mergeCell ref="I432:J432"/>
    <mergeCell ref="L432:O432"/>
    <mergeCell ref="G433:H433"/>
    <mergeCell ref="I433:J433"/>
    <mergeCell ref="L433:O433"/>
    <mergeCell ref="G430:H430"/>
    <mergeCell ref="I430:J430"/>
    <mergeCell ref="L430:O430"/>
    <mergeCell ref="G431:H431"/>
    <mergeCell ref="I431:J431"/>
    <mergeCell ref="L431:O431"/>
    <mergeCell ref="G423:J423"/>
    <mergeCell ref="L423:O423"/>
    <mergeCell ref="G420:J420"/>
    <mergeCell ref="L420:O420"/>
    <mergeCell ref="G421:J421"/>
    <mergeCell ref="L421:O421"/>
    <mergeCell ref="G422:J422"/>
    <mergeCell ref="L422:O422"/>
    <mergeCell ref="G414:H414"/>
    <mergeCell ref="I414:J414"/>
    <mergeCell ref="L414:O414"/>
    <mergeCell ref="G419:J419"/>
    <mergeCell ref="L419:O419"/>
    <mergeCell ref="I410:J410"/>
    <mergeCell ref="L410:O410"/>
    <mergeCell ref="G411:H411"/>
    <mergeCell ref="I411:J411"/>
    <mergeCell ref="L411:O411"/>
    <mergeCell ref="G413:H413"/>
    <mergeCell ref="I413:J413"/>
    <mergeCell ref="L413:O413"/>
    <mergeCell ref="G402:J402"/>
    <mergeCell ref="L402:O402"/>
    <mergeCell ref="G403:J403"/>
    <mergeCell ref="L403:O403"/>
    <mergeCell ref="G412:H412"/>
    <mergeCell ref="I412:J412"/>
    <mergeCell ref="L412:O412"/>
    <mergeCell ref="G405:J405"/>
    <mergeCell ref="L405:O405"/>
    <mergeCell ref="G410:H410"/>
    <mergeCell ref="G394:H394"/>
    <mergeCell ref="I394:J394"/>
    <mergeCell ref="G404:J404"/>
    <mergeCell ref="L404:O404"/>
    <mergeCell ref="G395:H395"/>
    <mergeCell ref="I395:J395"/>
    <mergeCell ref="L395:O395"/>
    <mergeCell ref="G401:J401"/>
    <mergeCell ref="L401:O401"/>
    <mergeCell ref="L394:O394"/>
    <mergeCell ref="G391:H391"/>
    <mergeCell ref="I391:J391"/>
    <mergeCell ref="L391:O391"/>
    <mergeCell ref="G392:H392"/>
    <mergeCell ref="I392:J392"/>
    <mergeCell ref="L392:O392"/>
    <mergeCell ref="G393:H393"/>
    <mergeCell ref="I393:J393"/>
    <mergeCell ref="L393:O393"/>
    <mergeCell ref="G382:H382"/>
    <mergeCell ref="L382:M382"/>
    <mergeCell ref="N382:O382"/>
    <mergeCell ref="G383:H383"/>
    <mergeCell ref="L383:M383"/>
    <mergeCell ref="N383:O383"/>
    <mergeCell ref="G380:H380"/>
    <mergeCell ref="L380:M380"/>
    <mergeCell ref="N380:O380"/>
    <mergeCell ref="G381:H381"/>
    <mergeCell ref="L381:M381"/>
    <mergeCell ref="N381:O381"/>
    <mergeCell ref="J379:J382"/>
    <mergeCell ref="G379:H379"/>
    <mergeCell ref="L379:M379"/>
    <mergeCell ref="N379:O379"/>
    <mergeCell ref="G377:H377"/>
    <mergeCell ref="L377:M377"/>
    <mergeCell ref="N377:O377"/>
    <mergeCell ref="G376:H376"/>
    <mergeCell ref="L376:M376"/>
    <mergeCell ref="N376:O376"/>
    <mergeCell ref="G375:H375"/>
    <mergeCell ref="L375:M375"/>
    <mergeCell ref="N375:O375"/>
    <mergeCell ref="F360:F361"/>
    <mergeCell ref="K360:K361"/>
    <mergeCell ref="G353:H353"/>
    <mergeCell ref="G354:H354"/>
    <mergeCell ref="G355:H355"/>
    <mergeCell ref="G374:H374"/>
    <mergeCell ref="L374:M374"/>
    <mergeCell ref="N374:O374"/>
    <mergeCell ref="G366:J366"/>
    <mergeCell ref="L366:O366"/>
    <mergeCell ref="G373:H373"/>
    <mergeCell ref="L373:M373"/>
    <mergeCell ref="N373:O373"/>
    <mergeCell ref="G364:J364"/>
    <mergeCell ref="L364:O364"/>
    <mergeCell ref="G365:J365"/>
    <mergeCell ref="L365:O365"/>
    <mergeCell ref="L331:O331"/>
    <mergeCell ref="L332:O332"/>
    <mergeCell ref="G331:H331"/>
    <mergeCell ref="I331:J331"/>
    <mergeCell ref="G332:H332"/>
    <mergeCell ref="I332:J332"/>
    <mergeCell ref="G362:J362"/>
    <mergeCell ref="L362:O362"/>
    <mergeCell ref="G363:J363"/>
    <mergeCell ref="L363:O363"/>
    <mergeCell ref="G356:H356"/>
    <mergeCell ref="G357:H357"/>
    <mergeCell ref="L329:O329"/>
    <mergeCell ref="L330:O330"/>
    <mergeCell ref="G329:H329"/>
    <mergeCell ref="I329:J329"/>
    <mergeCell ref="G330:H330"/>
    <mergeCell ref="I330:J330"/>
    <mergeCell ref="L328:O328"/>
    <mergeCell ref="G328:H328"/>
    <mergeCell ref="I328:J328"/>
    <mergeCell ref="G311:H311"/>
    <mergeCell ref="I311:J311"/>
    <mergeCell ref="L311:O311"/>
    <mergeCell ref="G312:H312"/>
    <mergeCell ref="I312:J312"/>
    <mergeCell ref="L312:O312"/>
    <mergeCell ref="G309:H309"/>
    <mergeCell ref="I309:J309"/>
    <mergeCell ref="L309:O309"/>
    <mergeCell ref="G310:H310"/>
    <mergeCell ref="I310:J310"/>
    <mergeCell ref="L310:O310"/>
    <mergeCell ref="G302:J302"/>
    <mergeCell ref="G308:H308"/>
    <mergeCell ref="I308:J308"/>
    <mergeCell ref="L308:O308"/>
    <mergeCell ref="G298:J298"/>
    <mergeCell ref="G299:J299"/>
    <mergeCell ref="G300:J300"/>
    <mergeCell ref="G301:J301"/>
    <mergeCell ref="G290:J290"/>
    <mergeCell ref="L290:M290"/>
    <mergeCell ref="N290:O290"/>
    <mergeCell ref="G291:J291"/>
    <mergeCell ref="L291:M291"/>
    <mergeCell ref="N291:O291"/>
    <mergeCell ref="G288:J288"/>
    <mergeCell ref="L288:M288"/>
    <mergeCell ref="N288:O288"/>
    <mergeCell ref="G289:J289"/>
    <mergeCell ref="L289:M289"/>
    <mergeCell ref="N289:O289"/>
    <mergeCell ref="G279:J279"/>
    <mergeCell ref="L279:O279"/>
    <mergeCell ref="G287:J287"/>
    <mergeCell ref="L287:M287"/>
    <mergeCell ref="N287:O287"/>
    <mergeCell ref="G277:J277"/>
    <mergeCell ref="L277:O277"/>
    <mergeCell ref="G278:J278"/>
    <mergeCell ref="L278:O278"/>
    <mergeCell ref="G275:J275"/>
    <mergeCell ref="L275:O275"/>
    <mergeCell ref="G276:J276"/>
    <mergeCell ref="L276:O276"/>
    <mergeCell ref="N268:O268"/>
    <mergeCell ref="G269:H269"/>
    <mergeCell ref="I269:J269"/>
    <mergeCell ref="L269:M269"/>
    <mergeCell ref="N269:O269"/>
    <mergeCell ref="G267:H267"/>
    <mergeCell ref="I267:J267"/>
    <mergeCell ref="L267:M267"/>
    <mergeCell ref="N267:O267"/>
    <mergeCell ref="G265:H265"/>
    <mergeCell ref="I265:J265"/>
    <mergeCell ref="L265:M265"/>
    <mergeCell ref="N265:O265"/>
    <mergeCell ref="I262:J262"/>
    <mergeCell ref="N262:O262"/>
    <mergeCell ref="G263:H263"/>
    <mergeCell ref="I263:J263"/>
    <mergeCell ref="L263:M263"/>
    <mergeCell ref="N263:O263"/>
    <mergeCell ref="G250:H250"/>
    <mergeCell ref="L250:M250"/>
    <mergeCell ref="N250:O250"/>
    <mergeCell ref="N251:O251"/>
    <mergeCell ref="I260:J260"/>
    <mergeCell ref="G261:H261"/>
    <mergeCell ref="I261:J261"/>
    <mergeCell ref="L261:M261"/>
    <mergeCell ref="N261:O261"/>
    <mergeCell ref="N252:O252"/>
    <mergeCell ref="G259:H259"/>
    <mergeCell ref="I259:J259"/>
    <mergeCell ref="L259:M259"/>
    <mergeCell ref="N259:O259"/>
    <mergeCell ref="G252:H252"/>
    <mergeCell ref="L252:M252"/>
    <mergeCell ref="G257:H257"/>
    <mergeCell ref="G248:H248"/>
    <mergeCell ref="L248:M248"/>
    <mergeCell ref="N248:O248"/>
    <mergeCell ref="N249:O249"/>
    <mergeCell ref="G245:H245"/>
    <mergeCell ref="L245:M245"/>
    <mergeCell ref="N245:O245"/>
    <mergeCell ref="G246:H246"/>
    <mergeCell ref="L246:M246"/>
    <mergeCell ref="N246:O246"/>
    <mergeCell ref="G243:H243"/>
    <mergeCell ref="L243:M243"/>
    <mergeCell ref="N243:O243"/>
    <mergeCell ref="G244:H244"/>
    <mergeCell ref="L244:M244"/>
    <mergeCell ref="N244:O244"/>
    <mergeCell ref="G235:J235"/>
    <mergeCell ref="L235:O235"/>
    <mergeCell ref="G242:H242"/>
    <mergeCell ref="L242:M242"/>
    <mergeCell ref="N242:O242"/>
    <mergeCell ref="G233:J233"/>
    <mergeCell ref="L233:O233"/>
    <mergeCell ref="G234:J234"/>
    <mergeCell ref="L234:O234"/>
    <mergeCell ref="G231:J231"/>
    <mergeCell ref="L231:O231"/>
    <mergeCell ref="G232:J232"/>
    <mergeCell ref="L232:O232"/>
    <mergeCell ref="G224:H224"/>
    <mergeCell ref="I224:J224"/>
    <mergeCell ref="G226:H226"/>
    <mergeCell ref="I226:J226"/>
    <mergeCell ref="G221:H221"/>
    <mergeCell ref="I221:J221"/>
    <mergeCell ref="G222:H222"/>
    <mergeCell ref="I222:J222"/>
    <mergeCell ref="G215:J215"/>
    <mergeCell ref="L215:O215"/>
    <mergeCell ref="L216:O216"/>
    <mergeCell ref="G217:J217"/>
    <mergeCell ref="L217:O217"/>
    <mergeCell ref="G213:J213"/>
    <mergeCell ref="L213:O213"/>
    <mergeCell ref="G214:J214"/>
    <mergeCell ref="L214:O214"/>
    <mergeCell ref="G207:I207"/>
    <mergeCell ref="J207:L207"/>
    <mergeCell ref="M207:N207"/>
    <mergeCell ref="G208:I208"/>
    <mergeCell ref="J208:L208"/>
    <mergeCell ref="M208:N208"/>
    <mergeCell ref="G204:I204"/>
    <mergeCell ref="J204:L204"/>
    <mergeCell ref="M204:N204"/>
    <mergeCell ref="G206:I206"/>
    <mergeCell ref="J206:L206"/>
    <mergeCell ref="M206:N206"/>
    <mergeCell ref="G192:J192"/>
    <mergeCell ref="G193:J193"/>
    <mergeCell ref="L193:M193"/>
    <mergeCell ref="I198:O198"/>
    <mergeCell ref="G187:J187"/>
    <mergeCell ref="L187:M187"/>
    <mergeCell ref="G189:J189"/>
    <mergeCell ref="L189:M189"/>
    <mergeCell ref="G190:J190"/>
    <mergeCell ref="G191:J191"/>
    <mergeCell ref="L191:M191"/>
    <mergeCell ref="M104:O104"/>
    <mergeCell ref="G183:J183"/>
    <mergeCell ref="G185:J185"/>
    <mergeCell ref="L183:M183"/>
    <mergeCell ref="N183:O183"/>
    <mergeCell ref="L184:M184"/>
    <mergeCell ref="N184:O184"/>
    <mergeCell ref="L185:M185"/>
    <mergeCell ref="N185:O185"/>
    <mergeCell ref="G161:J161"/>
    <mergeCell ref="N165:O165"/>
    <mergeCell ref="N166:O166"/>
    <mergeCell ref="N167:O167"/>
    <mergeCell ref="L186:M186"/>
    <mergeCell ref="N186:O186"/>
    <mergeCell ref="G167:J167"/>
    <mergeCell ref="M100:O100"/>
    <mergeCell ref="M101:O101"/>
    <mergeCell ref="M102:O102"/>
    <mergeCell ref="M103:O103"/>
    <mergeCell ref="N94:O94"/>
    <mergeCell ref="L96:M96"/>
    <mergeCell ref="N96:O96"/>
    <mergeCell ref="L98:M98"/>
    <mergeCell ref="N98:O98"/>
    <mergeCell ref="J67:K67"/>
    <mergeCell ref="J68:K68"/>
    <mergeCell ref="J69:K69"/>
    <mergeCell ref="L94:M94"/>
    <mergeCell ref="G63:G64"/>
    <mergeCell ref="H65:I65"/>
    <mergeCell ref="J65:K65"/>
    <mergeCell ref="J66:K66"/>
    <mergeCell ref="J56:K56"/>
    <mergeCell ref="L56:M56"/>
    <mergeCell ref="L58:M58"/>
    <mergeCell ref="N56:O56"/>
    <mergeCell ref="J57:K57"/>
    <mergeCell ref="L57:M57"/>
    <mergeCell ref="N57:O57"/>
    <mergeCell ref="N42:O42"/>
    <mergeCell ref="G43:H43"/>
    <mergeCell ref="I43:J43"/>
    <mergeCell ref="N43:O43"/>
    <mergeCell ref="H52:I52"/>
    <mergeCell ref="J52:K52"/>
    <mergeCell ref="F25:F26"/>
    <mergeCell ref="F34:F35"/>
    <mergeCell ref="N40:O40"/>
    <mergeCell ref="G41:H41"/>
    <mergeCell ref="I41:J41"/>
    <mergeCell ref="N193:O193"/>
    <mergeCell ref="N189:O189"/>
    <mergeCell ref="N190:O190"/>
    <mergeCell ref="N191:O191"/>
    <mergeCell ref="N192:O192"/>
    <mergeCell ref="N187:O187"/>
    <mergeCell ref="N41:O41"/>
    <mergeCell ref="I40:J40"/>
    <mergeCell ref="N44:O44"/>
    <mergeCell ref="G45:H45"/>
    <mergeCell ref="I45:J45"/>
    <mergeCell ref="N45:O45"/>
    <mergeCell ref="G44:H44"/>
    <mergeCell ref="I44:J44"/>
    <mergeCell ref="G42:H42"/>
    <mergeCell ref="I42:J42"/>
    <mergeCell ref="N58:O58"/>
    <mergeCell ref="L59:M59"/>
    <mergeCell ref="N59:O59"/>
  </mergeCells>
  <phoneticPr fontId="27"/>
  <conditionalFormatting sqref="F14 F75 F92 F109 F126 F143 F155 F171 F181 F203 F212 F221 F230 F240 F257 F274 F286 F297 F307 F318 F327 F337 F352 F371 F390 F400 F409 F418 F429 F439 F450 F459 F470">
    <cfRule type="expression" dxfId="292" priority="15" stopIfTrue="1">
      <formula>AND(OR(F14&lt;1,F14&gt;5),F14&lt;&gt;0)</formula>
    </cfRule>
    <cfRule type="expression" dxfId="291" priority="16" stopIfTrue="1">
      <formula>$J13&gt;0</formula>
    </cfRule>
  </conditionalFormatting>
  <conditionalFormatting sqref="F47">
    <cfRule type="expression" dxfId="290" priority="24" stopIfTrue="1">
      <formula>$M$51&lt;2000</formula>
    </cfRule>
  </conditionalFormatting>
  <conditionalFormatting sqref="F50">
    <cfRule type="expression" dxfId="289" priority="465" stopIfTrue="1">
      <formula>AND(OR($F$50&lt;1,$F$50&gt;5),$F$50&lt;&gt;$R$46)</formula>
    </cfRule>
    <cfRule type="expression" dxfId="288" priority="466" stopIfTrue="1">
      <formula>AND(J39&gt;0,$M$51&gt;0,I50=$N$4)</formula>
    </cfRule>
  </conditionalFormatting>
  <conditionalFormatting sqref="F360 K360">
    <cfRule type="expression" dxfId="287" priority="5" stopIfTrue="1">
      <formula>AND(OR(F360&lt;1,F360&gt;5),F360&lt;&gt;R367)</formula>
    </cfRule>
    <cfRule type="expression" dxfId="286" priority="6" stopIfTrue="1">
      <formula>J359&gt;0</formula>
    </cfRule>
  </conditionalFormatting>
  <conditionalFormatting sqref="F361 K361">
    <cfRule type="expression" dxfId="285" priority="7" stopIfTrue="1">
      <formula>AND(OR(F361&lt;1,F361&gt;5),F361&lt;&gt;#REF!)</formula>
    </cfRule>
    <cfRule type="expression" dxfId="284" priority="8" stopIfTrue="1">
      <formula>J360&gt;0</formula>
    </cfRule>
  </conditionalFormatting>
  <conditionalFormatting sqref="F52:G55">
    <cfRule type="expression" dxfId="283" priority="459" stopIfTrue="1">
      <formula>AND($J$39&gt;0,$M$51&gt;2000)</formula>
    </cfRule>
    <cfRule type="expression" dxfId="282" priority="460" stopIfTrue="1">
      <formula>AND($J$39&gt;0,$M$51&lt;2000,$F$47=$M$3)</formula>
    </cfRule>
  </conditionalFormatting>
  <conditionalFormatting sqref="F56:G59">
    <cfRule type="expression" dxfId="281" priority="21" stopIfTrue="1">
      <formula>$J$39&gt;0</formula>
    </cfRule>
  </conditionalFormatting>
  <conditionalFormatting sqref="G50">
    <cfRule type="expression" dxfId="280" priority="461" stopIfTrue="1">
      <formula>AND(OR($G$50&lt;1,$G$50&gt;5),$G$50&lt;&gt;$R$46)</formula>
    </cfRule>
    <cfRule type="expression" dxfId="279" priority="462" stopIfTrue="1">
      <formula>AND(O39&gt;0,O$51&gt;0,I50=$N$4)</formula>
    </cfRule>
  </conditionalFormatting>
  <conditionalFormatting sqref="G62">
    <cfRule type="expression" dxfId="278" priority="463" stopIfTrue="1">
      <formula>AND(OR($G$62&lt;1,$G$62&gt;5),$G$62&lt;&gt;$W$46)</formula>
    </cfRule>
    <cfRule type="expression" dxfId="277" priority="464" stopIfTrue="1">
      <formula>AND(O39&gt;0,K63&gt;0,I62=$N$4)</formula>
    </cfRule>
  </conditionalFormatting>
  <conditionalFormatting sqref="G65:G69">
    <cfRule type="expression" dxfId="276" priority="457" stopIfTrue="1">
      <formula>$I$62=$N$4</formula>
    </cfRule>
    <cfRule type="expression" dxfId="275" priority="458" stopIfTrue="1">
      <formula>AND($O$39&gt;0,$K$63&gt;0)</formula>
    </cfRule>
  </conditionalFormatting>
  <conditionalFormatting sqref="I50">
    <cfRule type="expression" dxfId="274" priority="1" stopIfTrue="1">
      <formula>AND(J39&gt;0,$M$51&gt;0)</formula>
    </cfRule>
  </conditionalFormatting>
  <conditionalFormatting sqref="I62">
    <cfRule type="expression" dxfId="273" priority="2" stopIfTrue="1">
      <formula>AND(O39&gt;0,K63&gt;0)</formula>
    </cfRule>
  </conditionalFormatting>
  <conditionalFormatting sqref="L14 K75 K92 K109 K126 K143 M155 K181 K212 K230 K240 K257 K274 K286 K307 K327 M352 K371 K390 K400 K409 K418 K429 K439 K450 K459 K470">
    <cfRule type="expression" dxfId="272" priority="3" stopIfTrue="1">
      <formula>AND(OR(K14&lt;1,K14&gt;5),K14&lt;&gt;0)</formula>
    </cfRule>
    <cfRule type="expression" dxfId="271" priority="4" stopIfTrue="1">
      <formula>$O13&gt;0</formula>
    </cfRule>
  </conditionalFormatting>
  <dataValidations disablePrompts="1" count="10">
    <dataValidation type="list" allowBlank="1" showInputMessage="1" sqref="K360 F360" xr:uid="{00000000-0002-0000-0600-000000000000}">
      <formula1>R362:R367</formula1>
    </dataValidation>
    <dataValidation type="list" allowBlank="1" showInputMessage="1" sqref="L14 M155 K75 K126 K109 K92 K143 K212 K230 K181 K257 K286 K307 K318 K327 M352 K371 K390 K400 K409 K418 K429 K439 K450 K459 K470 K274 K240" xr:uid="{00000000-0002-0000-0600-000001000000}">
      <formula1>$C15:$C20</formula1>
    </dataValidation>
    <dataValidation type="list" allowBlank="1" showInputMessage="1" sqref="K361 F361" xr:uid="{00000000-0002-0000-0600-000002000000}">
      <formula1>R363:R367</formula1>
    </dataValidation>
    <dataValidation type="list" allowBlank="1" showInputMessage="1" sqref="F14 F155 F181 F143 F126 F109 F92 F75 F221 F230 F240 F286 F297 F307 F318 F327 F352 F371 F203 F409 F429 F439 F459 F470 F400 F337 F257 F450 F418 F274 F212 F171 F390" xr:uid="{00000000-0002-0000-0600-000003000000}">
      <formula1>$B15:$B20</formula1>
    </dataValidation>
    <dataValidation type="list" allowBlank="1" showInputMessage="1" showErrorMessage="1" sqref="G65:G69 F52:G59" xr:uid="{00000000-0002-0000-0600-000004000000}">
      <formula1>"○,　"</formula1>
    </dataValidation>
    <dataValidation type="list" allowBlank="1" sqref="G62" xr:uid="{00000000-0002-0000-0600-000005000000}">
      <formula1>$B$63:$B$68</formula1>
    </dataValidation>
    <dataValidation type="list" allowBlank="1" showInputMessage="1" sqref="G50" xr:uid="{00000000-0002-0000-0600-000006000000}">
      <formula1>$C$51:$C$56</formula1>
    </dataValidation>
    <dataValidation type="list" allowBlank="1" showInputMessage="1" sqref="F50" xr:uid="{00000000-0002-0000-0600-000007000000}">
      <formula1>$B$51:$B$56</formula1>
    </dataValidation>
    <dataValidation type="list" allowBlank="1" showInputMessage="1" showErrorMessage="1" sqref="I62 I50" xr:uid="{00000000-0002-0000-0600-000008000000}">
      <formula1>$N$3:$N$4</formula1>
    </dataValidation>
    <dataValidation type="list" allowBlank="1" showInputMessage="1" showErrorMessage="1" sqref="F47" xr:uid="{00000000-0002-0000-0600-000009000000}">
      <formula1>$M$3:$M$4</formula1>
    </dataValidation>
  </dataValidations>
  <printOptions horizontalCentered="1"/>
  <pageMargins left="0.59055118110236227" right="0.59055118110236227" top="0.78740157480314965" bottom="0.59055118110236227" header="0.51181102362204722" footer="0.51181102362204722"/>
  <pageSetup paperSize="9" scale="80" fitToHeight="0" orientation="portrait" verticalDpi="4294967293" r:id="rId1"/>
  <headerFooter alignWithMargins="0">
    <oddHeader>&amp;L&amp;F&amp;R&amp;A</oddHeader>
    <oddFooter>&amp;C&amp;P/&amp;N</oddFooter>
  </headerFooter>
  <rowBreaks count="8" manualBreakCount="8">
    <brk id="140" min="3" max="15" man="1"/>
    <brk id="178" min="3" max="15" man="1"/>
    <brk id="237" min="3" max="15" man="1"/>
    <brk id="281" min="3" max="15" man="1"/>
    <brk id="349" min="3" max="15" man="1"/>
    <brk id="385" min="3" max="15" man="1"/>
    <brk id="436" min="3" max="15" man="1"/>
    <brk id="466" min="3" max="15"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autoPageBreaks="0" fitToPage="1"/>
  </sheetPr>
  <dimension ref="A1:AI428"/>
  <sheetViews>
    <sheetView showGridLines="0" topLeftCell="A92" zoomScale="70" zoomScaleNormal="70" workbookViewId="0">
      <selection activeCell="F385" sqref="F385"/>
    </sheetView>
  </sheetViews>
  <sheetFormatPr defaultColWidth="0" defaultRowHeight="13.5" zeroHeight="1"/>
  <cols>
    <col min="1" max="1" width="2.625" customWidth="1"/>
    <col min="2" max="3" width="6" hidden="1" customWidth="1"/>
    <col min="4" max="4" width="5" style="1387" customWidth="1"/>
    <col min="5" max="5" width="1.5" style="44" customWidth="1"/>
    <col min="6" max="15" width="10.625" style="44" customWidth="1"/>
    <col min="16" max="16" width="2.875" customWidth="1"/>
    <col min="17" max="21" width="5.875" hidden="1" customWidth="1"/>
    <col min="22" max="16384" width="5.5" hidden="1"/>
  </cols>
  <sheetData>
    <row r="1" spans="2:15" ht="15.75">
      <c r="D1" s="499"/>
      <c r="E1" s="500"/>
      <c r="F1" s="500"/>
      <c r="G1" s="500"/>
      <c r="H1" s="500"/>
      <c r="I1" s="500"/>
      <c r="J1" s="500"/>
      <c r="K1" s="500"/>
      <c r="L1" s="500"/>
      <c r="M1" s="501" t="s">
        <v>2243</v>
      </c>
      <c r="N1" s="502" t="str">
        <f>メイン!C11</f>
        <v>○○ビル</v>
      </c>
      <c r="O1" s="502"/>
    </row>
    <row r="2" spans="2:15" ht="15.75" hidden="1">
      <c r="D2" s="499"/>
      <c r="E2" s="500"/>
      <c r="F2">
        <v>1</v>
      </c>
      <c r="G2" t="s">
        <v>1370</v>
      </c>
      <c r="H2" t="s">
        <v>2192</v>
      </c>
      <c r="I2"/>
      <c r="J2" s="500"/>
      <c r="K2" s="500"/>
      <c r="L2" s="500"/>
      <c r="M2" s="1985"/>
      <c r="N2" s="444"/>
      <c r="O2" s="444"/>
    </row>
    <row r="3" spans="2:15" ht="15.75" hidden="1">
      <c r="D3" s="499"/>
      <c r="E3" s="500"/>
      <c r="F3">
        <v>2</v>
      </c>
      <c r="G3" t="s">
        <v>1099</v>
      </c>
      <c r="H3" t="s">
        <v>1100</v>
      </c>
      <c r="I3"/>
      <c r="J3" s="500"/>
      <c r="K3" t="s">
        <v>1098</v>
      </c>
      <c r="L3" t="s">
        <v>1123</v>
      </c>
      <c r="M3" t="s">
        <v>1610</v>
      </c>
      <c r="N3" t="s">
        <v>2691</v>
      </c>
      <c r="O3" t="str">
        <f>メイン!I37</f>
        <v>基本設計段階</v>
      </c>
    </row>
    <row r="4" spans="2:15" ht="15.75" hidden="1">
      <c r="D4" s="499"/>
      <c r="E4" s="500"/>
      <c r="F4">
        <v>3</v>
      </c>
      <c r="G4" t="s">
        <v>1105</v>
      </c>
      <c r="H4" t="s">
        <v>1106</v>
      </c>
      <c r="I4"/>
      <c r="J4" s="500"/>
      <c r="K4" s="500"/>
      <c r="L4"/>
      <c r="M4"/>
      <c r="N4" t="s">
        <v>2694</v>
      </c>
      <c r="O4" t="str">
        <f>メイン!I38</f>
        <v>実施設計段階</v>
      </c>
    </row>
    <row r="5" spans="2:15" ht="15.75" hidden="1">
      <c r="D5" s="499"/>
      <c r="E5" s="500"/>
      <c r="F5">
        <v>4</v>
      </c>
      <c r="G5" t="s">
        <v>1001</v>
      </c>
      <c r="H5" t="s">
        <v>1002</v>
      </c>
      <c r="I5"/>
      <c r="J5" s="500"/>
      <c r="K5" s="500"/>
      <c r="L5"/>
      <c r="M5"/>
      <c r="N5"/>
      <c r="O5" t="str">
        <f>メイン!I39</f>
        <v>竣工段階</v>
      </c>
    </row>
    <row r="6" spans="2:15" ht="15.75" hidden="1">
      <c r="D6" s="499"/>
      <c r="E6" s="500"/>
      <c r="F6">
        <v>5</v>
      </c>
      <c r="G6" t="s">
        <v>1008</v>
      </c>
      <c r="H6" t="s">
        <v>1009</v>
      </c>
      <c r="I6"/>
      <c r="J6" s="500"/>
      <c r="K6" s="500"/>
      <c r="L6"/>
      <c r="M6" t="s">
        <v>1367</v>
      </c>
      <c r="N6"/>
      <c r="O6">
        <f>メイン!Q42</f>
        <v>0</v>
      </c>
    </row>
    <row r="7" spans="2:15" ht="15.75" hidden="1">
      <c r="D7" s="499"/>
      <c r="E7" s="500"/>
      <c r="F7">
        <v>0</v>
      </c>
      <c r="G7" t="s">
        <v>2198</v>
      </c>
      <c r="H7" t="s">
        <v>2198</v>
      </c>
      <c r="I7"/>
      <c r="J7" s="500"/>
      <c r="K7" s="500"/>
      <c r="L7"/>
      <c r="M7" t="s">
        <v>1368</v>
      </c>
      <c r="N7" t="s">
        <v>1529</v>
      </c>
      <c r="O7"/>
    </row>
    <row r="8" spans="2:15" ht="16.5" thickBot="1">
      <c r="D8" s="499"/>
      <c r="E8" s="500"/>
      <c r="F8"/>
      <c r="G8"/>
      <c r="H8"/>
      <c r="I8"/>
      <c r="J8" s="500"/>
      <c r="K8" s="500"/>
      <c r="L8" s="500"/>
      <c r="N8" s="500"/>
      <c r="O8" s="500"/>
    </row>
    <row r="9" spans="2:15" ht="18.75" thickBot="1">
      <c r="D9" s="785" t="s">
        <v>1366</v>
      </c>
      <c r="E9" s="504"/>
      <c r="F9" s="404"/>
      <c r="G9" s="404"/>
      <c r="H9" s="404"/>
      <c r="I9" s="505"/>
      <c r="J9" s="506" t="str">
        <f>採点Q1!J9</f>
        <v>色欄について、プルダウンメニューから選択、または数値・コメント※を記入。</v>
      </c>
      <c r="K9" s="63"/>
      <c r="L9" s="63"/>
      <c r="M9" s="404"/>
      <c r="N9" s="404"/>
      <c r="O9" s="507" t="str">
        <f>IF(メイン!E39=0,"",メイン!E39)</f>
        <v>実施設計段階</v>
      </c>
    </row>
    <row r="10" spans="2:15" ht="17.25">
      <c r="D10" s="503"/>
      <c r="E10" s="504"/>
      <c r="F10" s="404"/>
      <c r="G10" s="404"/>
      <c r="H10" s="404"/>
      <c r="I10" s="404"/>
      <c r="J10" s="2257" t="str">
        <f>採点Q1!J10</f>
        <v>※環境配慮の概要は最長30字程度。レベル３を超える場合は必ず記入する。</v>
      </c>
      <c r="K10" s="63"/>
      <c r="L10" s="63"/>
      <c r="M10" s="404"/>
      <c r="N10" s="404"/>
      <c r="O10" s="404"/>
    </row>
    <row r="11" spans="2:15" ht="15.75">
      <c r="D11" s="499">
        <v>1</v>
      </c>
      <c r="E11" s="508" t="s">
        <v>772</v>
      </c>
      <c r="F11" s="508"/>
      <c r="G11" s="508"/>
      <c r="H11" s="508"/>
      <c r="I11" s="508"/>
      <c r="J11" s="508"/>
      <c r="K11" s="508"/>
      <c r="L11" s="508"/>
      <c r="M11" s="508"/>
      <c r="N11" s="508"/>
      <c r="O11" s="508"/>
    </row>
    <row r="12" spans="2:15" ht="15.75">
      <c r="D12" s="499">
        <v>1.1000000000000001</v>
      </c>
      <c r="E12" s="508" t="s">
        <v>1951</v>
      </c>
      <c r="F12" s="508"/>
      <c r="G12" s="512"/>
      <c r="H12" s="508"/>
      <c r="I12" s="508"/>
      <c r="J12" s="508"/>
      <c r="K12" s="508"/>
      <c r="L12" s="512"/>
      <c r="M12" s="508"/>
      <c r="N12" s="508"/>
      <c r="O12" s="508"/>
    </row>
    <row r="13" spans="2:15" ht="15.75">
      <c r="D13" s="503"/>
      <c r="E13" s="63"/>
      <c r="F13" s="511" t="s">
        <v>1530</v>
      </c>
      <c r="G13" s="512"/>
      <c r="H13" s="508"/>
      <c r="I13" s="500"/>
      <c r="J13" s="578" t="str">
        <f>IF(OR(F15=0,AND(J14=0,O14=0)),$L$3,"")</f>
        <v>&lt;評価しない&gt;</v>
      </c>
      <c r="K13" s="511"/>
      <c r="L13" s="512"/>
      <c r="M13" s="508"/>
      <c r="N13" s="500"/>
      <c r="O13" s="513"/>
    </row>
    <row r="14" spans="2:15" ht="15.75" customHeight="1" thickBot="1">
      <c r="D14" s="503"/>
      <c r="E14" s="63"/>
      <c r="F14" s="515" t="s">
        <v>392</v>
      </c>
      <c r="G14" s="516"/>
      <c r="H14" s="1441"/>
      <c r="I14" s="518" t="s">
        <v>1126</v>
      </c>
      <c r="J14" s="521">
        <f>重み!M65</f>
        <v>0.1111111111111111</v>
      </c>
      <c r="K14" s="515" t="s">
        <v>1614</v>
      </c>
      <c r="L14" s="516"/>
      <c r="M14" s="1441"/>
      <c r="N14" s="518" t="s">
        <v>1126</v>
      </c>
      <c r="O14" s="521">
        <f>重み!N65</f>
        <v>0</v>
      </c>
    </row>
    <row r="15" spans="2:15" ht="27" customHeight="1" thickBot="1">
      <c r="D15" s="503"/>
      <c r="E15" s="63"/>
      <c r="F15" s="522">
        <v>0</v>
      </c>
      <c r="G15" s="618" t="s">
        <v>1531</v>
      </c>
      <c r="H15" s="528"/>
      <c r="I15" s="686" t="s">
        <v>1465</v>
      </c>
      <c r="J15" s="799"/>
      <c r="K15" s="522">
        <v>0</v>
      </c>
      <c r="L15" s="618" t="s">
        <v>1532</v>
      </c>
      <c r="M15" s="528"/>
      <c r="N15" s="618" t="s">
        <v>1369</v>
      </c>
      <c r="O15" s="528"/>
    </row>
    <row r="16" spans="2:15" ht="30.75" customHeight="1">
      <c r="B16" s="688">
        <v>1</v>
      </c>
      <c r="C16" s="1">
        <v>1</v>
      </c>
      <c r="D16" s="503"/>
      <c r="E16" s="63"/>
      <c r="F16" s="529" t="str">
        <f>IF(F15=$F$7,$G$2,IF(ROUNDDOWN(F15,0)=$F$2,$H$2,$G$2))</f>
        <v>　レベル　1</v>
      </c>
      <c r="G16" s="1263" t="s">
        <v>1878</v>
      </c>
      <c r="H16" s="1559"/>
      <c r="I16" s="2052" t="s">
        <v>1879</v>
      </c>
      <c r="J16" s="1710"/>
      <c r="K16" s="529" t="str">
        <f>IF(K15=$F$7,$G$2,IF(ROUNDDOWN(K15,0)=$F$2,$H$2,$G$2))</f>
        <v>　レベル　1</v>
      </c>
      <c r="L16" s="1263" t="s">
        <v>1343</v>
      </c>
      <c r="M16" s="1996"/>
      <c r="N16" s="2017" t="s">
        <v>1343</v>
      </c>
      <c r="O16" s="1996"/>
    </row>
    <row r="17" spans="2:35" ht="30.75" customHeight="1">
      <c r="B17" s="688" t="s">
        <v>2375</v>
      </c>
      <c r="C17" s="1" t="s">
        <v>2375</v>
      </c>
      <c r="D17" s="503"/>
      <c r="E17" s="63"/>
      <c r="F17" s="534" t="str">
        <f>IF(F15=$F$7,$G$3,IF(ROUNDDOWN(F15,0)=$F$3,$H$3,$G$3))</f>
        <v>　レベル　2</v>
      </c>
      <c r="G17" s="662" t="s">
        <v>1794</v>
      </c>
      <c r="H17" s="543"/>
      <c r="I17" s="2053" t="s">
        <v>1880</v>
      </c>
      <c r="J17" s="1711"/>
      <c r="K17" s="534" t="str">
        <f>IF(K15=$F$7,$G$3,IF(ROUNDDOWN(K15,0)=$F$3,$H$3,$G$3))</f>
        <v>　レベル　2</v>
      </c>
      <c r="L17" s="662" t="s">
        <v>1794</v>
      </c>
      <c r="M17" s="1770"/>
      <c r="N17" s="1763" t="s">
        <v>1794</v>
      </c>
      <c r="O17" s="1770"/>
    </row>
    <row r="18" spans="2:35" ht="30.75" customHeight="1">
      <c r="B18" s="1">
        <v>3</v>
      </c>
      <c r="C18" s="1">
        <v>3</v>
      </c>
      <c r="D18" s="503"/>
      <c r="E18" s="63"/>
      <c r="F18" s="534" t="str">
        <f>IF(F15=$F$7,$G$4,IF(ROUNDDOWN(F15,0)=$F$4,$H$4,$G$4))</f>
        <v>　レベル　3</v>
      </c>
      <c r="G18" s="3328" t="s">
        <v>1881</v>
      </c>
      <c r="H18" s="3372"/>
      <c r="I18" s="2053" t="s">
        <v>1882</v>
      </c>
      <c r="J18" s="1711"/>
      <c r="K18" s="534" t="str">
        <f>IF(K15=$F$7,$G$4,IF(ROUNDDOWN(K15,0)=$F$4,$H$4,$G$4))</f>
        <v>　レベル　3</v>
      </c>
      <c r="L18" s="3328" t="s">
        <v>2193</v>
      </c>
      <c r="M18" s="3418"/>
      <c r="N18" s="3412" t="s">
        <v>2194</v>
      </c>
      <c r="O18" s="3418"/>
    </row>
    <row r="19" spans="2:35" ht="30.75" customHeight="1">
      <c r="B19" s="688">
        <v>4</v>
      </c>
      <c r="C19" s="1">
        <v>4</v>
      </c>
      <c r="D19" s="503"/>
      <c r="E19" s="63"/>
      <c r="F19" s="534" t="str">
        <f>IF(F15=$F$7,$G$5,IF(ROUNDDOWN(F15,0)=$F$5,$H$5,$G$5))</f>
        <v>　レベル　4</v>
      </c>
      <c r="G19" s="3328" t="s">
        <v>1519</v>
      </c>
      <c r="H19" s="3418"/>
      <c r="I19" s="2053" t="s">
        <v>1883</v>
      </c>
      <c r="J19" s="1711"/>
      <c r="K19" s="534" t="str">
        <f>IF(K15=$F$7,$G$5,IF(ROUNDDOWN(K15,0)=$F$5,$H$5,$G$5))</f>
        <v>　レベル　4</v>
      </c>
      <c r="L19" s="662" t="s">
        <v>1794</v>
      </c>
      <c r="M19" s="1770"/>
      <c r="N19" s="3412" t="s">
        <v>2195</v>
      </c>
      <c r="O19" s="3418"/>
    </row>
    <row r="20" spans="2:35" ht="30.75" customHeight="1">
      <c r="B20" s="688">
        <v>5</v>
      </c>
      <c r="C20" s="1">
        <v>5</v>
      </c>
      <c r="D20" s="503"/>
      <c r="E20" s="63"/>
      <c r="F20" s="544" t="str">
        <f>IF(F15=$F$7,$G$6,IF(ROUNDDOWN(F15,0)=$F$6,$H$6,$G$6))</f>
        <v>　レベル　5</v>
      </c>
      <c r="G20" s="3332" t="s">
        <v>1884</v>
      </c>
      <c r="H20" s="3417"/>
      <c r="I20" s="2054" t="s">
        <v>1883</v>
      </c>
      <c r="J20" s="1712"/>
      <c r="K20" s="544" t="str">
        <f>IF(K15=$F$7,$G$6,IF(ROUNDDOWN(K15,0)=$F$6,$H$6,$G$6))</f>
        <v>　レベル　5</v>
      </c>
      <c r="L20" s="3332" t="s">
        <v>2196</v>
      </c>
      <c r="M20" s="3417"/>
      <c r="N20" s="3415" t="s">
        <v>2197</v>
      </c>
      <c r="O20" s="3417"/>
    </row>
    <row r="21" spans="2:35" ht="15.75">
      <c r="B21" s="551">
        <v>0</v>
      </c>
      <c r="C21" s="551">
        <v>0</v>
      </c>
      <c r="D21" s="503"/>
      <c r="E21" s="503"/>
      <c r="F21" s="839" t="s">
        <v>2938</v>
      </c>
      <c r="G21" s="1941"/>
      <c r="H21" s="1917"/>
      <c r="I21" s="1915"/>
      <c r="J21" s="1916"/>
      <c r="K21" s="1977"/>
      <c r="L21" s="1231"/>
      <c r="M21" s="1231"/>
      <c r="N21" s="1231"/>
      <c r="O21" s="1231"/>
      <c r="P21" s="503"/>
      <c r="Q21" s="503"/>
      <c r="R21" s="503"/>
      <c r="S21" s="503"/>
      <c r="T21" s="503"/>
      <c r="U21" s="503"/>
      <c r="V21" s="503"/>
      <c r="W21" s="503"/>
      <c r="X21" s="503"/>
      <c r="Y21" s="503"/>
      <c r="Z21" s="503"/>
      <c r="AA21" s="503"/>
      <c r="AB21" s="503"/>
      <c r="AC21" s="503"/>
      <c r="AD21" s="503"/>
      <c r="AE21" s="503"/>
      <c r="AF21" s="503"/>
      <c r="AG21" s="503"/>
      <c r="AH21" s="503"/>
      <c r="AI21" s="503"/>
    </row>
    <row r="22" spans="2:35" ht="15.75">
      <c r="B22" s="870"/>
      <c r="C22" s="870"/>
      <c r="D22" s="503"/>
      <c r="E22" s="503"/>
      <c r="G22" s="1977" t="s">
        <v>3242</v>
      </c>
      <c r="H22" s="2216">
        <v>6</v>
      </c>
      <c r="I22" s="1977" t="s">
        <v>3243</v>
      </c>
      <c r="J22" s="2216">
        <v>8</v>
      </c>
      <c r="K22" s="1977" t="s">
        <v>3244</v>
      </c>
      <c r="L22" s="2216">
        <v>15</v>
      </c>
      <c r="M22" s="1977" t="s">
        <v>3245</v>
      </c>
      <c r="N22" s="2216">
        <v>22</v>
      </c>
      <c r="P22" s="503"/>
      <c r="Q22" s="503"/>
      <c r="R22" s="503"/>
      <c r="S22" s="503"/>
      <c r="T22" s="503"/>
      <c r="U22" s="503"/>
      <c r="V22" s="503"/>
      <c r="W22" s="503"/>
      <c r="X22" s="503"/>
      <c r="Y22" s="503"/>
      <c r="Z22" s="503"/>
      <c r="AA22" s="503"/>
      <c r="AB22" s="503"/>
      <c r="AC22" s="503"/>
      <c r="AD22" s="503"/>
      <c r="AE22" s="503"/>
      <c r="AF22" s="503"/>
      <c r="AG22" s="503"/>
      <c r="AH22" s="503"/>
      <c r="AI22" s="503"/>
    </row>
    <row r="23" spans="2:35" ht="15.75">
      <c r="B23" s="870"/>
      <c r="C23" s="870"/>
      <c r="D23" s="503"/>
      <c r="E23" s="503"/>
      <c r="F23" s="503"/>
      <c r="G23" s="503"/>
      <c r="H23" s="503"/>
      <c r="I23" s="503"/>
      <c r="J23" s="503"/>
      <c r="K23" s="503"/>
      <c r="L23" s="503"/>
      <c r="M23" s="503"/>
      <c r="N23" s="503"/>
      <c r="O23" s="503"/>
      <c r="P23" s="503"/>
      <c r="Q23" s="503"/>
      <c r="R23" s="503"/>
      <c r="S23" s="503"/>
      <c r="T23" s="503"/>
      <c r="U23" s="503"/>
      <c r="V23" s="503"/>
      <c r="W23" s="503"/>
      <c r="X23" s="503"/>
      <c r="Y23" s="503"/>
      <c r="Z23" s="503"/>
      <c r="AA23" s="503"/>
      <c r="AB23" s="503"/>
      <c r="AC23" s="503"/>
      <c r="AD23" s="503"/>
      <c r="AE23" s="503"/>
      <c r="AF23" s="503"/>
      <c r="AG23" s="503"/>
      <c r="AH23" s="503"/>
      <c r="AI23" s="503"/>
    </row>
    <row r="24" spans="2:35" ht="15.75">
      <c r="D24" s="503"/>
      <c r="E24" s="404"/>
      <c r="F24" s="511" t="s">
        <v>1520</v>
      </c>
      <c r="G24"/>
      <c r="H24"/>
      <c r="I24"/>
      <c r="J24" t="str">
        <f>IF(OR(F26=0,AND(J25=0,O25=0)),$L$3,"")</f>
        <v/>
      </c>
      <c r="K24"/>
      <c r="L24"/>
      <c r="M24"/>
      <c r="N24"/>
      <c r="O24"/>
    </row>
    <row r="25" spans="2:35" ht="15.75" customHeight="1" thickBot="1">
      <c r="D25" s="503"/>
      <c r="E25" s="404"/>
      <c r="F25" s="515" t="s">
        <v>2199</v>
      </c>
      <c r="G25" s="516"/>
      <c r="H25" s="1441"/>
      <c r="I25" s="518" t="s">
        <v>1126</v>
      </c>
      <c r="J25" s="521">
        <f>重み!M66</f>
        <v>0.1111111111111111</v>
      </c>
      <c r="K25" s="515" t="s">
        <v>1614</v>
      </c>
      <c r="L25" s="516"/>
      <c r="M25" s="1441"/>
      <c r="N25" s="518" t="s">
        <v>1126</v>
      </c>
      <c r="O25" s="521">
        <f>重み!N66</f>
        <v>0.66666666666666663</v>
      </c>
    </row>
    <row r="26" spans="2:35" ht="27" customHeight="1" thickBot="1">
      <c r="D26" s="503"/>
      <c r="E26" s="404"/>
      <c r="F26" s="522">
        <v>3</v>
      </c>
      <c r="G26" s="618" t="s">
        <v>1531</v>
      </c>
      <c r="H26" s="527"/>
      <c r="I26" s="527"/>
      <c r="J26" s="528"/>
      <c r="K26" s="522">
        <v>3</v>
      </c>
      <c r="L26" s="618" t="s">
        <v>2200</v>
      </c>
      <c r="M26" s="527"/>
      <c r="N26" s="527"/>
      <c r="O26" s="528"/>
    </row>
    <row r="27" spans="2:35" ht="21" customHeight="1">
      <c r="B27" s="1">
        <v>1</v>
      </c>
      <c r="C27" s="1">
        <v>1</v>
      </c>
      <c r="D27" s="503"/>
      <c r="E27" s="404"/>
      <c r="F27" s="529" t="str">
        <f>IF(F26=$F$7,$G$2,IF(ROUNDDOWN(F26,0)=$F$2,$H$2,$G$2))</f>
        <v>　レベル　1</v>
      </c>
      <c r="G27" s="2017" t="s">
        <v>1666</v>
      </c>
      <c r="H27" s="1995"/>
      <c r="I27" s="1995"/>
      <c r="J27" s="1996"/>
      <c r="K27" s="1999" t="str">
        <f>IF(K26=$F$7,$G$2,IF(ROUNDDOWN(K26,0)=$F$2,$H$2,$G$2))</f>
        <v>　レベル　1</v>
      </c>
      <c r="L27" s="2017" t="s">
        <v>1666</v>
      </c>
      <c r="M27" s="1995"/>
      <c r="N27" s="1995"/>
      <c r="O27" s="1996"/>
    </row>
    <row r="28" spans="2:35" ht="54.75" customHeight="1">
      <c r="B28" s="1">
        <v>2</v>
      </c>
      <c r="C28" s="1">
        <v>2</v>
      </c>
      <c r="D28" s="503"/>
      <c r="E28" s="404"/>
      <c r="F28" s="534" t="str">
        <f>IF(F26=$F$7,$G$3,IF(ROUNDDOWN(F26,0)=$F$3,$H$3,$G$3))</f>
        <v>　レベル　2</v>
      </c>
      <c r="G28" s="3412" t="s">
        <v>1386</v>
      </c>
      <c r="H28" s="3419"/>
      <c r="I28" s="3419"/>
      <c r="J28" s="3418"/>
      <c r="K28" s="1999" t="str">
        <f>IF(K26=$F$7,$G$3,IF(ROUNDDOWN(K26,0)=$F$3,$H$3,$G$3))</f>
        <v>　レベル　2</v>
      </c>
      <c r="L28" s="3422" t="s">
        <v>1889</v>
      </c>
      <c r="M28" s="3419"/>
      <c r="N28" s="3419"/>
      <c r="O28" s="3418"/>
    </row>
    <row r="29" spans="2:35" ht="67.5" customHeight="1">
      <c r="B29" s="1">
        <v>3</v>
      </c>
      <c r="C29" s="1">
        <v>3</v>
      </c>
      <c r="D29" s="503"/>
      <c r="E29" s="404"/>
      <c r="F29" s="534" t="str">
        <f>IF(F26=$F$7,$G$4,IF(ROUNDDOWN(F26,0)=$F$4,$H$4,$G$4))</f>
        <v>■レベル　3</v>
      </c>
      <c r="G29" s="3412" t="s">
        <v>1890</v>
      </c>
      <c r="H29" s="3419"/>
      <c r="I29" s="3419"/>
      <c r="J29" s="3418"/>
      <c r="K29" s="1999" t="str">
        <f>IF(K26=$F$7,$G$4,IF(ROUNDDOWN(K26,0)=$F$4,$H$4,$G$4))</f>
        <v>■レベル　3</v>
      </c>
      <c r="L29" s="3422" t="s">
        <v>1891</v>
      </c>
      <c r="M29" s="3419"/>
      <c r="N29" s="3419"/>
      <c r="O29" s="3418"/>
    </row>
    <row r="30" spans="2:35" ht="69.75" customHeight="1">
      <c r="B30" s="1">
        <v>4</v>
      </c>
      <c r="C30" s="1">
        <v>4</v>
      </c>
      <c r="D30" s="503"/>
      <c r="E30" s="404"/>
      <c r="F30" s="534" t="str">
        <f>IF(F26=$F$7,$G$5,IF(ROUNDDOWN(F26,0)=$F$5,$H$5,$G$5))</f>
        <v>　レベル　4</v>
      </c>
      <c r="G30" s="3412" t="s">
        <v>1892</v>
      </c>
      <c r="H30" s="3419"/>
      <c r="I30" s="3419"/>
      <c r="J30" s="3418"/>
      <c r="K30" s="1999" t="str">
        <f>IF(K26=$F$7,$G$5,IF(ROUNDDOWN(K26,0)=$F$5,$H$5,$G$5))</f>
        <v>　レベル　4</v>
      </c>
      <c r="L30" s="3422" t="s">
        <v>1276</v>
      </c>
      <c r="M30" s="3419"/>
      <c r="N30" s="3419"/>
      <c r="O30" s="3418"/>
    </row>
    <row r="31" spans="2:35" ht="69.75" customHeight="1">
      <c r="B31" s="1">
        <v>5</v>
      </c>
      <c r="C31" s="1">
        <v>5</v>
      </c>
      <c r="D31" s="503"/>
      <c r="E31" s="404"/>
      <c r="F31" s="544" t="str">
        <f>IF(F26=$F$7,$G$6,IF(ROUNDDOWN(F26,0)=$F$6,$H$6,$G$6))</f>
        <v>　レベル　5</v>
      </c>
      <c r="G31" s="3415" t="s">
        <v>1893</v>
      </c>
      <c r="H31" s="3416"/>
      <c r="I31" s="3416"/>
      <c r="J31" s="3417"/>
      <c r="K31" s="2000" t="str">
        <f>IF(K26=$F$7,$G$6,IF(ROUNDDOWN(K26,0)=$F$6,$H$6,$G$6))</f>
        <v>　レベル　5</v>
      </c>
      <c r="L31" s="3423" t="s">
        <v>1894</v>
      </c>
      <c r="M31" s="3416"/>
      <c r="N31" s="3416"/>
      <c r="O31" s="3417"/>
    </row>
    <row r="32" spans="2:35">
      <c r="B32" s="551">
        <v>0</v>
      </c>
      <c r="C32" s="551">
        <v>0</v>
      </c>
      <c r="D32"/>
      <c r="E32"/>
      <c r="F32" s="839" t="s">
        <v>2938</v>
      </c>
      <c r="G32" s="3189"/>
      <c r="H32" s="1917"/>
      <c r="I32" s="1915"/>
      <c r="J32" s="1916"/>
      <c r="K32" s="1918"/>
      <c r="L32" s="1231"/>
      <c r="M32"/>
      <c r="N32"/>
      <c r="O32"/>
    </row>
    <row r="33" spans="2:15">
      <c r="B33" s="870"/>
      <c r="C33" s="870"/>
      <c r="D33"/>
      <c r="E33"/>
      <c r="F33" s="1977" t="s">
        <v>2914</v>
      </c>
      <c r="G33" s="2075">
        <v>30</v>
      </c>
      <c r="H33" s="1949" t="s">
        <v>3095</v>
      </c>
      <c r="I33" s="500"/>
      <c r="J33" s="500"/>
      <c r="K33" s="1918"/>
      <c r="L33" s="1231"/>
      <c r="M33"/>
      <c r="N33"/>
      <c r="O33"/>
    </row>
    <row r="34" spans="2:15">
      <c r="B34" s="870"/>
      <c r="C34" s="870"/>
      <c r="D34"/>
      <c r="E34"/>
      <c r="F34"/>
      <c r="G34"/>
      <c r="H34"/>
      <c r="I34"/>
      <c r="J34"/>
      <c r="K34"/>
      <c r="L34"/>
      <c r="M34"/>
      <c r="N34"/>
      <c r="O34"/>
    </row>
    <row r="35" spans="2:15">
      <c r="D35"/>
      <c r="E35"/>
      <c r="F35" s="511" t="s">
        <v>1277</v>
      </c>
      <c r="G35"/>
      <c r="H35"/>
      <c r="I35"/>
      <c r="J35" t="str">
        <f>IF(OR(F37=0,J36=0),$L$3,"")</f>
        <v/>
      </c>
      <c r="K35"/>
      <c r="L35"/>
      <c r="M35"/>
      <c r="N35"/>
      <c r="O35"/>
    </row>
    <row r="36" spans="2:15" ht="15.75" customHeight="1" thickBot="1">
      <c r="D36" s="503"/>
      <c r="E36" s="404"/>
      <c r="F36" s="630" t="s">
        <v>270</v>
      </c>
      <c r="G36" s="516"/>
      <c r="H36" s="1441"/>
      <c r="I36" s="518" t="s">
        <v>1126</v>
      </c>
      <c r="J36" s="519">
        <f>重み!M67</f>
        <v>0.77777777777777768</v>
      </c>
      <c r="K36" s="516"/>
      <c r="L36" s="1441"/>
      <c r="M36" s="516"/>
      <c r="N36" s="1713"/>
      <c r="O36" s="574"/>
    </row>
    <row r="37" spans="2:15" ht="41.25" customHeight="1" thickBot="1">
      <c r="D37" s="503"/>
      <c r="E37" s="404"/>
      <c r="F37" s="522">
        <v>3</v>
      </c>
      <c r="G37" s="618" t="s">
        <v>4271</v>
      </c>
      <c r="H37" s="527"/>
      <c r="I37" s="527"/>
      <c r="J37" s="528"/>
      <c r="K37" s="3409" t="s">
        <v>4279</v>
      </c>
      <c r="L37" s="3410"/>
      <c r="M37" s="3410"/>
      <c r="N37" s="3411"/>
      <c r="O37" s="574"/>
    </row>
    <row r="38" spans="2:15" ht="21" customHeight="1">
      <c r="B38" s="1">
        <v>1</v>
      </c>
      <c r="C38" s="1">
        <v>1</v>
      </c>
      <c r="D38" s="503"/>
      <c r="E38" s="404"/>
      <c r="F38" s="529" t="str">
        <f>IF(F37=$F$7,$G$2,IF(ROUNDDOWN(F37,0)=$F$2,$H$2,$G$2))</f>
        <v>　レベル　1</v>
      </c>
      <c r="G38" s="2017" t="s">
        <v>1627</v>
      </c>
      <c r="H38" s="2041"/>
      <c r="I38" s="2041"/>
      <c r="J38" s="2055"/>
      <c r="K38" s="2017" t="s">
        <v>1627</v>
      </c>
      <c r="L38" s="2046"/>
      <c r="M38" s="2046"/>
      <c r="N38" s="2042"/>
      <c r="O38" s="574"/>
    </row>
    <row r="39" spans="2:15" ht="21" customHeight="1">
      <c r="B39" s="1" t="s">
        <v>1895</v>
      </c>
      <c r="C39" s="1" t="s">
        <v>1895</v>
      </c>
      <c r="D39" s="503"/>
      <c r="E39" s="404"/>
      <c r="F39" s="534" t="str">
        <f>IF(F37=$F$7,$G$3,IF(ROUNDDOWN(F37,0)=$F$3,$H$3,$G$3))</f>
        <v>　レベル　2</v>
      </c>
      <c r="G39" s="1763" t="s">
        <v>1794</v>
      </c>
      <c r="H39" s="1761"/>
      <c r="I39" s="1761"/>
      <c r="J39" s="1764"/>
      <c r="K39" s="1763" t="s">
        <v>1794</v>
      </c>
      <c r="L39" s="1761"/>
      <c r="M39" s="1761"/>
      <c r="N39" s="1764"/>
      <c r="O39" s="574"/>
    </row>
    <row r="40" spans="2:15" ht="39" customHeight="1">
      <c r="B40" s="1">
        <v>3</v>
      </c>
      <c r="C40" s="1">
        <v>3</v>
      </c>
      <c r="D40" s="503"/>
      <c r="E40" s="404"/>
      <c r="F40" s="534" t="str">
        <f>IF(F37=$F$7,$G$4,IF(ROUNDDOWN(F37,0)=$F$4,$H$4,$G$4))</f>
        <v>■レベル　3</v>
      </c>
      <c r="G40" s="3412" t="s">
        <v>1896</v>
      </c>
      <c r="H40" s="3419"/>
      <c r="I40" s="3419"/>
      <c r="J40" s="3418"/>
      <c r="K40" s="3412" t="s">
        <v>1278</v>
      </c>
      <c r="L40" s="3419"/>
      <c r="M40" s="3419"/>
      <c r="N40" s="3418"/>
      <c r="O40" s="574"/>
    </row>
    <row r="41" spans="2:15" ht="39" customHeight="1">
      <c r="B41" s="1">
        <v>4</v>
      </c>
      <c r="C41" s="1">
        <v>4</v>
      </c>
      <c r="D41" s="503"/>
      <c r="E41" s="404"/>
      <c r="F41" s="534" t="str">
        <f>IF(F37=$F$7,$G$5,IF(ROUNDDOWN(F37,0)=$F$5,$H$5,$G$5))</f>
        <v>　レベル　4</v>
      </c>
      <c r="G41" s="3412" t="s">
        <v>1897</v>
      </c>
      <c r="H41" s="3419"/>
      <c r="I41" s="3419"/>
      <c r="J41" s="3418"/>
      <c r="K41" s="3412" t="s">
        <v>1279</v>
      </c>
      <c r="L41" s="3419"/>
      <c r="M41" s="3419"/>
      <c r="N41" s="3418"/>
      <c r="O41" s="574"/>
    </row>
    <row r="42" spans="2:15" ht="39" customHeight="1">
      <c r="B42" s="1">
        <v>5</v>
      </c>
      <c r="C42" s="1">
        <v>5</v>
      </c>
      <c r="D42" s="503"/>
      <c r="E42" s="404"/>
      <c r="F42" s="544" t="str">
        <f>IF(F37=$F$7,$G$6,IF(ROUNDDOWN(F37,0)=$F$6,$H$6,$G$6))</f>
        <v>　レベル　5</v>
      </c>
      <c r="G42" s="3415" t="s">
        <v>1898</v>
      </c>
      <c r="H42" s="3416"/>
      <c r="I42" s="3416"/>
      <c r="J42" s="3417"/>
      <c r="K42" s="3415" t="s">
        <v>1280</v>
      </c>
      <c r="L42" s="3416"/>
      <c r="M42" s="3416"/>
      <c r="N42" s="3417"/>
      <c r="O42" s="574"/>
    </row>
    <row r="43" spans="2:15" ht="15.75">
      <c r="B43" s="551">
        <v>0</v>
      </c>
      <c r="C43" s="551">
        <v>0</v>
      </c>
      <c r="D43" s="503"/>
      <c r="E43" s="404"/>
      <c r="F43" s="839" t="s">
        <v>2938</v>
      </c>
      <c r="G43" s="1941"/>
      <c r="H43" s="1917"/>
      <c r="I43" s="1915"/>
      <c r="J43" s="1916"/>
      <c r="K43" s="1918"/>
      <c r="L43" s="1231"/>
      <c r="M43"/>
      <c r="N43"/>
      <c r="O43"/>
    </row>
    <row r="44" spans="2:15" ht="15.75">
      <c r="B44" s="870"/>
      <c r="C44" s="870"/>
      <c r="D44" s="503"/>
      <c r="E44" s="404"/>
      <c r="F44"/>
      <c r="G44"/>
      <c r="H44"/>
      <c r="I44"/>
      <c r="J44"/>
      <c r="K44"/>
      <c r="L44"/>
      <c r="M44"/>
      <c r="N44"/>
      <c r="O44"/>
    </row>
    <row r="45" spans="2:15" ht="15.75">
      <c r="D45" s="499">
        <v>1.2</v>
      </c>
      <c r="E45" s="508" t="s">
        <v>1281</v>
      </c>
      <c r="F45"/>
      <c r="G45"/>
      <c r="H45"/>
      <c r="I45"/>
      <c r="J45"/>
      <c r="K45"/>
      <c r="L45"/>
      <c r="M45"/>
      <c r="N45"/>
      <c r="O45"/>
    </row>
    <row r="46" spans="2:15" ht="15.75">
      <c r="D46" s="503"/>
      <c r="E46" s="63"/>
      <c r="F46" s="511" t="s">
        <v>3247</v>
      </c>
      <c r="G46"/>
      <c r="H46"/>
      <c r="I46"/>
      <c r="J46" t="str">
        <f>IF(OR(F48=0,AND(J47=0,O47=0)),$L$3,"")</f>
        <v>&lt;評価しない&gt;</v>
      </c>
      <c r="K46"/>
      <c r="L46"/>
      <c r="M46"/>
      <c r="N46"/>
      <c r="O46"/>
    </row>
    <row r="47" spans="2:15" ht="15.75" customHeight="1" thickBot="1">
      <c r="B47" s="670" t="s">
        <v>1282</v>
      </c>
      <c r="D47" s="503"/>
      <c r="E47" s="63"/>
      <c r="F47" s="630" t="s">
        <v>1341</v>
      </c>
      <c r="G47" s="516"/>
      <c r="H47" s="1441"/>
      <c r="I47" s="518" t="s">
        <v>1126</v>
      </c>
      <c r="J47" s="519">
        <f>重み!M69</f>
        <v>0.1111111111111111</v>
      </c>
      <c r="K47" s="631"/>
      <c r="L47" s="633"/>
      <c r="M47" s="1714" t="s">
        <v>1614</v>
      </c>
      <c r="N47" s="3201" t="s">
        <v>1126</v>
      </c>
      <c r="O47" s="520">
        <f>重み!N69</f>
        <v>0.33333333333333331</v>
      </c>
    </row>
    <row r="48" spans="2:15" ht="27" customHeight="1" thickBot="1">
      <c r="D48" s="503"/>
      <c r="E48" s="63"/>
      <c r="F48" s="522">
        <v>0</v>
      </c>
      <c r="G48" s="618" t="s">
        <v>1531</v>
      </c>
      <c r="H48" s="528"/>
      <c r="I48" s="636" t="s">
        <v>1283</v>
      </c>
      <c r="J48" s="528"/>
      <c r="K48" s="524" t="s">
        <v>365</v>
      </c>
      <c r="L48" s="525" t="s">
        <v>393</v>
      </c>
      <c r="M48" s="522">
        <v>3</v>
      </c>
      <c r="N48" s="618" t="s">
        <v>740</v>
      </c>
      <c r="O48" s="528"/>
    </row>
    <row r="49" spans="2:15" ht="21" customHeight="1">
      <c r="B49" s="1">
        <v>1</v>
      </c>
      <c r="C49" s="1">
        <v>1</v>
      </c>
      <c r="D49" s="503"/>
      <c r="E49" s="63"/>
      <c r="F49" s="529" t="str">
        <f>IF(F48=$F$7,$G$2,IF(ROUNDDOWN(F48,0)=$F$2,$H$2,$G$2))</f>
        <v>　レベル　1</v>
      </c>
      <c r="G49" s="1263" t="s">
        <v>1223</v>
      </c>
      <c r="H49" s="2042"/>
      <c r="I49" s="1763" t="s">
        <v>1223</v>
      </c>
      <c r="J49" s="1764"/>
      <c r="K49" s="2001" t="s">
        <v>1666</v>
      </c>
      <c r="L49" s="2001" t="s">
        <v>369</v>
      </c>
      <c r="M49" s="1784" t="str">
        <f>IF(M48=$F$7,$G$2,IF(ROUNDDOWN(M48,0)=$F$2,$H$2,$G$2))</f>
        <v>　レベル　1</v>
      </c>
      <c r="N49" s="1763" t="s">
        <v>1223</v>
      </c>
      <c r="O49" s="1764"/>
    </row>
    <row r="50" spans="2:15" ht="32.25" customHeight="1">
      <c r="B50" s="1">
        <v>2</v>
      </c>
      <c r="C50" s="1" t="s">
        <v>2377</v>
      </c>
      <c r="D50" s="503"/>
      <c r="E50" s="63"/>
      <c r="F50" s="534" t="str">
        <f>IF(F48=$F$7,$G$3,IF(ROUNDDOWN(F48,0)=$F$3,$H$3,$G$3))</f>
        <v>　レベル　2</v>
      </c>
      <c r="G50" s="662" t="s">
        <v>1794</v>
      </c>
      <c r="H50" s="1764"/>
      <c r="I50" s="1763" t="s">
        <v>1794</v>
      </c>
      <c r="J50" s="1764"/>
      <c r="K50" s="2002" t="s">
        <v>2223</v>
      </c>
      <c r="L50" s="2003" t="s">
        <v>295</v>
      </c>
      <c r="M50" s="1786" t="str">
        <f>IF(M48=$F$7,$G$3,IF(ROUNDDOWN(M48,0)=$F$3,$H$3,$G$3))</f>
        <v>　レベル　2</v>
      </c>
      <c r="N50" s="1763" t="s">
        <v>1794</v>
      </c>
      <c r="O50" s="1764"/>
    </row>
    <row r="51" spans="2:15" ht="57" customHeight="1">
      <c r="B51" s="1">
        <v>3</v>
      </c>
      <c r="C51" s="1">
        <v>3</v>
      </c>
      <c r="D51" s="503"/>
      <c r="E51" s="63"/>
      <c r="F51" s="534" t="str">
        <f>IF(F48=$F$7,$G$4,IF(ROUNDDOWN(F48,0)=$F$4,$H$4,$G$4))</f>
        <v>　レベル　3</v>
      </c>
      <c r="G51" s="3328" t="s">
        <v>2340</v>
      </c>
      <c r="H51" s="3418"/>
      <c r="I51" s="1763" t="s">
        <v>2341</v>
      </c>
      <c r="J51" s="1764"/>
      <c r="K51" s="2002" t="s">
        <v>2224</v>
      </c>
      <c r="L51" s="2003" t="s">
        <v>745</v>
      </c>
      <c r="M51" s="1786" t="str">
        <f>IF(M48=$F$7,$G$4,IF(ROUNDDOWN(M48,0)=$F$4,$H$4,$G$4))</f>
        <v>■レベル　3</v>
      </c>
      <c r="N51" s="3412" t="s">
        <v>2342</v>
      </c>
      <c r="O51" s="3418"/>
    </row>
    <row r="52" spans="2:15" ht="57" customHeight="1">
      <c r="B52" s="1">
        <v>4</v>
      </c>
      <c r="C52" s="1">
        <v>4</v>
      </c>
      <c r="D52" s="503"/>
      <c r="E52" s="63"/>
      <c r="F52" s="534" t="str">
        <f>IF(F48=$F$7,$G$5,IF(ROUNDDOWN(F48,0)=$F$5,$H$5,$G$5))</f>
        <v>　レベル　4</v>
      </c>
      <c r="G52" s="3328" t="s">
        <v>2343</v>
      </c>
      <c r="H52" s="3418"/>
      <c r="I52" s="1763" t="s">
        <v>2344</v>
      </c>
      <c r="J52" s="1764"/>
      <c r="K52" s="2002" t="s">
        <v>2225</v>
      </c>
      <c r="L52" s="2003" t="s">
        <v>295</v>
      </c>
      <c r="M52" s="1786" t="str">
        <f>IF(M48=$F$7,$G$5,IF(ROUNDDOWN(M48,0)=$F$5,$H$5,$G$5))</f>
        <v>　レベル　4</v>
      </c>
      <c r="N52" s="3412" t="s">
        <v>2345</v>
      </c>
      <c r="O52" s="3418"/>
    </row>
    <row r="53" spans="2:15" ht="57" customHeight="1">
      <c r="B53" s="1">
        <v>5</v>
      </c>
      <c r="C53" s="1">
        <v>5</v>
      </c>
      <c r="D53" s="503"/>
      <c r="E53" s="63"/>
      <c r="F53" s="544" t="str">
        <f>IF(F48=$F$7,$G$6,IF(ROUNDDOWN(F48,0)=$F$6,$H$6,$G$6))</f>
        <v>　レベル　5</v>
      </c>
      <c r="G53" s="3332" t="s">
        <v>1065</v>
      </c>
      <c r="H53" s="3417"/>
      <c r="I53" s="2010" t="s">
        <v>1066</v>
      </c>
      <c r="J53" s="1771"/>
      <c r="K53" s="2004" t="s">
        <v>2226</v>
      </c>
      <c r="L53" s="1998" t="s">
        <v>746</v>
      </c>
      <c r="M53" s="1788" t="str">
        <f>IF(M48=$F$7,$G$6,IF(ROUNDDOWN(M48,0)=$F$6,$H$6,$G$6))</f>
        <v>　レベル　5</v>
      </c>
      <c r="N53" s="3415" t="s">
        <v>1067</v>
      </c>
      <c r="O53" s="3417"/>
    </row>
    <row r="54" spans="2:15" ht="15.75">
      <c r="B54" s="551">
        <v>0</v>
      </c>
      <c r="C54" s="551">
        <v>0</v>
      </c>
      <c r="D54" s="503"/>
      <c r="E54" s="404"/>
      <c r="F54" s="839" t="s">
        <v>2938</v>
      </c>
      <c r="G54" s="1941"/>
      <c r="H54" s="1917"/>
      <c r="I54" s="1915"/>
      <c r="J54" s="1916"/>
      <c r="K54" s="1977" t="s">
        <v>3246</v>
      </c>
      <c r="L54" s="1942">
        <v>2.5</v>
      </c>
      <c r="M54"/>
      <c r="N54"/>
      <c r="O54"/>
    </row>
    <row r="55" spans="2:15">
      <c r="B55" s="870"/>
      <c r="C55" s="870"/>
      <c r="D55"/>
      <c r="E55"/>
      <c r="F55"/>
      <c r="G55"/>
      <c r="H55"/>
      <c r="I55"/>
      <c r="J55"/>
      <c r="K55"/>
      <c r="L55"/>
      <c r="M55"/>
      <c r="N55"/>
      <c r="O55"/>
    </row>
    <row r="56" spans="2:15">
      <c r="D56"/>
      <c r="E56"/>
      <c r="F56" s="511" t="s">
        <v>3248</v>
      </c>
      <c r="G56"/>
      <c r="H56"/>
      <c r="I56"/>
      <c r="J56" t="str">
        <f>IF(OR(F58=0,J57=0),$L$3,"")</f>
        <v/>
      </c>
      <c r="K56"/>
      <c r="L56"/>
      <c r="M56"/>
      <c r="N56"/>
      <c r="O56"/>
    </row>
    <row r="57" spans="2:15" ht="15.75" customHeight="1" thickBot="1">
      <c r="D57" s="503"/>
      <c r="E57" s="628"/>
      <c r="F57" s="630" t="s">
        <v>904</v>
      </c>
      <c r="G57" s="516"/>
      <c r="H57" s="1441"/>
      <c r="I57" s="518" t="s">
        <v>1126</v>
      </c>
      <c r="J57" s="519">
        <f>重み!M71</f>
        <v>0.1111111111111111</v>
      </c>
      <c r="K57" s="516"/>
      <c r="L57" s="1441"/>
      <c r="M57" s="516"/>
      <c r="N57" s="516"/>
      <c r="O57" s="520"/>
    </row>
    <row r="58" spans="2:15" ht="27" customHeight="1" thickBot="1">
      <c r="D58" s="503"/>
      <c r="E58" s="628"/>
      <c r="F58" s="522">
        <v>3</v>
      </c>
      <c r="G58" s="2093" t="s">
        <v>1531</v>
      </c>
      <c r="H58" s="636"/>
      <c r="I58" s="636"/>
      <c r="J58" s="636"/>
      <c r="K58" s="636"/>
      <c r="L58" s="2093" t="s">
        <v>2227</v>
      </c>
      <c r="M58" s="636"/>
      <c r="N58" s="636"/>
      <c r="O58" s="623"/>
    </row>
    <row r="59" spans="2:15" ht="21" customHeight="1">
      <c r="B59" s="1" t="s">
        <v>861</v>
      </c>
      <c r="C59" s="1">
        <v>1</v>
      </c>
      <c r="D59" s="503"/>
      <c r="E59" s="691"/>
      <c r="F59" s="529" t="str">
        <f>IF(F58=$F$7,$G$2,IF(ROUNDDOWN(F58,0)=$F$2,$H$2,$G$2))</f>
        <v>　レベル　1</v>
      </c>
      <c r="G59" s="1263" t="s">
        <v>1498</v>
      </c>
      <c r="H59" s="698"/>
      <c r="I59" s="698"/>
      <c r="J59" s="698"/>
      <c r="K59" s="698"/>
      <c r="L59" s="1263" t="s">
        <v>295</v>
      </c>
      <c r="M59" s="698"/>
      <c r="N59" s="698"/>
      <c r="O59" s="699"/>
    </row>
    <row r="60" spans="2:15" ht="21" customHeight="1">
      <c r="B60" s="1">
        <v>2</v>
      </c>
      <c r="C60" s="1">
        <v>2</v>
      </c>
      <c r="D60" s="503"/>
      <c r="E60" s="691"/>
      <c r="F60" s="534" t="str">
        <f>IF(F58=$F$7,$G$3,IF(ROUNDDOWN(F58,0)=$F$3,$H$3,$G$3))</f>
        <v>　レベル　2</v>
      </c>
      <c r="G60" s="662" t="s">
        <v>19</v>
      </c>
      <c r="H60" s="663"/>
      <c r="I60" s="663"/>
      <c r="J60" s="663"/>
      <c r="K60" s="663"/>
      <c r="L60" s="662" t="s">
        <v>22</v>
      </c>
      <c r="M60" s="663"/>
      <c r="N60" s="663"/>
      <c r="O60" s="701"/>
    </row>
    <row r="61" spans="2:15" ht="21" customHeight="1">
      <c r="B61" s="1">
        <v>3</v>
      </c>
      <c r="C61" s="1">
        <v>3</v>
      </c>
      <c r="D61" s="503"/>
      <c r="E61" s="691"/>
      <c r="F61" s="534" t="str">
        <f>IF(F58=$F$7,$G$4,IF(ROUNDDOWN(F58,0)=$F$4,$H$4,$G$4))</f>
        <v>■レベル　3</v>
      </c>
      <c r="G61" s="662" t="s">
        <v>310</v>
      </c>
      <c r="H61" s="663"/>
      <c r="I61" s="663"/>
      <c r="J61" s="663"/>
      <c r="K61" s="663"/>
      <c r="L61" s="662" t="s">
        <v>1068</v>
      </c>
      <c r="M61" s="663"/>
      <c r="N61" s="663"/>
      <c r="O61" s="701"/>
    </row>
    <row r="62" spans="2:15" ht="21" customHeight="1">
      <c r="B62" s="1">
        <v>4</v>
      </c>
      <c r="C62" s="1">
        <v>4</v>
      </c>
      <c r="D62" s="503"/>
      <c r="E62" s="691"/>
      <c r="F62" s="534" t="str">
        <f>IF(F58=$F$7,$G$5,IF(ROUNDDOWN(F58,0)=$F$5,$H$5,$G$5))</f>
        <v>　レベル　4</v>
      </c>
      <c r="G62" s="662" t="s">
        <v>20</v>
      </c>
      <c r="H62" s="663"/>
      <c r="I62" s="663"/>
      <c r="J62" s="663"/>
      <c r="K62" s="663"/>
      <c r="L62" s="662" t="s">
        <v>1069</v>
      </c>
      <c r="M62" s="663"/>
      <c r="N62" s="663"/>
      <c r="O62" s="701"/>
    </row>
    <row r="63" spans="2:15" ht="26.25" customHeight="1">
      <c r="B63" s="1">
        <v>5</v>
      </c>
      <c r="C63" s="1">
        <v>5</v>
      </c>
      <c r="D63" s="503"/>
      <c r="E63" s="691"/>
      <c r="F63" s="544" t="str">
        <f>IF(F58=$F$7,$G$6,IF(ROUNDDOWN(F58,0)=$F$6,$H$6,$G$6))</f>
        <v>　レベル　5</v>
      </c>
      <c r="G63" s="810" t="s">
        <v>21</v>
      </c>
      <c r="H63" s="703"/>
      <c r="I63" s="703"/>
      <c r="J63" s="703"/>
      <c r="K63" s="703"/>
      <c r="L63" s="810" t="s">
        <v>1070</v>
      </c>
      <c r="M63" s="703"/>
      <c r="N63" s="703"/>
      <c r="O63" s="704"/>
    </row>
    <row r="64" spans="2:15">
      <c r="B64" s="551">
        <v>0</v>
      </c>
      <c r="C64" s="551">
        <v>0</v>
      </c>
      <c r="D64"/>
      <c r="E64"/>
      <c r="F64" s="839" t="s">
        <v>2938</v>
      </c>
      <c r="G64" s="1941"/>
      <c r="H64" s="1917"/>
      <c r="I64" s="1915"/>
      <c r="J64" s="1916"/>
      <c r="K64" s="1918"/>
      <c r="L64" s="1977" t="s">
        <v>1580</v>
      </c>
      <c r="M64" s="2074"/>
      <c r="N64" s="1977" t="s">
        <v>2917</v>
      </c>
      <c r="O64" s="2074">
        <v>0.02</v>
      </c>
    </row>
    <row r="65" spans="2:15">
      <c r="B65" s="870"/>
      <c r="C65" s="870"/>
      <c r="D65"/>
      <c r="E65"/>
      <c r="K65" s="1918"/>
      <c r="L65" s="1231"/>
      <c r="M65"/>
      <c r="N65"/>
      <c r="O65"/>
    </row>
    <row r="66" spans="2:15">
      <c r="D66"/>
      <c r="E66"/>
      <c r="F66" s="511" t="s">
        <v>2228</v>
      </c>
      <c r="G66"/>
      <c r="H66"/>
      <c r="I66"/>
      <c r="J66" t="str">
        <f>IF(OR(F68=0,AND(J67=0,O67=0)),$L$3,"")</f>
        <v/>
      </c>
      <c r="K66"/>
      <c r="L66"/>
      <c r="M66"/>
      <c r="N66"/>
      <c r="O66"/>
    </row>
    <row r="67" spans="2:15" ht="15.75" customHeight="1" thickBot="1">
      <c r="D67" s="503"/>
      <c r="E67" s="404"/>
      <c r="F67" s="515" t="s">
        <v>2360</v>
      </c>
      <c r="G67" s="516"/>
      <c r="H67" s="1441"/>
      <c r="I67" s="518" t="s">
        <v>1126</v>
      </c>
      <c r="J67" s="521">
        <f>重み!M72</f>
        <v>0.77777777777777768</v>
      </c>
      <c r="K67" s="515" t="s">
        <v>1614</v>
      </c>
      <c r="L67" s="516"/>
      <c r="M67" s="1441"/>
      <c r="N67" s="518" t="s">
        <v>1126</v>
      </c>
      <c r="O67" s="521">
        <f>重み!N72</f>
        <v>0.33333333333333331</v>
      </c>
    </row>
    <row r="68" spans="2:15" ht="27" customHeight="1" thickBot="1">
      <c r="B68" t="s">
        <v>2967</v>
      </c>
      <c r="C68" t="s">
        <v>2967</v>
      </c>
      <c r="D68" s="503"/>
      <c r="E68" s="404"/>
      <c r="F68" s="1777">
        <f>G76</f>
        <v>3</v>
      </c>
      <c r="G68" s="618" t="s">
        <v>1209</v>
      </c>
      <c r="H68" s="527"/>
      <c r="I68" s="527"/>
      <c r="J68" s="528"/>
      <c r="K68" s="1777">
        <f>L76</f>
        <v>3</v>
      </c>
      <c r="L68" s="618" t="s">
        <v>740</v>
      </c>
      <c r="M68" s="527"/>
      <c r="N68" s="527"/>
      <c r="O68" s="528"/>
    </row>
    <row r="69" spans="2:15" ht="21" customHeight="1">
      <c r="B69">
        <v>0</v>
      </c>
      <c r="C69">
        <v>0</v>
      </c>
      <c r="D69" s="503"/>
      <c r="E69" s="404"/>
      <c r="F69" s="529" t="str">
        <f>IF(F68=$F$7,$G$2,IF(ROUNDDOWN(F68,0)=$F$2,$H$2,$G$2))</f>
        <v>　レベル　1</v>
      </c>
      <c r="G69" s="531" t="s">
        <v>335</v>
      </c>
      <c r="H69" s="1783"/>
      <c r="I69" s="1783"/>
      <c r="J69" s="1769"/>
      <c r="K69" s="1784" t="str">
        <f>IF(K68=$F$7,$G$2,IF(ROUNDDOWN(K68,0)=$F$2,$H$2,$G$2))</f>
        <v>　レベル　1</v>
      </c>
      <c r="L69" s="1792" t="s">
        <v>335</v>
      </c>
      <c r="M69" s="1783"/>
      <c r="N69" s="1783"/>
      <c r="O69" s="1769"/>
    </row>
    <row r="70" spans="2:15" ht="21" customHeight="1">
      <c r="B70">
        <v>2</v>
      </c>
      <c r="C70">
        <v>2</v>
      </c>
      <c r="D70" s="503"/>
      <c r="E70" s="404"/>
      <c r="F70" s="534" t="str">
        <f>IF(F68=$F$7,$G$3,IF(ROUNDDOWN(F68,0)=$F$3,$H$3,$G$3))</f>
        <v>　レベル　2</v>
      </c>
      <c r="G70" s="537" t="s">
        <v>1794</v>
      </c>
      <c r="H70" s="1785"/>
      <c r="I70" s="1785"/>
      <c r="J70" s="1770"/>
      <c r="K70" s="1786" t="str">
        <f>IF(K68=$F$7,$G$3,IF(ROUNDDOWN(K68,0)=$F$3,$H$3,$G$3))</f>
        <v>　レベル　2</v>
      </c>
      <c r="L70" s="1793" t="s">
        <v>1794</v>
      </c>
      <c r="M70" s="1785"/>
      <c r="N70" s="1785"/>
      <c r="O70" s="1770"/>
    </row>
    <row r="71" spans="2:15" ht="21" customHeight="1">
      <c r="B71">
        <v>2</v>
      </c>
      <c r="C71">
        <v>2</v>
      </c>
      <c r="D71" s="503"/>
      <c r="E71" s="404"/>
      <c r="F71" s="534" t="str">
        <f>IF(F68=$F$7,$G$4,IF(ROUNDDOWN(F68,0)=$F$4,$H$4,$G$4))</f>
        <v>■レベル　3</v>
      </c>
      <c r="G71" s="537" t="s">
        <v>1071</v>
      </c>
      <c r="H71" s="1785"/>
      <c r="I71" s="1785"/>
      <c r="J71" s="1770"/>
      <c r="K71" s="1786" t="str">
        <f>IF(K68=$F$7,$G$4,IF(ROUNDDOWN(K68,0)=$F$4,$H$4,$G$4))</f>
        <v>■レベル　3</v>
      </c>
      <c r="L71" s="1793" t="s">
        <v>1071</v>
      </c>
      <c r="M71" s="1785"/>
      <c r="N71" s="1785"/>
      <c r="O71" s="1770"/>
    </row>
    <row r="72" spans="2:15" ht="21" customHeight="1">
      <c r="B72">
        <v>3</v>
      </c>
      <c r="C72">
        <v>3</v>
      </c>
      <c r="D72" s="503"/>
      <c r="E72" s="404"/>
      <c r="F72" s="534" t="str">
        <f>IF(F68=$F$7,$G$5,IF(ROUNDDOWN(F68,0)=$F$5,$H$5,$G$5))</f>
        <v>　レベル　4</v>
      </c>
      <c r="G72" s="537" t="s">
        <v>1072</v>
      </c>
      <c r="H72" s="1785"/>
      <c r="I72" s="1785"/>
      <c r="J72" s="1770"/>
      <c r="K72" s="1786" t="str">
        <f>IF(K68=$F$7,$G$5,IF(ROUNDDOWN(K68,0)=$F$5,$H$5,$G$5))</f>
        <v>　レベル　4</v>
      </c>
      <c r="L72" s="1793" t="s">
        <v>1072</v>
      </c>
      <c r="M72" s="1785"/>
      <c r="N72" s="1785"/>
      <c r="O72" s="1770"/>
    </row>
    <row r="73" spans="2:15" ht="21" customHeight="1">
      <c r="B73">
        <v>4</v>
      </c>
      <c r="C73">
        <v>4</v>
      </c>
      <c r="D73" s="503"/>
      <c r="E73" s="404"/>
      <c r="F73" s="544" t="str">
        <f>IF(F68=$F$7,$G$6,IF(ROUNDDOWN(F68,0)=$F$6,$H$6,$G$6))</f>
        <v>　レベル　5</v>
      </c>
      <c r="G73" s="548" t="s">
        <v>1073</v>
      </c>
      <c r="H73" s="1787"/>
      <c r="I73" s="1787"/>
      <c r="J73" s="1771"/>
      <c r="K73" s="1788" t="str">
        <f>IF(K68=$F$7,$G$6,IF(ROUNDDOWN(K68,0)=$F$6,$H$6,$G$6))</f>
        <v>　レベル　5</v>
      </c>
      <c r="L73" s="1791" t="s">
        <v>1073</v>
      </c>
      <c r="M73" s="1789"/>
      <c r="N73" s="1789"/>
      <c r="O73" s="1790"/>
    </row>
    <row r="74" spans="2:15">
      <c r="D74"/>
      <c r="E74"/>
      <c r="F74" s="839" t="s">
        <v>2938</v>
      </c>
      <c r="G74" s="1941"/>
      <c r="H74" s="1917"/>
      <c r="I74" s="1915"/>
      <c r="J74" s="1916"/>
      <c r="K74" s="2094" t="s">
        <v>3232</v>
      </c>
      <c r="L74" s="1231"/>
      <c r="M74"/>
      <c r="N74"/>
      <c r="O74"/>
    </row>
    <row r="75" spans="2:15">
      <c r="D75"/>
      <c r="E75"/>
      <c r="F75" s="552" t="s">
        <v>2229</v>
      </c>
      <c r="G75"/>
      <c r="H75"/>
      <c r="I75"/>
      <c r="J75"/>
      <c r="K75" s="552" t="s">
        <v>2229</v>
      </c>
      <c r="L75"/>
      <c r="M75"/>
      <c r="N75"/>
      <c r="O75"/>
    </row>
    <row r="76" spans="2:15" ht="20.25" customHeight="1" thickBot="1">
      <c r="D76" s="503"/>
      <c r="E76" s="503"/>
      <c r="F76" s="503"/>
      <c r="G76" s="1796">
        <f>IF(G81&gt;=B73,5,IF(G81&gt;=B72,4,IF(G81&gt;=B71,3,IF(G81&gt;=B70,2,1))))</f>
        <v>3</v>
      </c>
      <c r="H76" s="2226" t="s">
        <v>2803</v>
      </c>
      <c r="I76" s="2226"/>
      <c r="J76" s="2227"/>
      <c r="K76" s="503"/>
      <c r="L76" s="1796">
        <f>IF(L81&gt;=C73,5,IF(L81&gt;=C72,4,IF(L81&gt;=C71,3,IF(L81&gt;=C70,2,1))))</f>
        <v>3</v>
      </c>
      <c r="M76" s="408" t="s">
        <v>2803</v>
      </c>
      <c r="N76" s="2226"/>
      <c r="O76" s="2227"/>
    </row>
    <row r="77" spans="2:15" ht="60.75" customHeight="1">
      <c r="D77" s="503"/>
      <c r="E77" s="404"/>
      <c r="F77" s="1927" t="s">
        <v>2856</v>
      </c>
      <c r="G77" s="1778" t="s">
        <v>2222</v>
      </c>
      <c r="H77" s="3437" t="s">
        <v>2230</v>
      </c>
      <c r="I77" s="3438"/>
      <c r="J77" s="3439"/>
      <c r="K77" s="1927" t="s">
        <v>3094</v>
      </c>
      <c r="L77" s="1778"/>
      <c r="M77" s="3437" t="s">
        <v>2231</v>
      </c>
      <c r="N77" s="3434"/>
      <c r="O77" s="3435"/>
    </row>
    <row r="78" spans="2:15" ht="81.75" customHeight="1">
      <c r="D78" s="503"/>
      <c r="E78" s="404"/>
      <c r="F78" s="1927" t="s">
        <v>2936</v>
      </c>
      <c r="G78" s="602" t="s">
        <v>2222</v>
      </c>
      <c r="H78" s="3440" t="s">
        <v>1649</v>
      </c>
      <c r="I78" s="3419"/>
      <c r="J78" s="3418"/>
      <c r="K78" s="1927" t="s">
        <v>2861</v>
      </c>
      <c r="L78" s="602" t="s">
        <v>2222</v>
      </c>
      <c r="M78" s="3440" t="s">
        <v>1649</v>
      </c>
      <c r="N78" s="3419"/>
      <c r="O78" s="3418"/>
    </row>
    <row r="79" spans="2:15" ht="69" customHeight="1">
      <c r="D79" s="503"/>
      <c r="E79" s="404"/>
      <c r="F79" s="1927" t="s">
        <v>2858</v>
      </c>
      <c r="G79" s="602"/>
      <c r="H79" s="3441" t="s">
        <v>3834</v>
      </c>
      <c r="I79" s="3442"/>
      <c r="J79" s="3443"/>
      <c r="K79" s="1927" t="s">
        <v>2862</v>
      </c>
      <c r="L79" s="602"/>
      <c r="M79" s="3440" t="s">
        <v>1085</v>
      </c>
      <c r="N79" s="3419"/>
      <c r="O79" s="3418"/>
    </row>
    <row r="80" spans="2:15" ht="41.25" customHeight="1" thickBot="1">
      <c r="D80" s="503"/>
      <c r="E80" s="404"/>
      <c r="F80" s="1927" t="s">
        <v>2859</v>
      </c>
      <c r="G80" s="1779"/>
      <c r="H80" s="3444" t="s">
        <v>1074</v>
      </c>
      <c r="I80" s="3416"/>
      <c r="J80" s="3417"/>
      <c r="K80" s="1927" t="s">
        <v>2863</v>
      </c>
      <c r="L80" s="1779" t="s">
        <v>2222</v>
      </c>
      <c r="M80" s="3444" t="s">
        <v>1074</v>
      </c>
      <c r="N80" s="3416"/>
      <c r="O80" s="3417"/>
    </row>
    <row r="81" spans="2:21" ht="15.75">
      <c r="D81" s="503"/>
      <c r="E81" s="404"/>
      <c r="F81" s="1927" t="s">
        <v>2952</v>
      </c>
      <c r="G81" s="1782">
        <f>COUNTIF(G77:G80,$M$3)</f>
        <v>2</v>
      </c>
      <c r="H81" s="1952" t="s">
        <v>2953</v>
      </c>
      <c r="I81" s="1780"/>
      <c r="J81" s="1781"/>
      <c r="K81" s="1927" t="s">
        <v>3115</v>
      </c>
      <c r="L81" s="2056">
        <f>COUNTIF(L77:L80,$M$3)</f>
        <v>2</v>
      </c>
      <c r="M81" s="1952" t="s">
        <v>2953</v>
      </c>
      <c r="N81" s="1760"/>
      <c r="O81" s="1781"/>
    </row>
    <row r="82" spans="2:21" ht="15.75">
      <c r="D82" s="503"/>
      <c r="E82" s="503"/>
      <c r="F82" s="503"/>
      <c r="G82" s="503"/>
      <c r="H82" s="503"/>
      <c r="I82" s="503"/>
      <c r="J82" s="503"/>
      <c r="K82" s="503"/>
      <c r="L82" s="503"/>
      <c r="M82" s="503"/>
      <c r="N82" s="503"/>
      <c r="O82" s="503"/>
      <c r="P82" s="503"/>
      <c r="Q82" s="503"/>
      <c r="R82" s="503"/>
      <c r="S82" s="503"/>
      <c r="T82" s="503"/>
      <c r="U82" s="503"/>
    </row>
    <row r="83" spans="2:21" ht="15.75">
      <c r="D83" s="499">
        <v>1.3</v>
      </c>
      <c r="E83" s="508" t="s">
        <v>1</v>
      </c>
      <c r="F83"/>
      <c r="G83"/>
      <c r="H83"/>
      <c r="I83"/>
      <c r="J83"/>
      <c r="K83"/>
      <c r="L83"/>
      <c r="M83"/>
      <c r="N83"/>
      <c r="O83"/>
    </row>
    <row r="84" spans="2:21" ht="15.75">
      <c r="D84" s="503"/>
      <c r="E84" s="404"/>
      <c r="F84" s="511" t="s">
        <v>1086</v>
      </c>
      <c r="G84"/>
      <c r="H84"/>
      <c r="I84"/>
      <c r="J84" t="str">
        <f>IF(OR(F86=0,J85=0),$L$3,"")</f>
        <v/>
      </c>
      <c r="L84"/>
      <c r="M84"/>
      <c r="N84"/>
      <c r="O84"/>
      <c r="R84" t="s">
        <v>1086</v>
      </c>
      <c r="T84" s="1735" t="s">
        <v>2898</v>
      </c>
    </row>
    <row r="85" spans="2:21" ht="15.75" customHeight="1" thickBot="1">
      <c r="B85" t="s">
        <v>3071</v>
      </c>
      <c r="C85" s="1994" t="s">
        <v>3070</v>
      </c>
      <c r="D85" s="503"/>
      <c r="E85" s="508"/>
      <c r="F85" s="630" t="s">
        <v>1087</v>
      </c>
      <c r="G85" s="516"/>
      <c r="H85" s="1441"/>
      <c r="I85" s="518" t="s">
        <v>1126</v>
      </c>
      <c r="J85" s="519">
        <f>重み!M75</f>
        <v>0.5</v>
      </c>
      <c r="K85" s="631"/>
      <c r="L85" s="631"/>
      <c r="M85" s="631"/>
      <c r="N85" s="518" t="s">
        <v>1088</v>
      </c>
      <c r="O85" s="693">
        <f>メイン!$J$69</f>
        <v>1500</v>
      </c>
      <c r="T85" s="1735"/>
    </row>
    <row r="86" spans="2:21" ht="27" customHeight="1" thickBot="1">
      <c r="B86" t="s">
        <v>2967</v>
      </c>
      <c r="C86" t="s">
        <v>2967</v>
      </c>
      <c r="D86" s="503"/>
      <c r="E86" s="508"/>
      <c r="F86" s="1777">
        <f>G94</f>
        <v>3</v>
      </c>
      <c r="G86" s="618" t="s">
        <v>80</v>
      </c>
      <c r="H86" s="527"/>
      <c r="I86" s="527"/>
      <c r="J86" s="527"/>
      <c r="K86" s="527"/>
      <c r="L86" s="527"/>
      <c r="M86" s="527"/>
      <c r="N86" s="527"/>
      <c r="O86" s="528"/>
      <c r="R86" t="s">
        <v>80</v>
      </c>
      <c r="T86" s="1735" t="s">
        <v>80</v>
      </c>
    </row>
    <row r="87" spans="2:21" ht="21" customHeight="1">
      <c r="B87">
        <v>0</v>
      </c>
      <c r="D87" s="503"/>
      <c r="E87" s="50"/>
      <c r="F87" s="529" t="str">
        <f>IF(F86=$F$7,$G$2,IF(ROUNDDOWN(F86,0)=$F$2,$H$2,$G$2))</f>
        <v>　レベル　1</v>
      </c>
      <c r="G87" s="531" t="s">
        <v>1794</v>
      </c>
      <c r="H87" s="532"/>
      <c r="I87" s="532"/>
      <c r="J87" s="532"/>
      <c r="K87" s="532"/>
      <c r="L87" s="532"/>
      <c r="M87" s="532"/>
      <c r="N87" s="532"/>
      <c r="O87" s="533"/>
      <c r="R87" t="s">
        <v>1794</v>
      </c>
      <c r="T87" s="1735" t="s">
        <v>1794</v>
      </c>
    </row>
    <row r="88" spans="2:21" ht="21" customHeight="1">
      <c r="B88">
        <v>0</v>
      </c>
      <c r="D88" s="503"/>
      <c r="E88" s="50"/>
      <c r="F88" s="534" t="str">
        <f>IF(F86=$F$7,$G$3,IF(ROUNDDOWN(F86,0)=$F$3,$H$3,$G$3))</f>
        <v>　レベル　2</v>
      </c>
      <c r="G88" s="537" t="s">
        <v>82</v>
      </c>
      <c r="H88" s="538"/>
      <c r="I88" s="538"/>
      <c r="J88" s="538"/>
      <c r="K88" s="538"/>
      <c r="L88" s="538"/>
      <c r="M88" s="538"/>
      <c r="N88" s="538"/>
      <c r="O88" s="539"/>
      <c r="R88" t="s">
        <v>82</v>
      </c>
      <c r="T88" s="1735" t="s">
        <v>82</v>
      </c>
    </row>
    <row r="89" spans="2:21" ht="21" customHeight="1">
      <c r="B89">
        <v>3</v>
      </c>
      <c r="D89" s="503"/>
      <c r="E89" s="50"/>
      <c r="F89" s="534" t="str">
        <f>IF(F86=$F$7,$G$4,IF(ROUNDDOWN(F86,0)=$F$4,$H$4,$G$4))</f>
        <v>■レベル　3</v>
      </c>
      <c r="G89" s="537" t="s">
        <v>83</v>
      </c>
      <c r="H89" s="538"/>
      <c r="I89" s="538"/>
      <c r="J89" s="538"/>
      <c r="K89" s="538"/>
      <c r="L89" s="538"/>
      <c r="M89" s="538"/>
      <c r="N89" s="538"/>
      <c r="O89" s="539"/>
      <c r="R89" t="s">
        <v>83</v>
      </c>
      <c r="T89" s="1735" t="s">
        <v>83</v>
      </c>
    </row>
    <row r="90" spans="2:21" ht="21" customHeight="1">
      <c r="B90">
        <v>6</v>
      </c>
      <c r="D90" s="503"/>
      <c r="E90" s="50"/>
      <c r="F90" s="534" t="str">
        <f>IF(F86=$F$7,$G$5,IF(ROUNDDOWN(F86,0)=$F$5,$H$5,$G$5))</f>
        <v>　レベル　4</v>
      </c>
      <c r="G90" s="537" t="s">
        <v>84</v>
      </c>
      <c r="H90" s="538"/>
      <c r="I90" s="538"/>
      <c r="J90" s="538"/>
      <c r="K90" s="538"/>
      <c r="L90" s="538"/>
      <c r="M90" s="538"/>
      <c r="N90" s="538"/>
      <c r="O90" s="539"/>
      <c r="R90" t="s">
        <v>84</v>
      </c>
      <c r="T90" s="1735" t="s">
        <v>84</v>
      </c>
    </row>
    <row r="91" spans="2:21" ht="21" customHeight="1">
      <c r="B91">
        <v>9</v>
      </c>
      <c r="D91" s="503"/>
      <c r="E91" s="50"/>
      <c r="F91" s="544" t="str">
        <f>IF(F86=$F$7,$G$6,IF(ROUNDDOWN(F86,0)=$F$6,$H$6,$G$6))</f>
        <v>　レベル　5</v>
      </c>
      <c r="G91" s="810" t="s">
        <v>1429</v>
      </c>
      <c r="H91" s="642"/>
      <c r="I91" s="642"/>
      <c r="J91" s="642"/>
      <c r="K91" s="642"/>
      <c r="L91" s="642"/>
      <c r="M91" s="642"/>
      <c r="N91" s="642"/>
      <c r="O91" s="547"/>
      <c r="R91" t="s">
        <v>1429</v>
      </c>
      <c r="T91" s="1735" t="s">
        <v>1429</v>
      </c>
    </row>
    <row r="92" spans="2:21" ht="15.75">
      <c r="D92" s="503"/>
      <c r="E92" s="50"/>
      <c r="F92" s="839" t="s">
        <v>2938</v>
      </c>
      <c r="G92" s="1941"/>
      <c r="H92" s="1917"/>
      <c r="I92" s="1915"/>
      <c r="J92" s="1916"/>
      <c r="K92" s="2094" t="s">
        <v>3232</v>
      </c>
      <c r="L92" s="1231"/>
      <c r="M92"/>
      <c r="N92"/>
      <c r="O92"/>
    </row>
    <row r="93" spans="2:21">
      <c r="B93" s="870"/>
      <c r="C93" s="870"/>
      <c r="D93"/>
      <c r="E93"/>
      <c r="F93" s="552" t="s">
        <v>2229</v>
      </c>
      <c r="G93"/>
      <c r="H93"/>
      <c r="I93"/>
      <c r="J93"/>
      <c r="K93"/>
      <c r="L93"/>
      <c r="M93"/>
      <c r="N93"/>
      <c r="O93"/>
    </row>
    <row r="94" spans="2:21" ht="16.5" thickBot="1">
      <c r="B94" t="s">
        <v>2968</v>
      </c>
      <c r="C94" t="s">
        <v>639</v>
      </c>
      <c r="D94" s="503"/>
      <c r="E94" s="503"/>
      <c r="F94" s="503"/>
      <c r="G94" s="1796">
        <f>IF(G108&gt;=B91,5,IF(G108&gt;=B90,4,IF(G108&gt;=B89,3,IF(G108&gt;=B88,2,1))))</f>
        <v>3</v>
      </c>
      <c r="H94" s="705" t="s">
        <v>1431</v>
      </c>
      <c r="I94" s="408" t="s">
        <v>1430</v>
      </c>
      <c r="J94" s="2226"/>
      <c r="K94" s="2226"/>
      <c r="L94" s="2226"/>
      <c r="M94" s="2226"/>
      <c r="N94" s="2226"/>
      <c r="O94" s="2227"/>
    </row>
    <row r="95" spans="2:21" ht="15.75">
      <c r="B95">
        <v>1</v>
      </c>
      <c r="D95" s="503"/>
      <c r="E95" s="404"/>
      <c r="F95" s="1927" t="s">
        <v>2856</v>
      </c>
      <c r="G95" s="600" t="s">
        <v>2222</v>
      </c>
      <c r="H95" s="1794" t="s">
        <v>2876</v>
      </c>
      <c r="I95" s="1263" t="s">
        <v>2881</v>
      </c>
      <c r="J95" s="698"/>
      <c r="K95" s="698"/>
      <c r="L95" s="698"/>
      <c r="M95" s="698"/>
      <c r="N95" s="698"/>
      <c r="O95" s="699"/>
    </row>
    <row r="96" spans="2:21" ht="15.75">
      <c r="B96">
        <v>1</v>
      </c>
      <c r="D96" s="503"/>
      <c r="E96" s="404"/>
      <c r="F96" s="1927" t="s">
        <v>2936</v>
      </c>
      <c r="G96" s="602"/>
      <c r="H96" s="1759"/>
      <c r="I96" s="662" t="s">
        <v>2882</v>
      </c>
      <c r="J96" s="663"/>
      <c r="K96" s="663"/>
      <c r="L96" s="663"/>
      <c r="M96" s="663"/>
      <c r="N96" s="663"/>
      <c r="O96" s="701"/>
    </row>
    <row r="97" spans="2:16" ht="15.75">
      <c r="B97">
        <v>1</v>
      </c>
      <c r="D97" s="503"/>
      <c r="E97" s="404"/>
      <c r="F97" s="1927" t="s">
        <v>2858</v>
      </c>
      <c r="G97" s="602"/>
      <c r="H97" s="1562" t="s">
        <v>2877</v>
      </c>
      <c r="I97" s="662" t="s">
        <v>2883</v>
      </c>
      <c r="J97" s="663"/>
      <c r="K97" s="663"/>
      <c r="L97" s="663"/>
      <c r="M97" s="663"/>
      <c r="N97" s="663"/>
      <c r="O97" s="701"/>
    </row>
    <row r="98" spans="2:16" ht="15.75">
      <c r="B98">
        <v>1</v>
      </c>
      <c r="D98" s="503"/>
      <c r="E98" s="404"/>
      <c r="F98" s="1927" t="s">
        <v>2859</v>
      </c>
      <c r="G98" s="602"/>
      <c r="H98" s="1795"/>
      <c r="I98" s="662" t="s">
        <v>2884</v>
      </c>
      <c r="J98" s="663"/>
      <c r="K98" s="663"/>
      <c r="L98" s="663"/>
      <c r="M98" s="663"/>
      <c r="N98" s="663"/>
      <c r="O98" s="701"/>
    </row>
    <row r="99" spans="2:16" ht="30" customHeight="1">
      <c r="B99">
        <v>1</v>
      </c>
      <c r="D99" s="503"/>
      <c r="E99" s="404"/>
      <c r="F99" s="1927" t="s">
        <v>2860</v>
      </c>
      <c r="G99" s="602"/>
      <c r="H99" s="1795"/>
      <c r="I99" s="3328" t="s">
        <v>2885</v>
      </c>
      <c r="J99" s="3345"/>
      <c r="K99" s="3345"/>
      <c r="L99" s="3345"/>
      <c r="M99" s="3345"/>
      <c r="N99" s="3345"/>
      <c r="O99" s="3372"/>
    </row>
    <row r="100" spans="2:16" ht="15.75">
      <c r="B100">
        <v>1</v>
      </c>
      <c r="D100" s="503"/>
      <c r="E100" s="404"/>
      <c r="F100" s="1927" t="s">
        <v>2861</v>
      </c>
      <c r="G100" s="602" t="s">
        <v>2222</v>
      </c>
      <c r="H100" s="1759"/>
      <c r="I100" s="662" t="s">
        <v>2886</v>
      </c>
      <c r="J100" s="663"/>
      <c r="K100" s="663"/>
      <c r="L100" s="663"/>
      <c r="M100" s="663"/>
      <c r="N100" s="663"/>
      <c r="O100" s="701"/>
    </row>
    <row r="101" spans="2:16" ht="15.75">
      <c r="B101">
        <v>1</v>
      </c>
      <c r="D101" s="503"/>
      <c r="E101" s="404"/>
      <c r="F101" s="1927" t="s">
        <v>2862</v>
      </c>
      <c r="G101" s="602"/>
      <c r="H101" s="700" t="s">
        <v>2878</v>
      </c>
      <c r="I101" s="662" t="s">
        <v>2887</v>
      </c>
      <c r="J101" s="663"/>
      <c r="K101" s="663"/>
      <c r="L101" s="663"/>
      <c r="M101" s="663"/>
      <c r="N101" s="663"/>
      <c r="O101" s="701"/>
    </row>
    <row r="102" spans="2:16" ht="30.75" customHeight="1">
      <c r="B102">
        <v>1</v>
      </c>
      <c r="D102" s="503"/>
      <c r="E102" s="404"/>
      <c r="F102" s="1927" t="s">
        <v>2863</v>
      </c>
      <c r="G102" s="602" t="s">
        <v>2222</v>
      </c>
      <c r="H102" s="1562" t="s">
        <v>2879</v>
      </c>
      <c r="I102" s="3328" t="s">
        <v>2888</v>
      </c>
      <c r="J102" s="3419"/>
      <c r="K102" s="3419"/>
      <c r="L102" s="3419"/>
      <c r="M102" s="3419"/>
      <c r="N102" s="3419"/>
      <c r="O102" s="3418"/>
    </row>
    <row r="103" spans="2:16" ht="15.75">
      <c r="B103">
        <v>1</v>
      </c>
      <c r="D103" s="503"/>
      <c r="E103" s="404"/>
      <c r="F103" s="1927" t="s">
        <v>2864</v>
      </c>
      <c r="G103" s="602"/>
      <c r="H103" s="1795"/>
      <c r="I103" s="662" t="s">
        <v>2889</v>
      </c>
      <c r="J103" s="663"/>
      <c r="K103" s="663"/>
      <c r="L103" s="663"/>
      <c r="M103" s="663"/>
      <c r="N103" s="663"/>
      <c r="O103" s="701"/>
    </row>
    <row r="104" spans="2:16" ht="15.75">
      <c r="B104">
        <v>1</v>
      </c>
      <c r="D104" s="503"/>
      <c r="E104" s="404"/>
      <c r="F104" s="1927" t="s">
        <v>2893</v>
      </c>
      <c r="G104" s="602"/>
      <c r="H104" s="1759"/>
      <c r="I104" s="662" t="s">
        <v>2890</v>
      </c>
      <c r="J104" s="663"/>
      <c r="K104" s="663"/>
      <c r="L104" s="663"/>
      <c r="M104" s="663"/>
      <c r="N104" s="663"/>
      <c r="O104" s="701"/>
    </row>
    <row r="105" spans="2:16" ht="15.75">
      <c r="B105">
        <v>1</v>
      </c>
      <c r="D105" s="503"/>
      <c r="E105" s="404"/>
      <c r="F105" s="1927" t="s">
        <v>2894</v>
      </c>
      <c r="G105" s="602"/>
      <c r="H105" s="700" t="s">
        <v>2880</v>
      </c>
      <c r="I105" s="662" t="s">
        <v>2891</v>
      </c>
      <c r="J105" s="663"/>
      <c r="K105" s="663"/>
      <c r="L105" s="663"/>
      <c r="M105" s="663"/>
      <c r="N105" s="663"/>
      <c r="O105" s="701"/>
    </row>
    <row r="106" spans="2:16" ht="15.75">
      <c r="D106" s="503"/>
      <c r="E106" s="404"/>
      <c r="F106" s="2749" t="s">
        <v>2895</v>
      </c>
      <c r="G106" s="1726"/>
      <c r="H106" s="2770" t="s">
        <v>3836</v>
      </c>
      <c r="I106" s="2800" t="s">
        <v>3835</v>
      </c>
      <c r="J106" s="1564"/>
      <c r="K106" s="1564"/>
      <c r="L106" s="1564"/>
      <c r="M106" s="1564"/>
      <c r="N106" s="1564"/>
      <c r="O106" s="1727"/>
    </row>
    <row r="107" spans="2:16" ht="16.5" thickBot="1">
      <c r="B107">
        <v>1</v>
      </c>
      <c r="D107" s="503"/>
      <c r="E107" s="404"/>
      <c r="F107" s="2749" t="s">
        <v>3837</v>
      </c>
      <c r="G107" s="608"/>
      <c r="H107" s="2769"/>
      <c r="I107" s="810" t="s">
        <v>2892</v>
      </c>
      <c r="J107" s="703"/>
      <c r="K107" s="703"/>
      <c r="L107" s="703"/>
      <c r="M107" s="703"/>
      <c r="N107" s="703"/>
      <c r="O107" s="704"/>
    </row>
    <row r="108" spans="2:16" ht="15.75">
      <c r="D108" s="503"/>
      <c r="E108" s="404"/>
      <c r="F108" s="1927" t="s">
        <v>386</v>
      </c>
      <c r="G108" s="1782">
        <f>COUNTIF(G95:G107,$M$3)</f>
        <v>3</v>
      </c>
      <c r="H108" s="1952" t="s">
        <v>1777</v>
      </c>
      <c r="I108" s="1701"/>
      <c r="J108" s="705"/>
      <c r="K108" s="706"/>
      <c r="L108" s="706"/>
      <c r="M108" s="706"/>
      <c r="N108" s="705"/>
      <c r="O108" s="707"/>
    </row>
    <row r="109" spans="2:16">
      <c r="D109"/>
      <c r="E109"/>
      <c r="F109"/>
      <c r="G109"/>
      <c r="H109"/>
      <c r="I109"/>
      <c r="J109"/>
      <c r="K109"/>
      <c r="L109"/>
      <c r="M109"/>
      <c r="N109"/>
      <c r="O109"/>
    </row>
    <row r="110" spans="2:16" hidden="1">
      <c r="B110" t="s">
        <v>2898</v>
      </c>
      <c r="C110" s="1994" t="s">
        <v>638</v>
      </c>
      <c r="F110" s="1732" t="s">
        <v>2467</v>
      </c>
      <c r="G110" s="1733"/>
      <c r="H110" s="1733"/>
      <c r="I110" s="1734"/>
      <c r="J110" s="1735"/>
      <c r="K110" s="1735"/>
      <c r="L110" s="1735"/>
      <c r="M110" s="1735"/>
      <c r="N110" s="1735"/>
      <c r="O110" s="1735"/>
      <c r="P110" s="1756"/>
    </row>
    <row r="111" spans="2:16" hidden="1">
      <c r="B111" t="s">
        <v>2968</v>
      </c>
      <c r="F111"/>
      <c r="G111" s="1797">
        <f>ROUND(IF(G119&lt;=2,1,IF(G119&lt;=5,2,IF(G119&lt;=8,3,IF(G119&lt;=11,4,IF(G119&gt;=12,5))))),0)</f>
        <v>3</v>
      </c>
      <c r="H111" s="1798" t="s">
        <v>1431</v>
      </c>
      <c r="I111" s="1736"/>
      <c r="J111" s="1799" t="s">
        <v>2468</v>
      </c>
      <c r="K111" s="1736"/>
      <c r="L111" s="1736"/>
      <c r="M111" s="1736"/>
      <c r="N111" s="1736"/>
      <c r="O111" s="1737" t="s">
        <v>1432</v>
      </c>
    </row>
    <row r="112" spans="2:16" hidden="1">
      <c r="B112">
        <v>3</v>
      </c>
      <c r="F112" s="1927" t="s">
        <v>2856</v>
      </c>
      <c r="G112" s="1800">
        <v>3</v>
      </c>
      <c r="H112" s="1738" t="s">
        <v>2469</v>
      </c>
      <c r="I112" s="1739"/>
      <c r="J112" s="1740" t="s">
        <v>2470</v>
      </c>
      <c r="K112" s="1738"/>
      <c r="L112" s="1738"/>
      <c r="M112" s="1738"/>
      <c r="N112" s="1738"/>
      <c r="O112" s="1741">
        <v>3</v>
      </c>
    </row>
    <row r="113" spans="2:15" hidden="1">
      <c r="B113">
        <v>1</v>
      </c>
      <c r="F113" s="1927" t="s">
        <v>2936</v>
      </c>
      <c r="G113" s="1742">
        <v>1</v>
      </c>
      <c r="H113" s="1743" t="s">
        <v>2844</v>
      </c>
      <c r="I113" s="1744"/>
      <c r="J113" s="1745" t="s">
        <v>2471</v>
      </c>
      <c r="K113" s="1743"/>
      <c r="L113" s="1743"/>
      <c r="M113" s="1743"/>
      <c r="N113" s="1743"/>
      <c r="O113" s="1746">
        <v>1</v>
      </c>
    </row>
    <row r="114" spans="2:15" hidden="1">
      <c r="B114">
        <v>3</v>
      </c>
      <c r="F114" s="1927" t="s">
        <v>2858</v>
      </c>
      <c r="G114" s="1742">
        <v>3</v>
      </c>
      <c r="H114" s="1743" t="s">
        <v>2845</v>
      </c>
      <c r="I114" s="1744"/>
      <c r="J114" s="1745" t="s">
        <v>2472</v>
      </c>
      <c r="K114" s="1743"/>
      <c r="L114" s="1743"/>
      <c r="M114" s="1743"/>
      <c r="N114" s="1743"/>
      <c r="O114" s="1746">
        <v>3</v>
      </c>
    </row>
    <row r="115" spans="2:15" hidden="1">
      <c r="B115">
        <v>2</v>
      </c>
      <c r="F115" s="1927" t="s">
        <v>2859</v>
      </c>
      <c r="G115" s="1742">
        <v>0</v>
      </c>
      <c r="H115" s="1743" t="s">
        <v>2473</v>
      </c>
      <c r="I115" s="1744"/>
      <c r="J115" s="1745" t="s">
        <v>2474</v>
      </c>
      <c r="K115" s="1743"/>
      <c r="L115" s="1743"/>
      <c r="M115" s="1743"/>
      <c r="N115" s="1743"/>
      <c r="O115" s="1746">
        <v>2</v>
      </c>
    </row>
    <row r="116" spans="2:15" hidden="1">
      <c r="B116">
        <v>1</v>
      </c>
      <c r="F116" s="1927" t="s">
        <v>2860</v>
      </c>
      <c r="G116" s="1742">
        <v>0</v>
      </c>
      <c r="H116" s="1743" t="s">
        <v>2846</v>
      </c>
      <c r="I116" s="1744"/>
      <c r="J116" s="1745" t="s">
        <v>2475</v>
      </c>
      <c r="K116" s="1743"/>
      <c r="L116" s="1743"/>
      <c r="M116" s="1743"/>
      <c r="N116" s="1743"/>
      <c r="O116" s="1746">
        <v>1</v>
      </c>
    </row>
    <row r="117" spans="2:15" hidden="1">
      <c r="B117">
        <v>2</v>
      </c>
      <c r="F117" s="1927" t="s">
        <v>2861</v>
      </c>
      <c r="G117" s="1742">
        <v>0</v>
      </c>
      <c r="H117" s="1743" t="s">
        <v>2847</v>
      </c>
      <c r="I117" s="1744"/>
      <c r="J117" s="1745" t="s">
        <v>2476</v>
      </c>
      <c r="K117" s="1743"/>
      <c r="L117" s="1743"/>
      <c r="M117" s="1743"/>
      <c r="N117" s="1743"/>
      <c r="O117" s="1746">
        <v>2</v>
      </c>
    </row>
    <row r="118" spans="2:15" ht="14.25" hidden="1" thickBot="1">
      <c r="B118">
        <v>1</v>
      </c>
      <c r="F118" s="1927" t="s">
        <v>2862</v>
      </c>
      <c r="G118" s="1747">
        <v>0</v>
      </c>
      <c r="H118" s="1748" t="s">
        <v>2477</v>
      </c>
      <c r="I118" s="1749"/>
      <c r="J118" s="1750" t="s">
        <v>2478</v>
      </c>
      <c r="K118" s="1748"/>
      <c r="L118" s="1748"/>
      <c r="M118" s="1748"/>
      <c r="N118" s="1748"/>
      <c r="O118" s="1751">
        <v>1</v>
      </c>
    </row>
    <row r="119" spans="2:15" ht="14.25" hidden="1">
      <c r="F119" s="1927" t="s">
        <v>386</v>
      </c>
      <c r="G119" s="1782">
        <f>SUM(G112:G118)</f>
        <v>7</v>
      </c>
      <c r="H119" s="1952" t="s">
        <v>1777</v>
      </c>
      <c r="I119" s="1752"/>
      <c r="J119" s="1752"/>
      <c r="K119" s="1736"/>
      <c r="L119" s="1753"/>
      <c r="M119" s="1736"/>
      <c r="N119" s="1753"/>
      <c r="O119" s="649">
        <f>SUM(B112:B118)</f>
        <v>13</v>
      </c>
    </row>
    <row r="120" spans="2:15" hidden="1">
      <c r="F120" s="1732" t="s">
        <v>2479</v>
      </c>
      <c r="G120" s="1735"/>
      <c r="H120" s="1735"/>
      <c r="I120" s="1735"/>
      <c r="J120" s="1735"/>
      <c r="K120" s="1735"/>
      <c r="L120" s="1735"/>
      <c r="M120" s="1735"/>
      <c r="N120" s="1735"/>
      <c r="O120" s="1733"/>
    </row>
    <row r="121" spans="2:15" hidden="1">
      <c r="B121" t="s">
        <v>2968</v>
      </c>
      <c r="F121"/>
      <c r="G121" s="1797">
        <f>ROUND(IF(G128&lt;=2,1,IF(G128&lt;=5,2,IF(G128&lt;=8,3,IF(G128&lt;=11,4,IF(G128&gt;=12,5))))),0)</f>
        <v>4</v>
      </c>
      <c r="H121" s="1798" t="s">
        <v>1431</v>
      </c>
      <c r="I121" s="1736"/>
      <c r="J121" s="1799" t="s">
        <v>2468</v>
      </c>
      <c r="K121" s="1736"/>
      <c r="L121" s="1736"/>
      <c r="M121" s="1736"/>
      <c r="N121" s="1736"/>
      <c r="O121" s="1737" t="s">
        <v>1432</v>
      </c>
    </row>
    <row r="122" spans="2:15" hidden="1">
      <c r="B122">
        <v>3</v>
      </c>
      <c r="F122" s="1927" t="s">
        <v>2856</v>
      </c>
      <c r="G122" s="1801">
        <v>3</v>
      </c>
      <c r="H122" s="1738" t="s">
        <v>2848</v>
      </c>
      <c r="I122" s="1739"/>
      <c r="J122" s="1740" t="s">
        <v>2480</v>
      </c>
      <c r="K122" s="1738"/>
      <c r="L122" s="1738"/>
      <c r="M122" s="1738"/>
      <c r="N122" s="1738"/>
      <c r="O122" s="1741">
        <v>3</v>
      </c>
    </row>
    <row r="123" spans="2:15" hidden="1">
      <c r="B123">
        <v>3</v>
      </c>
      <c r="F123" s="1927" t="s">
        <v>2936</v>
      </c>
      <c r="G123" s="1754">
        <v>3</v>
      </c>
      <c r="H123" s="1743" t="s">
        <v>2849</v>
      </c>
      <c r="I123" s="1744"/>
      <c r="J123" s="1745" t="s">
        <v>2481</v>
      </c>
      <c r="K123" s="1743"/>
      <c r="L123" s="1743"/>
      <c r="M123" s="1743"/>
      <c r="N123" s="1743"/>
      <c r="O123" s="1746">
        <v>3</v>
      </c>
    </row>
    <row r="124" spans="2:15" hidden="1">
      <c r="B124">
        <v>3</v>
      </c>
      <c r="F124" s="1927" t="s">
        <v>2858</v>
      </c>
      <c r="G124" s="1754">
        <v>3</v>
      </c>
      <c r="H124" s="1743" t="s">
        <v>2850</v>
      </c>
      <c r="I124" s="1744"/>
      <c r="J124" s="1745" t="s">
        <v>2482</v>
      </c>
      <c r="K124" s="1743"/>
      <c r="L124" s="1743"/>
      <c r="M124" s="1743"/>
      <c r="N124" s="1743"/>
      <c r="O124" s="1746">
        <v>3</v>
      </c>
    </row>
    <row r="125" spans="2:15" hidden="1">
      <c r="B125">
        <v>2</v>
      </c>
      <c r="F125" s="1927" t="s">
        <v>2859</v>
      </c>
      <c r="G125" s="1754">
        <v>0</v>
      </c>
      <c r="H125" s="1743" t="s">
        <v>2851</v>
      </c>
      <c r="I125" s="1744"/>
      <c r="J125" s="1745" t="s">
        <v>2483</v>
      </c>
      <c r="K125" s="1743"/>
      <c r="L125" s="1743"/>
      <c r="M125" s="1743"/>
      <c r="N125" s="1743"/>
      <c r="O125" s="1746">
        <v>2</v>
      </c>
    </row>
    <row r="126" spans="2:15" hidden="1">
      <c r="B126">
        <v>1</v>
      </c>
      <c r="F126" s="1927" t="s">
        <v>2860</v>
      </c>
      <c r="G126" s="1754">
        <v>0</v>
      </c>
      <c r="H126" s="1743" t="s">
        <v>2853</v>
      </c>
      <c r="I126" s="1744"/>
      <c r="J126" s="1745" t="s">
        <v>2484</v>
      </c>
      <c r="K126" s="1743"/>
      <c r="L126" s="1743"/>
      <c r="M126" s="1743"/>
      <c r="N126" s="1743"/>
      <c r="O126" s="1746">
        <v>1</v>
      </c>
    </row>
    <row r="127" spans="2:15" ht="14.25" hidden="1" thickBot="1">
      <c r="B127">
        <v>1</v>
      </c>
      <c r="F127" s="1927" t="s">
        <v>2861</v>
      </c>
      <c r="G127" s="1755">
        <v>0</v>
      </c>
      <c r="H127" s="1748" t="s">
        <v>2852</v>
      </c>
      <c r="I127" s="1744"/>
      <c r="J127" s="1745" t="s">
        <v>2485</v>
      </c>
      <c r="K127" s="1743"/>
      <c r="L127" s="1743"/>
      <c r="M127" s="1743"/>
      <c r="N127" s="1743"/>
      <c r="O127" s="1746">
        <v>1</v>
      </c>
    </row>
    <row r="128" spans="2:15" ht="14.25" hidden="1">
      <c r="F128" s="1927" t="s">
        <v>386</v>
      </c>
      <c r="G128" s="1782">
        <f>SUM(G122:G127)</f>
        <v>9</v>
      </c>
      <c r="H128" s="1952" t="s">
        <v>1777</v>
      </c>
      <c r="I128" s="1752"/>
      <c r="J128" s="1752"/>
      <c r="K128" s="1736"/>
      <c r="L128" s="1753"/>
      <c r="M128" s="1736"/>
      <c r="N128" s="1753"/>
      <c r="O128" s="649">
        <f>SUM(B122:B127)</f>
        <v>13</v>
      </c>
    </row>
    <row r="129" spans="2:15" ht="15.75">
      <c r="D129" s="503"/>
      <c r="E129" s="404"/>
      <c r="F129"/>
      <c r="G129"/>
      <c r="H129"/>
      <c r="I129"/>
      <c r="J129"/>
      <c r="K129"/>
      <c r="L129"/>
      <c r="M129"/>
      <c r="N129"/>
      <c r="O129"/>
    </row>
    <row r="130" spans="2:15" ht="15.75">
      <c r="D130" s="503"/>
      <c r="E130" s="404"/>
      <c r="F130" s="511" t="s">
        <v>1466</v>
      </c>
      <c r="G130"/>
      <c r="H130"/>
      <c r="I130"/>
      <c r="J130"/>
      <c r="K130"/>
      <c r="L130"/>
      <c r="M130"/>
      <c r="N130"/>
      <c r="O130"/>
    </row>
    <row r="131" spans="2:15" ht="16.5" thickBot="1">
      <c r="B131" t="s">
        <v>3071</v>
      </c>
      <c r="C131" s="1994" t="s">
        <v>3070</v>
      </c>
      <c r="D131" s="503"/>
      <c r="E131" s="508"/>
      <c r="F131" s="630" t="s">
        <v>392</v>
      </c>
      <c r="G131" s="516"/>
      <c r="H131" s="1441"/>
      <c r="I131" s="518" t="s">
        <v>1126</v>
      </c>
      <c r="J131" s="519">
        <f>重み!M76</f>
        <v>0.5</v>
      </c>
      <c r="K131" s="631"/>
      <c r="L131" s="518" t="s">
        <v>1088</v>
      </c>
      <c r="M131" s="693">
        <f>メイン!$J$69</f>
        <v>1500</v>
      </c>
      <c r="N131" s="694" t="s">
        <v>1089</v>
      </c>
      <c r="O131" s="695"/>
    </row>
    <row r="132" spans="2:15" ht="27" customHeight="1" thickBot="1">
      <c r="B132" t="s">
        <v>2967</v>
      </c>
      <c r="C132" t="s">
        <v>2967</v>
      </c>
      <c r="E132" s="508"/>
      <c r="F132" s="1777">
        <f>G140</f>
        <v>2</v>
      </c>
      <c r="G132" s="618" t="s">
        <v>1467</v>
      </c>
      <c r="H132" s="527"/>
      <c r="I132" s="527"/>
      <c r="J132" s="527"/>
      <c r="K132" s="527"/>
      <c r="L132" s="527"/>
      <c r="M132" s="528"/>
      <c r="N132" s="1715" t="s">
        <v>81</v>
      </c>
      <c r="O132" s="740"/>
    </row>
    <row r="133" spans="2:15" ht="21" customHeight="1">
      <c r="B133">
        <v>0</v>
      </c>
      <c r="E133" s="50"/>
      <c r="F133" s="529" t="str">
        <f>IF(F132=$F$7,$G$2,IF(ROUNDDOWN(F132,0)=$F$2,$H$2,$G$2))</f>
        <v>　レベル　1</v>
      </c>
      <c r="G133" s="537" t="s">
        <v>1076</v>
      </c>
      <c r="H133" s="532"/>
      <c r="I133" s="532"/>
      <c r="J133" s="532"/>
      <c r="K133" s="532"/>
      <c r="L133" s="532"/>
      <c r="M133" s="533"/>
      <c r="N133" s="3446" t="s">
        <v>2701</v>
      </c>
      <c r="O133" s="3447"/>
    </row>
    <row r="134" spans="2:15" ht="27.75" customHeight="1">
      <c r="B134">
        <v>0</v>
      </c>
      <c r="E134" s="50"/>
      <c r="F134" s="534" t="str">
        <f>IF(F132=$F$7,$G$3,IF(ROUNDDOWN(F132,0)=$F$3,$H$3,$G$3))</f>
        <v>■レベル　2</v>
      </c>
      <c r="G134" s="537" t="s">
        <v>1534</v>
      </c>
      <c r="H134" s="538"/>
      <c r="I134" s="538"/>
      <c r="J134" s="538"/>
      <c r="K134" s="538"/>
      <c r="L134" s="538"/>
      <c r="M134" s="539"/>
      <c r="N134" s="3448"/>
      <c r="O134" s="3449"/>
    </row>
    <row r="135" spans="2:15" ht="27.75" customHeight="1">
      <c r="B135">
        <v>4</v>
      </c>
      <c r="E135" s="50"/>
      <c r="F135" s="534" t="str">
        <f>IF(F132=$F$7,$G$4,IF(ROUNDDOWN(F132,0)=$F$4,$H$4,$G$4))</f>
        <v>　レベル　3</v>
      </c>
      <c r="G135" s="537" t="s">
        <v>1535</v>
      </c>
      <c r="H135" s="538"/>
      <c r="I135" s="538"/>
      <c r="J135" s="538"/>
      <c r="K135" s="538"/>
      <c r="L135" s="538"/>
      <c r="M135" s="539"/>
      <c r="N135" s="3448"/>
      <c r="O135" s="3449"/>
    </row>
    <row r="136" spans="2:15" ht="27.75" customHeight="1">
      <c r="B136">
        <v>7</v>
      </c>
      <c r="E136" s="50"/>
      <c r="F136" s="534" t="str">
        <f>IF(F132=$F$7,$G$5,IF(ROUNDDOWN(F132,0)=$F$5,$H$5,$G$5))</f>
        <v>　レベル　4</v>
      </c>
      <c r="G136" s="662" t="s">
        <v>1536</v>
      </c>
      <c r="H136" s="647"/>
      <c r="I136" s="647"/>
      <c r="J136" s="647"/>
      <c r="K136" s="647"/>
      <c r="L136" s="647"/>
      <c r="M136" s="543"/>
      <c r="N136" s="3448"/>
      <c r="O136" s="3449"/>
    </row>
    <row r="137" spans="2:15" ht="27.75" customHeight="1">
      <c r="B137">
        <v>10</v>
      </c>
      <c r="E137" s="50"/>
      <c r="F137" s="544" t="str">
        <f>IF(F132=$F$7,$G$6,IF(ROUNDDOWN(F132,0)=$F$6,$H$6,$G$6))</f>
        <v>　レベル　5</v>
      </c>
      <c r="G137" s="3332" t="s">
        <v>1537</v>
      </c>
      <c r="H137" s="3350"/>
      <c r="I137" s="3350"/>
      <c r="J137" s="3350"/>
      <c r="K137" s="3350"/>
      <c r="L137" s="3350"/>
      <c r="M137" s="3356"/>
      <c r="N137" s="3450"/>
      <c r="O137" s="3451"/>
    </row>
    <row r="138" spans="2:15" ht="15.75">
      <c r="E138" s="50"/>
      <c r="F138" s="839" t="s">
        <v>2938</v>
      </c>
      <c r="G138" s="1941"/>
      <c r="H138" s="1917"/>
      <c r="I138" s="1915"/>
      <c r="J138" s="1916"/>
      <c r="K138" s="1918"/>
      <c r="L138" s="1231"/>
      <c r="M138"/>
      <c r="N138"/>
      <c r="O138"/>
    </row>
    <row r="139" spans="2:15">
      <c r="B139" s="870"/>
      <c r="C139" s="870"/>
      <c r="D139"/>
      <c r="E139"/>
      <c r="F139" s="552" t="s">
        <v>2229</v>
      </c>
      <c r="G139"/>
      <c r="H139"/>
      <c r="I139"/>
      <c r="J139"/>
      <c r="K139"/>
      <c r="L139"/>
      <c r="M139"/>
      <c r="N139"/>
      <c r="O139"/>
    </row>
    <row r="140" spans="2:15" ht="27" customHeight="1" thickBot="1">
      <c r="B140" t="s">
        <v>2968</v>
      </c>
      <c r="C140" t="s">
        <v>639</v>
      </c>
      <c r="D140" s="503"/>
      <c r="E140" s="503"/>
      <c r="F140" s="503"/>
      <c r="G140" s="1796">
        <f>IF(G154&gt;=B137,5,IF(G154&gt;=B136,4,IF(G154&gt;=B135,3,IF(G154&gt;=B134,2,1))))</f>
        <v>2</v>
      </c>
      <c r="H140" s="823" t="s">
        <v>2854</v>
      </c>
      <c r="I140" s="705"/>
      <c r="J140" s="705"/>
      <c r="K140" s="705"/>
      <c r="L140" s="765" t="s">
        <v>2855</v>
      </c>
      <c r="M140" s="705"/>
      <c r="N140" s="705"/>
      <c r="O140" s="1707"/>
    </row>
    <row r="141" spans="2:15" ht="27.75" customHeight="1">
      <c r="B141">
        <v>1</v>
      </c>
      <c r="D141" s="503"/>
      <c r="E141" s="404"/>
      <c r="F141" s="1927" t="s">
        <v>2856</v>
      </c>
      <c r="G141" s="2062"/>
      <c r="H141" s="3452" t="s">
        <v>3260</v>
      </c>
      <c r="I141" s="3434"/>
      <c r="J141" s="3434"/>
      <c r="K141" s="3435"/>
      <c r="L141" s="2006" t="s">
        <v>2158</v>
      </c>
      <c r="M141" s="1785"/>
      <c r="N141" s="1785"/>
      <c r="O141" s="2007"/>
    </row>
    <row r="142" spans="2:15" ht="27.75" customHeight="1">
      <c r="B142">
        <v>1</v>
      </c>
      <c r="D142" s="503"/>
      <c r="E142" s="404"/>
      <c r="F142" s="1927" t="s">
        <v>2936</v>
      </c>
      <c r="G142" s="2063"/>
      <c r="H142" s="3424" t="s">
        <v>3261</v>
      </c>
      <c r="I142" s="3419"/>
      <c r="J142" s="3419"/>
      <c r="K142" s="3418"/>
      <c r="L142" s="2006" t="s">
        <v>3259</v>
      </c>
      <c r="M142" s="1785"/>
      <c r="N142" s="1785"/>
      <c r="O142" s="1770"/>
    </row>
    <row r="143" spans="2:15" ht="49.5" customHeight="1">
      <c r="B143">
        <v>1</v>
      </c>
      <c r="D143" s="503"/>
      <c r="E143" s="404"/>
      <c r="F143" s="1927" t="s">
        <v>2858</v>
      </c>
      <c r="G143" s="2063"/>
      <c r="H143" s="3424" t="s">
        <v>3262</v>
      </c>
      <c r="I143" s="3419"/>
      <c r="J143" s="3419"/>
      <c r="K143" s="3418"/>
      <c r="L143" s="3422" t="s">
        <v>23</v>
      </c>
      <c r="M143" s="3419"/>
      <c r="N143" s="3419"/>
      <c r="O143" s="3418"/>
    </row>
    <row r="144" spans="2:15" ht="27.75" customHeight="1">
      <c r="B144">
        <v>1</v>
      </c>
      <c r="D144" s="503"/>
      <c r="E144" s="404"/>
      <c r="F144" s="1927" t="s">
        <v>2859</v>
      </c>
      <c r="G144" s="2063"/>
      <c r="H144" s="3424" t="s">
        <v>3263</v>
      </c>
      <c r="I144" s="3419"/>
      <c r="J144" s="3419"/>
      <c r="K144" s="3418"/>
      <c r="L144" s="3422" t="s">
        <v>2159</v>
      </c>
      <c r="M144" s="3419"/>
      <c r="N144" s="3419"/>
      <c r="O144" s="3418"/>
    </row>
    <row r="145" spans="2:15" ht="39.75" customHeight="1">
      <c r="B145">
        <v>1</v>
      </c>
      <c r="D145" s="503"/>
      <c r="E145" s="404"/>
      <c r="F145" s="1927" t="s">
        <v>2860</v>
      </c>
      <c r="G145" s="2063" t="s">
        <v>2222</v>
      </c>
      <c r="H145" s="3424" t="s">
        <v>3264</v>
      </c>
      <c r="I145" s="3419"/>
      <c r="J145" s="3419"/>
      <c r="K145" s="3418"/>
      <c r="L145" s="3422" t="s">
        <v>1434</v>
      </c>
      <c r="M145" s="3419"/>
      <c r="N145" s="3419"/>
      <c r="O145" s="3418"/>
    </row>
    <row r="146" spans="2:15" ht="27.75" customHeight="1">
      <c r="B146">
        <v>1</v>
      </c>
      <c r="D146" s="503"/>
      <c r="E146" s="404"/>
      <c r="F146" s="1927" t="s">
        <v>2861</v>
      </c>
      <c r="G146" s="2063"/>
      <c r="H146" s="2005" t="s">
        <v>3265</v>
      </c>
      <c r="I146" s="1729"/>
      <c r="J146" s="1729"/>
      <c r="K146" s="1729"/>
      <c r="L146" s="2006" t="s">
        <v>1451</v>
      </c>
      <c r="M146" s="1785"/>
      <c r="N146" s="1785"/>
      <c r="O146" s="1770"/>
    </row>
    <row r="147" spans="2:15" ht="27.75" customHeight="1">
      <c r="B147">
        <v>1</v>
      </c>
      <c r="D147" s="503"/>
      <c r="E147" s="404"/>
      <c r="F147" s="1927" t="s">
        <v>2862</v>
      </c>
      <c r="G147" s="2063" t="s">
        <v>2222</v>
      </c>
      <c r="H147" s="3424" t="s">
        <v>3266</v>
      </c>
      <c r="I147" s="3419"/>
      <c r="J147" s="3419"/>
      <c r="K147" s="3418"/>
      <c r="L147" s="3422" t="s">
        <v>576</v>
      </c>
      <c r="M147" s="3419"/>
      <c r="N147" s="3419"/>
      <c r="O147" s="3418"/>
    </row>
    <row r="148" spans="2:15" ht="27.75" customHeight="1">
      <c r="B148">
        <v>1</v>
      </c>
      <c r="D148" s="503"/>
      <c r="E148" s="404"/>
      <c r="F148" s="1927" t="s">
        <v>2863</v>
      </c>
      <c r="G148" s="2063"/>
      <c r="H148" s="3424" t="s">
        <v>3267</v>
      </c>
      <c r="I148" s="3419"/>
      <c r="J148" s="3419"/>
      <c r="K148" s="3418"/>
      <c r="L148" s="3422" t="s">
        <v>412</v>
      </c>
      <c r="M148" s="3419"/>
      <c r="N148" s="3419"/>
      <c r="O148" s="3418"/>
    </row>
    <row r="149" spans="2:15" ht="27.75" customHeight="1">
      <c r="B149">
        <v>1</v>
      </c>
      <c r="D149" s="503"/>
      <c r="E149" s="404"/>
      <c r="F149" s="1927" t="s">
        <v>2864</v>
      </c>
      <c r="G149" s="2063"/>
      <c r="H149" s="2005" t="s">
        <v>3268</v>
      </c>
      <c r="I149" s="1729"/>
      <c r="J149" s="1729"/>
      <c r="K149" s="1729"/>
      <c r="L149" s="3422" t="s">
        <v>577</v>
      </c>
      <c r="M149" s="3419"/>
      <c r="N149" s="3419"/>
      <c r="O149" s="3418"/>
    </row>
    <row r="150" spans="2:15" ht="27.75" customHeight="1">
      <c r="B150">
        <v>1</v>
      </c>
      <c r="D150" s="503"/>
      <c r="E150" s="404"/>
      <c r="F150" s="1927" t="s">
        <v>2893</v>
      </c>
      <c r="G150" s="2063"/>
      <c r="H150" s="3424" t="s">
        <v>3269</v>
      </c>
      <c r="I150" s="3419"/>
      <c r="J150" s="3419"/>
      <c r="K150" s="3418"/>
      <c r="L150" s="3422" t="s">
        <v>90</v>
      </c>
      <c r="M150" s="3419"/>
      <c r="N150" s="3419"/>
      <c r="O150" s="3418"/>
    </row>
    <row r="151" spans="2:15" ht="27.75" customHeight="1">
      <c r="B151">
        <v>1</v>
      </c>
      <c r="D151" s="503"/>
      <c r="E151" s="404"/>
      <c r="F151" s="1927" t="s">
        <v>2894</v>
      </c>
      <c r="G151" s="2063"/>
      <c r="H151" s="3424" t="s">
        <v>3838</v>
      </c>
      <c r="I151" s="3413"/>
      <c r="J151" s="3413"/>
      <c r="K151" s="3414"/>
      <c r="L151" s="3422" t="s">
        <v>3839</v>
      </c>
      <c r="M151" s="3425"/>
      <c r="N151" s="3425"/>
      <c r="O151" s="3426"/>
    </row>
    <row r="152" spans="2:15" ht="27.75" customHeight="1">
      <c r="B152">
        <v>1</v>
      </c>
      <c r="D152" s="503"/>
      <c r="E152" s="404"/>
      <c r="F152" s="1927" t="s">
        <v>2895</v>
      </c>
      <c r="G152" s="2063" t="s">
        <v>2222</v>
      </c>
      <c r="H152" s="3424" t="s">
        <v>3270</v>
      </c>
      <c r="I152" s="3419"/>
      <c r="J152" s="3419"/>
      <c r="K152" s="3418"/>
      <c r="L152" s="3422" t="s">
        <v>1328</v>
      </c>
      <c r="M152" s="3419"/>
      <c r="N152" s="3419"/>
      <c r="O152" s="3418"/>
    </row>
    <row r="153" spans="2:15" ht="27.75" customHeight="1" thickBot="1">
      <c r="B153">
        <v>1</v>
      </c>
      <c r="D153" s="503"/>
      <c r="E153" s="404"/>
      <c r="F153" s="1927" t="s">
        <v>2896</v>
      </c>
      <c r="G153" s="2064"/>
      <c r="H153" s="3453" t="s">
        <v>3271</v>
      </c>
      <c r="I153" s="3416"/>
      <c r="J153" s="3416"/>
      <c r="K153" s="3417"/>
      <c r="L153" s="3423" t="s">
        <v>1329</v>
      </c>
      <c r="M153" s="3416"/>
      <c r="N153" s="3416"/>
      <c r="O153" s="3417"/>
    </row>
    <row r="154" spans="2:15" ht="15.75">
      <c r="D154" s="503"/>
      <c r="E154" s="404"/>
      <c r="F154" s="1927" t="s">
        <v>386</v>
      </c>
      <c r="G154" s="1782">
        <f>COUNTIF(G141:G153,$M$3)</f>
        <v>3</v>
      </c>
      <c r="H154" s="1952" t="s">
        <v>1777</v>
      </c>
      <c r="I154" s="713"/>
      <c r="J154" s="705"/>
      <c r="K154" s="705"/>
      <c r="L154" s="705"/>
      <c r="M154" s="705"/>
      <c r="N154" s="706"/>
      <c r="O154" s="710"/>
    </row>
    <row r="155" spans="2:15">
      <c r="D155"/>
      <c r="E155"/>
      <c r="F155"/>
      <c r="G155"/>
      <c r="H155"/>
      <c r="I155"/>
      <c r="J155"/>
      <c r="K155"/>
      <c r="L155"/>
      <c r="M155"/>
      <c r="N155"/>
      <c r="O155"/>
    </row>
    <row r="156" spans="2:15" ht="13.5" hidden="1" customHeight="1">
      <c r="B156" s="714" t="s">
        <v>578</v>
      </c>
      <c r="F156" s="715" t="s">
        <v>1330</v>
      </c>
      <c r="G156" s="1719" t="s">
        <v>579</v>
      </c>
      <c r="H156" s="1720"/>
      <c r="I156" s="672" t="s">
        <v>580</v>
      </c>
      <c r="J156" s="1440"/>
      <c r="K156" s="1440"/>
      <c r="L156" s="1440"/>
      <c r="M156" s="1440"/>
      <c r="N156" s="1440"/>
      <c r="O156" s="1720"/>
    </row>
    <row r="157" spans="2:15" ht="22.5" hidden="1" customHeight="1">
      <c r="F157" s="715" t="s">
        <v>1331</v>
      </c>
      <c r="G157" s="1719" t="s">
        <v>1675</v>
      </c>
      <c r="H157" s="1720"/>
      <c r="I157" s="672" t="s">
        <v>562</v>
      </c>
      <c r="J157" s="1440"/>
      <c r="K157" s="1440"/>
      <c r="L157" s="1440"/>
      <c r="M157" s="1440"/>
      <c r="N157" s="1440"/>
      <c r="O157" s="1720"/>
    </row>
    <row r="158" spans="2:15" ht="23.25" hidden="1" customHeight="1" thickBot="1">
      <c r="F158" s="715" t="s">
        <v>1332</v>
      </c>
      <c r="G158" s="1719" t="s">
        <v>563</v>
      </c>
      <c r="H158" s="1720"/>
      <c r="I158" s="672" t="s">
        <v>564</v>
      </c>
      <c r="J158" s="1440"/>
      <c r="K158" s="1440"/>
      <c r="L158" s="1440"/>
      <c r="M158" s="1440"/>
      <c r="N158" s="1440"/>
      <c r="O158" s="1720"/>
    </row>
    <row r="159" spans="2:15" ht="32.25" hidden="1" customHeight="1" thickBot="1">
      <c r="B159" s="670" t="s">
        <v>638</v>
      </c>
      <c r="F159" s="574" t="s">
        <v>2467</v>
      </c>
      <c r="G159" s="1434"/>
      <c r="H159" s="1434"/>
      <c r="I159" s="1716" t="s">
        <v>1529</v>
      </c>
      <c r="J159" s="1717"/>
      <c r="K159" s="1718"/>
      <c r="L159" s="696" t="s">
        <v>2486</v>
      </c>
      <c r="M159" s="696"/>
      <c r="N159" s="574"/>
      <c r="O159" s="1434"/>
    </row>
    <row r="160" spans="2:15" ht="14.25" hidden="1" customHeight="1" thickBot="1">
      <c r="G160" s="1796">
        <f>IF(G172&gt;=B137,5,IF(G172&gt;=B136,4,IF(G172&gt;=B135,3,IF(G172&gt;=B134,2,1))))</f>
        <v>3</v>
      </c>
      <c r="H160" s="1706" t="s">
        <v>1431</v>
      </c>
      <c r="I160" s="1706" t="s">
        <v>2487</v>
      </c>
      <c r="J160" s="705"/>
      <c r="K160" s="705"/>
      <c r="L160" s="1706" t="s">
        <v>2487</v>
      </c>
      <c r="M160" s="705"/>
      <c r="N160" s="705"/>
      <c r="O160" s="649" t="s">
        <v>1432</v>
      </c>
    </row>
    <row r="161" spans="6:15" ht="13.5" hidden="1" customHeight="1">
      <c r="F161" s="1927" t="s">
        <v>2856</v>
      </c>
      <c r="G161" s="1961">
        <v>1</v>
      </c>
      <c r="H161" s="1706" t="s">
        <v>313</v>
      </c>
      <c r="I161" s="2010" t="s">
        <v>2488</v>
      </c>
      <c r="J161" s="2011"/>
      <c r="K161" s="2012"/>
      <c r="L161" s="2010" t="s">
        <v>2489</v>
      </c>
      <c r="M161" s="2011"/>
      <c r="N161" s="2012"/>
      <c r="O161" s="1435">
        <v>1</v>
      </c>
    </row>
    <row r="162" spans="6:15" ht="13.5" hidden="1" customHeight="1">
      <c r="F162" s="1927" t="s">
        <v>2936</v>
      </c>
      <c r="G162" s="1963">
        <v>3</v>
      </c>
      <c r="H162" s="1721" t="s">
        <v>314</v>
      </c>
      <c r="I162" s="2013" t="s">
        <v>2490</v>
      </c>
      <c r="J162" s="2014"/>
      <c r="K162" s="2015"/>
      <c r="L162" s="1763" t="s">
        <v>2491</v>
      </c>
      <c r="M162" s="2014"/>
      <c r="N162" s="2015"/>
      <c r="O162" s="2016">
        <v>3</v>
      </c>
    </row>
    <row r="163" spans="6:15" ht="13.5" hidden="1" customHeight="1">
      <c r="F163" s="1927" t="s">
        <v>2858</v>
      </c>
      <c r="G163" s="1963">
        <v>0</v>
      </c>
      <c r="H163" s="1722"/>
      <c r="I163" s="1763" t="s">
        <v>2492</v>
      </c>
      <c r="J163" s="2014"/>
      <c r="K163" s="2015"/>
      <c r="L163" s="1763" t="s">
        <v>2491</v>
      </c>
      <c r="M163" s="2014"/>
      <c r="N163" s="2015"/>
      <c r="O163" s="2016">
        <v>3</v>
      </c>
    </row>
    <row r="164" spans="6:15" ht="13.5" hidden="1" customHeight="1">
      <c r="F164" s="1927" t="s">
        <v>2859</v>
      </c>
      <c r="G164" s="1963">
        <v>2</v>
      </c>
      <c r="H164" s="1722"/>
      <c r="I164" s="1763" t="s">
        <v>2491</v>
      </c>
      <c r="J164" s="2014"/>
      <c r="K164" s="2015"/>
      <c r="L164" s="1763" t="s">
        <v>2493</v>
      </c>
      <c r="M164" s="2014"/>
      <c r="N164" s="2015"/>
      <c r="O164" s="709">
        <v>2</v>
      </c>
    </row>
    <row r="165" spans="6:15" ht="13.5" hidden="1" customHeight="1">
      <c r="F165" s="1927" t="s">
        <v>2860</v>
      </c>
      <c r="G165" s="1963">
        <v>0</v>
      </c>
      <c r="H165" s="1723"/>
      <c r="I165" s="2010" t="s">
        <v>2491</v>
      </c>
      <c r="J165" s="2011"/>
      <c r="K165" s="2012"/>
      <c r="L165" s="2010" t="s">
        <v>2494</v>
      </c>
      <c r="M165" s="2011"/>
      <c r="N165" s="2012"/>
      <c r="O165" s="718">
        <v>1</v>
      </c>
    </row>
    <row r="166" spans="6:15" ht="13.5" hidden="1" customHeight="1">
      <c r="F166" s="1927" t="s">
        <v>2861</v>
      </c>
      <c r="G166" s="1963">
        <v>0</v>
      </c>
      <c r="H166" s="1721" t="s">
        <v>315</v>
      </c>
      <c r="I166" s="2017" t="s">
        <v>2495</v>
      </c>
      <c r="J166" s="2018"/>
      <c r="K166" s="2019"/>
      <c r="L166" s="2017" t="s">
        <v>2496</v>
      </c>
      <c r="M166" s="2018"/>
      <c r="N166" s="2019"/>
      <c r="O166" s="752">
        <v>1</v>
      </c>
    </row>
    <row r="167" spans="6:15" ht="13.5" hidden="1" customHeight="1">
      <c r="F167" s="1927" t="s">
        <v>2862</v>
      </c>
      <c r="G167" s="1963">
        <v>0</v>
      </c>
      <c r="H167" s="1722"/>
      <c r="I167" s="1763" t="s">
        <v>2497</v>
      </c>
      <c r="J167" s="2014"/>
      <c r="K167" s="2015"/>
      <c r="L167" s="1763" t="s">
        <v>2498</v>
      </c>
      <c r="M167" s="2014"/>
      <c r="N167" s="2015"/>
      <c r="O167" s="709">
        <v>2</v>
      </c>
    </row>
    <row r="168" spans="6:15" ht="13.5" hidden="1" customHeight="1">
      <c r="F168" s="1927" t="s">
        <v>2863</v>
      </c>
      <c r="G168" s="1963">
        <v>1</v>
      </c>
      <c r="H168" s="1723"/>
      <c r="I168" s="2010" t="s">
        <v>2491</v>
      </c>
      <c r="J168" s="2011"/>
      <c r="K168" s="2012"/>
      <c r="L168" s="2010" t="s">
        <v>2499</v>
      </c>
      <c r="M168" s="2011"/>
      <c r="N168" s="2012"/>
      <c r="O168" s="718">
        <v>1</v>
      </c>
    </row>
    <row r="169" spans="6:15" ht="13.5" hidden="1" customHeight="1">
      <c r="F169" s="1927" t="s">
        <v>2864</v>
      </c>
      <c r="G169" s="1963">
        <v>0</v>
      </c>
      <c r="H169" s="1721" t="s">
        <v>1433</v>
      </c>
      <c r="I169" s="2017" t="s">
        <v>475</v>
      </c>
      <c r="J169" s="2018"/>
      <c r="K169" s="2019"/>
      <c r="L169" s="2017" t="s">
        <v>2500</v>
      </c>
      <c r="M169" s="2018"/>
      <c r="N169" s="2019"/>
      <c r="O169" s="752">
        <v>1</v>
      </c>
    </row>
    <row r="170" spans="6:15" ht="13.5" hidden="1" customHeight="1">
      <c r="F170" s="1927" t="s">
        <v>2893</v>
      </c>
      <c r="G170" s="1963">
        <v>0</v>
      </c>
      <c r="H170" s="1723"/>
      <c r="I170" s="2010" t="s">
        <v>2491</v>
      </c>
      <c r="J170" s="2011"/>
      <c r="K170" s="2012"/>
      <c r="L170" s="2010" t="s">
        <v>2501</v>
      </c>
      <c r="M170" s="2011"/>
      <c r="N170" s="2012"/>
      <c r="O170" s="718">
        <v>1</v>
      </c>
    </row>
    <row r="171" spans="6:15" ht="14.25" hidden="1" customHeight="1" thickBot="1">
      <c r="F171" s="1927" t="s">
        <v>2894</v>
      </c>
      <c r="G171" s="1964">
        <v>0</v>
      </c>
      <c r="H171" s="1706" t="s">
        <v>476</v>
      </c>
      <c r="I171" s="2010" t="s">
        <v>477</v>
      </c>
      <c r="J171" s="2011"/>
      <c r="K171" s="2012"/>
      <c r="L171" s="2010" t="s">
        <v>2502</v>
      </c>
      <c r="M171" s="2011"/>
      <c r="N171" s="2012"/>
      <c r="O171" s="1436">
        <v>2</v>
      </c>
    </row>
    <row r="172" spans="6:15" ht="14.25" hidden="1" customHeight="1">
      <c r="F172" s="1927" t="s">
        <v>386</v>
      </c>
      <c r="G172" s="1782">
        <f>IF($I$159=$N$7,SUM(G161:G163,G166:G167,G169,G171),SUM(G161,G164:G171))</f>
        <v>4</v>
      </c>
      <c r="H172" s="1952" t="s">
        <v>3080</v>
      </c>
      <c r="I172" s="2020"/>
      <c r="J172" s="1760"/>
      <c r="K172" s="2021"/>
      <c r="L172" s="2022"/>
      <c r="M172" s="1760"/>
      <c r="N172" s="2022"/>
      <c r="O172" s="710"/>
    </row>
    <row r="173" spans="6:15" ht="13.5" hidden="1" customHeight="1">
      <c r="G173" s="671" t="s">
        <v>394</v>
      </c>
      <c r="H173" s="574"/>
      <c r="I173" s="574"/>
      <c r="J173" s="574"/>
      <c r="K173" s="574"/>
      <c r="L173" s="574"/>
      <c r="M173" s="574"/>
      <c r="N173" s="574"/>
      <c r="O173" s="678"/>
    </row>
    <row r="174" spans="6:15" ht="13.5" hidden="1" customHeight="1">
      <c r="G174" s="672" t="s">
        <v>2381</v>
      </c>
      <c r="H174" s="673"/>
      <c r="I174" s="672" t="s">
        <v>478</v>
      </c>
      <c r="J174" s="673"/>
      <c r="K174" s="673"/>
      <c r="L174" s="673"/>
      <c r="M174" s="673"/>
      <c r="N174" s="673"/>
      <c r="O174" s="674"/>
    </row>
    <row r="175" spans="6:15" ht="13.5" hidden="1" customHeight="1">
      <c r="G175" s="672" t="s">
        <v>2503</v>
      </c>
      <c r="H175" s="673"/>
      <c r="I175" s="672" t="s">
        <v>2504</v>
      </c>
      <c r="J175" s="673"/>
      <c r="K175" s="673"/>
      <c r="L175" s="673"/>
      <c r="M175" s="673"/>
      <c r="N175" s="673"/>
      <c r="O175" s="674"/>
    </row>
    <row r="176" spans="6:15" ht="13.5" hidden="1" customHeight="1">
      <c r="G176" s="667" t="s">
        <v>479</v>
      </c>
      <c r="H176" s="1437"/>
      <c r="I176" s="667" t="s">
        <v>2505</v>
      </c>
      <c r="J176" s="2023"/>
      <c r="K176" s="2023"/>
      <c r="L176" s="2023"/>
      <c r="M176" s="2023"/>
      <c r="N176" s="2023"/>
      <c r="O176" s="2024"/>
    </row>
    <row r="177" spans="2:15" ht="13.5" hidden="1" customHeight="1">
      <c r="G177" s="1438"/>
      <c r="H177" s="1439"/>
      <c r="I177" s="672" t="s">
        <v>2506</v>
      </c>
      <c r="J177" s="2025"/>
      <c r="K177" s="2025"/>
      <c r="L177" s="2025"/>
      <c r="M177" s="2025"/>
      <c r="N177" s="2025"/>
      <c r="O177" s="2026"/>
    </row>
    <row r="178" spans="2:15" ht="13.5" hidden="1" customHeight="1">
      <c r="G178" s="672" t="s">
        <v>480</v>
      </c>
      <c r="H178" s="673"/>
      <c r="I178" s="619" t="s">
        <v>2507</v>
      </c>
      <c r="J178" s="2027"/>
      <c r="K178" s="2027"/>
      <c r="L178" s="2027"/>
      <c r="M178" s="2027"/>
      <c r="N178" s="2027"/>
      <c r="O178" s="2028"/>
    </row>
    <row r="179" spans="2:15" ht="13.5" hidden="1" customHeight="1">
      <c r="G179" s="672" t="s">
        <v>481</v>
      </c>
      <c r="H179" s="673"/>
      <c r="I179" s="619" t="s">
        <v>2508</v>
      </c>
      <c r="J179" s="2027"/>
      <c r="K179" s="2027"/>
      <c r="L179" s="2027"/>
      <c r="M179" s="2027"/>
      <c r="N179" s="2027"/>
      <c r="O179" s="2028"/>
    </row>
    <row r="180" spans="2:15" ht="13.5" hidden="1" customHeight="1">
      <c r="G180" s="672" t="s">
        <v>482</v>
      </c>
      <c r="H180" s="1440"/>
      <c r="I180" s="672" t="s">
        <v>2509</v>
      </c>
      <c r="J180" s="1440"/>
      <c r="K180" s="1440"/>
      <c r="L180" s="1440"/>
      <c r="M180" s="1440"/>
      <c r="N180" s="1440"/>
      <c r="O180" s="1720"/>
    </row>
    <row r="181" spans="2:15" ht="15.75" hidden="1" customHeight="1">
      <c r="D181" s="503"/>
      <c r="E181" s="404"/>
      <c r="F181"/>
      <c r="G181"/>
      <c r="H181"/>
      <c r="I181"/>
      <c r="J181"/>
      <c r="K181"/>
      <c r="L181"/>
      <c r="M181"/>
      <c r="N181"/>
      <c r="O181"/>
    </row>
    <row r="182" spans="2:15" ht="15.75" customHeight="1">
      <c r="D182" s="503"/>
      <c r="E182" s="404"/>
      <c r="F182" s="511" t="s">
        <v>483</v>
      </c>
      <c r="G182"/>
      <c r="H182"/>
      <c r="I182"/>
      <c r="J182" t="str">
        <f>IF(OR(F184=0,J183=0),$L$3,"")</f>
        <v>&lt;評価しない&gt;</v>
      </c>
      <c r="K182"/>
      <c r="L182"/>
      <c r="M182"/>
      <c r="N182"/>
      <c r="O182"/>
    </row>
    <row r="183" spans="2:15" ht="16.5" hidden="1" customHeight="1" thickBot="1">
      <c r="B183" s="670" t="s">
        <v>638</v>
      </c>
      <c r="D183" s="503"/>
      <c r="E183" s="404"/>
      <c r="F183" s="630" t="s">
        <v>392</v>
      </c>
      <c r="G183" s="516"/>
      <c r="H183" s="1441"/>
      <c r="I183" s="518" t="s">
        <v>1126</v>
      </c>
      <c r="J183" s="519">
        <f>重み!M77</f>
        <v>0</v>
      </c>
      <c r="K183" s="631"/>
      <c r="L183" s="518" t="s">
        <v>1088</v>
      </c>
      <c r="M183" s="693">
        <f>メイン!$J$69</f>
        <v>1500</v>
      </c>
      <c r="N183" s="1442"/>
      <c r="O183" s="1465"/>
    </row>
    <row r="184" spans="2:15" ht="16.5" hidden="1" customHeight="1" thickBot="1">
      <c r="B184" t="s">
        <v>2967</v>
      </c>
      <c r="D184" s="503"/>
      <c r="E184" s="508"/>
      <c r="F184" s="1777">
        <f>G192</f>
        <v>3</v>
      </c>
      <c r="G184" s="1699" t="s">
        <v>751</v>
      </c>
      <c r="H184" s="580"/>
      <c r="I184" s="580"/>
      <c r="J184" s="580"/>
      <c r="K184" s="580"/>
      <c r="L184" s="580"/>
      <c r="M184" s="580"/>
      <c r="N184" s="1715" t="s">
        <v>1089</v>
      </c>
      <c r="O184" s="740"/>
    </row>
    <row r="185" spans="2:15" ht="15.75" hidden="1" customHeight="1">
      <c r="B185">
        <v>0</v>
      </c>
      <c r="D185" s="503"/>
      <c r="E185" s="50"/>
      <c r="F185" s="529" t="str">
        <f>IF(F184=$F$7,$G$2,IF(ROUNDDOWN(F184,0)=$F$2,$H$2,$G$2))</f>
        <v>　レベル　1</v>
      </c>
      <c r="G185" s="531" t="s">
        <v>2510</v>
      </c>
      <c r="H185" s="532"/>
      <c r="I185" s="532"/>
      <c r="J185" s="532"/>
      <c r="K185" s="532"/>
      <c r="L185" s="532"/>
      <c r="M185" s="532"/>
      <c r="N185" s="1765" t="s">
        <v>2511</v>
      </c>
      <c r="O185" s="2029"/>
    </row>
    <row r="186" spans="2:15" ht="15.75" hidden="1" customHeight="1">
      <c r="B186">
        <v>0</v>
      </c>
      <c r="D186" s="503"/>
      <c r="E186" s="50"/>
      <c r="F186" s="534" t="str">
        <f>IF(F184=$F$7,$G$3,IF(ROUNDDOWN(F184,0)=$F$3,$H$3,$G$3))</f>
        <v>　レベル　2</v>
      </c>
      <c r="G186" s="537" t="s">
        <v>3072</v>
      </c>
      <c r="H186" s="538"/>
      <c r="I186" s="538"/>
      <c r="J186" s="538"/>
      <c r="K186" s="538"/>
      <c r="L186" s="538"/>
      <c r="M186" s="538"/>
      <c r="N186" s="2030"/>
      <c r="O186" s="2029"/>
    </row>
    <row r="187" spans="2:15" ht="15.75" hidden="1" customHeight="1">
      <c r="B187">
        <v>0</v>
      </c>
      <c r="D187" s="503"/>
      <c r="E187" s="50"/>
      <c r="F187" s="534" t="str">
        <f>IF(F184=$F$7,$G$4,IF(ROUNDDOWN(F184,0)=$F$4,$H$4,$G$4))</f>
        <v>■レベル　3</v>
      </c>
      <c r="G187" s="537" t="s">
        <v>752</v>
      </c>
      <c r="H187" s="538"/>
      <c r="I187" s="538"/>
      <c r="J187" s="538"/>
      <c r="K187" s="538"/>
      <c r="L187" s="538"/>
      <c r="M187" s="538"/>
      <c r="N187" s="2030"/>
      <c r="O187" s="2029"/>
    </row>
    <row r="188" spans="2:15" ht="15.75" hidden="1" customHeight="1">
      <c r="B188">
        <v>1</v>
      </c>
      <c r="D188" s="503"/>
      <c r="E188" s="50"/>
      <c r="F188" s="534" t="str">
        <f>IF(F184=$F$7,$G$5,IF(ROUNDDOWN(F184,0)=$F$5,$H$5,$G$5))</f>
        <v>　レベル　4</v>
      </c>
      <c r="G188" s="537" t="s">
        <v>753</v>
      </c>
      <c r="H188" s="538"/>
      <c r="I188" s="538"/>
      <c r="J188" s="538"/>
      <c r="K188" s="538"/>
      <c r="L188" s="538"/>
      <c r="M188" s="538"/>
      <c r="N188" s="2030"/>
      <c r="O188" s="2029"/>
    </row>
    <row r="189" spans="2:15" ht="15.75" hidden="1" customHeight="1">
      <c r="B189">
        <v>3</v>
      </c>
      <c r="D189" s="503"/>
      <c r="E189" s="50"/>
      <c r="F189" s="544" t="str">
        <f>IF(F184=$F$7,$G$6,IF(ROUNDDOWN(F184,0)=$F$6,$H$6,$G$6))</f>
        <v>　レベル　5</v>
      </c>
      <c r="G189" s="548" t="s">
        <v>754</v>
      </c>
      <c r="H189" s="549"/>
      <c r="I189" s="549"/>
      <c r="J189" s="549"/>
      <c r="K189" s="549"/>
      <c r="L189" s="549"/>
      <c r="M189" s="549"/>
      <c r="N189" s="2031"/>
      <c r="O189" s="2032"/>
    </row>
    <row r="190" spans="2:15" ht="15.75" hidden="1" customHeight="1">
      <c r="D190" s="503"/>
      <c r="E190" s="50"/>
      <c r="F190" s="839" t="s">
        <v>2938</v>
      </c>
      <c r="G190" s="1941"/>
      <c r="H190" s="1917"/>
      <c r="I190" s="1915"/>
      <c r="J190" s="1916"/>
      <c r="K190" s="1918" t="s">
        <v>2939</v>
      </c>
      <c r="L190" s="1231"/>
      <c r="M190"/>
      <c r="N190"/>
      <c r="O190"/>
    </row>
    <row r="191" spans="2:15" ht="15.75" hidden="1" customHeight="1">
      <c r="D191" s="503"/>
      <c r="E191" s="50"/>
      <c r="F191" s="552" t="s">
        <v>2229</v>
      </c>
      <c r="G191"/>
      <c r="H191"/>
      <c r="I191"/>
      <c r="J191"/>
      <c r="K191"/>
      <c r="L191"/>
      <c r="M191"/>
      <c r="N191"/>
      <c r="O191"/>
    </row>
    <row r="192" spans="2:15" ht="16.5" hidden="1" customHeight="1" thickBot="1">
      <c r="D192" s="503"/>
      <c r="E192" s="50"/>
      <c r="G192" s="1796">
        <f>IF(K202&lt;0,2,IF(G202&gt;=B189,5,IF(G202&gt;=B188,4,IF(G202&gt;=B187,3,IF(G202&gt;=B186,2,1)))))</f>
        <v>3</v>
      </c>
      <c r="H192" s="705" t="s">
        <v>1431</v>
      </c>
      <c r="I192" s="1706" t="s">
        <v>312</v>
      </c>
      <c r="J192" s="705"/>
      <c r="K192" s="705"/>
      <c r="L192" s="1706" t="s">
        <v>1075</v>
      </c>
      <c r="M192" s="705"/>
      <c r="N192" s="705"/>
      <c r="O192" s="708" t="s">
        <v>1333</v>
      </c>
    </row>
    <row r="193" spans="2:15" ht="15.75" hidden="1" customHeight="1">
      <c r="D193" s="503"/>
      <c r="E193" s="50"/>
      <c r="F193" s="1927" t="s">
        <v>2856</v>
      </c>
      <c r="G193" s="1986"/>
      <c r="H193" s="2033" t="s">
        <v>755</v>
      </c>
      <c r="I193" s="2017" t="s">
        <v>756</v>
      </c>
      <c r="J193" s="2018"/>
      <c r="K193" s="2019"/>
      <c r="L193" s="2017" t="s">
        <v>1334</v>
      </c>
      <c r="M193" s="2018"/>
      <c r="N193" s="2019"/>
      <c r="O193" s="716" t="s">
        <v>1335</v>
      </c>
    </row>
    <row r="194" spans="2:15" ht="15.75" hidden="1" customHeight="1">
      <c r="B194">
        <v>0</v>
      </c>
      <c r="D194" s="503"/>
      <c r="E194" s="50"/>
      <c r="F194" s="1927" t="s">
        <v>2936</v>
      </c>
      <c r="G194" s="2065"/>
      <c r="H194" s="2034"/>
      <c r="I194" s="1763" t="s">
        <v>757</v>
      </c>
      <c r="J194" s="2014"/>
      <c r="K194" s="2015"/>
      <c r="L194" s="1763" t="s">
        <v>222</v>
      </c>
      <c r="M194" s="2014"/>
      <c r="N194" s="2015"/>
      <c r="O194" s="717">
        <v>0</v>
      </c>
    </row>
    <row r="195" spans="2:15" ht="15.75" hidden="1" customHeight="1">
      <c r="B195">
        <v>1</v>
      </c>
      <c r="D195" s="503"/>
      <c r="E195" s="50"/>
      <c r="F195" s="1927" t="s">
        <v>2858</v>
      </c>
      <c r="G195" s="2066"/>
      <c r="H195" s="2035"/>
      <c r="I195" s="2010" t="s">
        <v>758</v>
      </c>
      <c r="J195" s="2011"/>
      <c r="K195" s="2012"/>
      <c r="L195" s="2010" t="s">
        <v>223</v>
      </c>
      <c r="M195" s="2011"/>
      <c r="N195" s="2012"/>
      <c r="O195" s="718">
        <v>1</v>
      </c>
    </row>
    <row r="196" spans="2:15" ht="15.75" hidden="1" customHeight="1">
      <c r="D196" s="503"/>
      <c r="E196" s="50"/>
      <c r="F196" s="1927" t="s">
        <v>2859</v>
      </c>
      <c r="G196" s="1963"/>
      <c r="H196" s="2033" t="s">
        <v>759</v>
      </c>
      <c r="I196" s="2017" t="s">
        <v>760</v>
      </c>
      <c r="J196" s="2018"/>
      <c r="K196" s="2019"/>
      <c r="L196" s="2017" t="s">
        <v>224</v>
      </c>
      <c r="M196" s="2018"/>
      <c r="N196" s="2019"/>
      <c r="O196" s="716" t="s">
        <v>1335</v>
      </c>
    </row>
    <row r="197" spans="2:15" ht="15.75" hidden="1" customHeight="1">
      <c r="B197">
        <v>0</v>
      </c>
      <c r="D197" s="503"/>
      <c r="E197" s="50"/>
      <c r="F197" s="1927" t="s">
        <v>2860</v>
      </c>
      <c r="G197" s="2065"/>
      <c r="H197" s="2034"/>
      <c r="I197" s="1763" t="s">
        <v>2512</v>
      </c>
      <c r="J197" s="2014"/>
      <c r="K197" s="2015"/>
      <c r="L197" s="1763" t="s">
        <v>2421</v>
      </c>
      <c r="M197" s="2014"/>
      <c r="N197" s="2015"/>
      <c r="O197" s="717">
        <v>0</v>
      </c>
    </row>
    <row r="198" spans="2:15" ht="15.75" hidden="1" customHeight="1">
      <c r="B198">
        <v>1</v>
      </c>
      <c r="D198" s="503"/>
      <c r="E198" s="50"/>
      <c r="F198" s="1927" t="s">
        <v>2861</v>
      </c>
      <c r="G198" s="2066"/>
      <c r="H198" s="2035"/>
      <c r="I198" s="2010" t="s">
        <v>758</v>
      </c>
      <c r="J198" s="2011"/>
      <c r="K198" s="2012"/>
      <c r="L198" s="2010" t="s">
        <v>2422</v>
      </c>
      <c r="M198" s="2011"/>
      <c r="N198" s="2012"/>
      <c r="O198" s="718">
        <v>1</v>
      </c>
    </row>
    <row r="199" spans="2:15" ht="15.75" hidden="1" customHeight="1">
      <c r="D199" s="503"/>
      <c r="E199" s="50"/>
      <c r="F199" s="1927" t="s">
        <v>2862</v>
      </c>
      <c r="G199" s="1963"/>
      <c r="H199" s="2033" t="s">
        <v>291</v>
      </c>
      <c r="I199" s="2017" t="s">
        <v>292</v>
      </c>
      <c r="J199" s="2018"/>
      <c r="K199" s="2019"/>
      <c r="L199" s="2017" t="s">
        <v>2423</v>
      </c>
      <c r="M199" s="2018"/>
      <c r="N199" s="2019"/>
      <c r="O199" s="716" t="s">
        <v>1335</v>
      </c>
    </row>
    <row r="200" spans="2:15" ht="15.75" hidden="1" customHeight="1">
      <c r="B200">
        <v>0</v>
      </c>
      <c r="D200" s="503"/>
      <c r="E200" s="50"/>
      <c r="F200" s="1927" t="s">
        <v>2863</v>
      </c>
      <c r="G200" s="2065"/>
      <c r="H200" s="2036"/>
      <c r="I200" s="1763" t="s">
        <v>293</v>
      </c>
      <c r="J200" s="2014"/>
      <c r="K200" s="2015"/>
      <c r="L200" s="1763" t="s">
        <v>2424</v>
      </c>
      <c r="M200" s="2014"/>
      <c r="N200" s="2015"/>
      <c r="O200" s="709">
        <v>0</v>
      </c>
    </row>
    <row r="201" spans="2:15" ht="16.5" hidden="1" customHeight="1" thickBot="1">
      <c r="B201">
        <v>1</v>
      </c>
      <c r="D201" s="503"/>
      <c r="E201" s="50"/>
      <c r="F201" s="1927" t="s">
        <v>2864</v>
      </c>
      <c r="G201" s="2067"/>
      <c r="H201" s="2037"/>
      <c r="I201" s="2010" t="s">
        <v>758</v>
      </c>
      <c r="J201" s="2011"/>
      <c r="K201" s="2012"/>
      <c r="L201" s="2010" t="s">
        <v>2425</v>
      </c>
      <c r="M201" s="2011"/>
      <c r="N201" s="2012"/>
      <c r="O201" s="1708">
        <v>1</v>
      </c>
    </row>
    <row r="202" spans="2:15" ht="15.75" hidden="1" customHeight="1">
      <c r="D202" s="503"/>
      <c r="E202" s="50"/>
      <c r="F202" s="1927" t="s">
        <v>386</v>
      </c>
      <c r="G202" s="2059">
        <f>SUM(G193:G201)</f>
        <v>0</v>
      </c>
      <c r="H202" s="1607" t="s">
        <v>2702</v>
      </c>
      <c r="I202" s="705"/>
      <c r="J202" s="2057" t="s">
        <v>3073</v>
      </c>
      <c r="K202" s="2058">
        <f>G193+G196+G199</f>
        <v>0</v>
      </c>
      <c r="L202" s="706"/>
      <c r="M202" s="705"/>
      <c r="N202" s="706"/>
      <c r="O202" s="649">
        <f>SUM(B193:B201)</f>
        <v>3</v>
      </c>
    </row>
    <row r="203" spans="2:15" ht="15.75">
      <c r="D203" s="503"/>
      <c r="E203" s="50"/>
      <c r="F203"/>
      <c r="G203"/>
      <c r="H203"/>
      <c r="I203"/>
      <c r="J203"/>
      <c r="K203"/>
      <c r="L203"/>
      <c r="M203"/>
      <c r="N203"/>
      <c r="O203"/>
    </row>
    <row r="204" spans="2:15" ht="15.75">
      <c r="D204" s="499">
        <v>2</v>
      </c>
      <c r="E204" s="508" t="s">
        <v>294</v>
      </c>
      <c r="F204"/>
      <c r="G204"/>
      <c r="H204"/>
      <c r="I204"/>
      <c r="J204"/>
      <c r="K204"/>
      <c r="L204"/>
      <c r="M204"/>
      <c r="N204"/>
      <c r="O204"/>
    </row>
    <row r="205" spans="2:15" ht="15.75">
      <c r="D205" s="499">
        <v>2.1</v>
      </c>
      <c r="E205" s="617" t="s">
        <v>2602</v>
      </c>
      <c r="F205"/>
      <c r="G205"/>
      <c r="H205"/>
      <c r="I205"/>
      <c r="J205"/>
      <c r="K205"/>
      <c r="L205"/>
      <c r="M205"/>
      <c r="N205"/>
      <c r="O205"/>
    </row>
    <row r="206" spans="2:15" ht="15.75">
      <c r="D206" s="503"/>
      <c r="E206" s="63"/>
      <c r="F206" s="511" t="s">
        <v>2603</v>
      </c>
      <c r="G206"/>
      <c r="H206"/>
      <c r="I206"/>
      <c r="J206" t="str">
        <f>IF(OR(F208=0,J207=0),$L$3,"")</f>
        <v/>
      </c>
      <c r="K206" s="511" t="s">
        <v>2726</v>
      </c>
      <c r="L206"/>
      <c r="M206"/>
      <c r="N206"/>
      <c r="O206" t="str">
        <f>IF(OR(K208=0,O207=0),$L$3,"")</f>
        <v/>
      </c>
    </row>
    <row r="207" spans="2:15" ht="15.75" customHeight="1" thickBot="1">
      <c r="D207" s="503"/>
      <c r="E207" s="63"/>
      <c r="F207" s="515"/>
      <c r="G207" s="516"/>
      <c r="H207" s="1441"/>
      <c r="I207" s="518" t="s">
        <v>1126</v>
      </c>
      <c r="J207" s="521">
        <f>重み!M80</f>
        <v>0.8</v>
      </c>
      <c r="K207" s="515"/>
      <c r="L207" s="516"/>
      <c r="M207" s="1441"/>
      <c r="N207" s="518" t="s">
        <v>1126</v>
      </c>
      <c r="O207" s="521">
        <f>重み!M81</f>
        <v>0.2</v>
      </c>
    </row>
    <row r="208" spans="2:15" ht="27" customHeight="1" thickBot="1">
      <c r="D208" s="503"/>
      <c r="E208" s="63"/>
      <c r="F208" s="522">
        <v>3</v>
      </c>
      <c r="G208" s="3378" t="s">
        <v>24</v>
      </c>
      <c r="H208" s="3367"/>
      <c r="I208" s="618" t="s">
        <v>390</v>
      </c>
      <c r="J208" s="528"/>
      <c r="K208" s="522">
        <v>3</v>
      </c>
      <c r="L208" s="618" t="s">
        <v>1209</v>
      </c>
      <c r="M208" s="527"/>
      <c r="N208" s="527"/>
      <c r="O208" s="623"/>
    </row>
    <row r="209" spans="2:16" ht="21" customHeight="1">
      <c r="B209" s="688" t="s">
        <v>1213</v>
      </c>
      <c r="C209" s="1" t="s">
        <v>1213</v>
      </c>
      <c r="D209" s="503"/>
      <c r="E209" s="63"/>
      <c r="F209" s="529" t="str">
        <f>IF(F208=$F$7,$G$2,IF(ROUNDDOWN(F208,0)=$F$2,$H$2,$G$2))</f>
        <v>　レベル　1</v>
      </c>
      <c r="G209" s="2017" t="s">
        <v>1794</v>
      </c>
      <c r="H209" s="1769"/>
      <c r="I209" s="2017" t="s">
        <v>25</v>
      </c>
      <c r="J209" s="1769"/>
      <c r="K209" s="1784" t="str">
        <f>IF(K208=$F$7,$G$2,IF(ROUNDDOWN(K208,0)=$F$2,$H$2,$G$2))</f>
        <v>　レベル　1</v>
      </c>
      <c r="L209" s="2017" t="s">
        <v>1794</v>
      </c>
      <c r="M209" s="1783"/>
      <c r="N209" s="1783"/>
      <c r="O209" s="2038"/>
    </row>
    <row r="210" spans="2:16" ht="30.75" customHeight="1">
      <c r="B210" s="688">
        <v>2</v>
      </c>
      <c r="C210" s="1" t="s">
        <v>1213</v>
      </c>
      <c r="D210" s="503"/>
      <c r="E210" s="63"/>
      <c r="F210" s="534" t="str">
        <f>IF(F208=$F$7,$G$3,IF(ROUNDDOWN(F208,0)=$F$3,$H$3,$G$3))</f>
        <v>　レベル　2</v>
      </c>
      <c r="G210" s="1763" t="s">
        <v>813</v>
      </c>
      <c r="H210" s="1770"/>
      <c r="I210" s="3412" t="s">
        <v>26</v>
      </c>
      <c r="J210" s="3418"/>
      <c r="K210" s="1786" t="str">
        <f>IF(K208=$F$7,$G$3,IF(ROUNDDOWN(K208,0)=$F$3,$H$3,$G$3))</f>
        <v>　レベル　2</v>
      </c>
      <c r="L210" s="1763" t="s">
        <v>1794</v>
      </c>
      <c r="M210" s="2039"/>
      <c r="N210" s="2039"/>
      <c r="O210" s="2040"/>
    </row>
    <row r="211" spans="2:16" ht="24.75" customHeight="1">
      <c r="B211" s="1">
        <v>3</v>
      </c>
      <c r="C211" s="1">
        <v>3</v>
      </c>
      <c r="D211" s="503"/>
      <c r="E211" s="63"/>
      <c r="F211" s="534" t="str">
        <f>IF(F208=$F$7,$G$4,IF(ROUNDDOWN(F208,0)=$F$4,$H$4,$G$4))</f>
        <v>■レベル　3</v>
      </c>
      <c r="G211" s="3412" t="s">
        <v>296</v>
      </c>
      <c r="H211" s="3418"/>
      <c r="I211" s="3412" t="s">
        <v>27</v>
      </c>
      <c r="J211" s="3418"/>
      <c r="K211" s="1786" t="str">
        <f>IF(K208=$F$7,$G$4,IF(ROUNDDOWN(K208,0)=$F$4,$H$4,$G$4))</f>
        <v>■レベル　3</v>
      </c>
      <c r="L211" s="1763" t="s">
        <v>2604</v>
      </c>
      <c r="M211" s="2039"/>
      <c r="N211" s="2039"/>
      <c r="O211" s="2040"/>
    </row>
    <row r="212" spans="2:16" ht="26.25" customHeight="1">
      <c r="B212" s="1">
        <v>4</v>
      </c>
      <c r="C212" s="1">
        <v>4</v>
      </c>
      <c r="D212" s="503"/>
      <c r="E212" s="63"/>
      <c r="F212" s="534" t="str">
        <f>IF(F208=$F$7,$G$5,IF(ROUNDDOWN(F208,0)=$F$5,$H$5,$G$5))</f>
        <v>　レベル　4</v>
      </c>
      <c r="G212" s="3412" t="s">
        <v>297</v>
      </c>
      <c r="H212" s="3418"/>
      <c r="I212" s="1763" t="s">
        <v>813</v>
      </c>
      <c r="J212" s="1770"/>
      <c r="K212" s="1786" t="str">
        <f>IF(K208=$F$7,$G$5,IF(ROUNDDOWN(K208,0)=$F$5,$H$5,$G$5))</f>
        <v>　レベル　4</v>
      </c>
      <c r="L212" s="3412" t="s">
        <v>3840</v>
      </c>
      <c r="M212" s="3419"/>
      <c r="N212" s="3419"/>
      <c r="O212" s="3418"/>
    </row>
    <row r="213" spans="2:16" ht="57" customHeight="1">
      <c r="B213" s="1">
        <v>5</v>
      </c>
      <c r="C213" s="1">
        <v>5</v>
      </c>
      <c r="D213" s="503"/>
      <c r="E213" s="63"/>
      <c r="F213" s="544" t="str">
        <f>IF(F208=$F$7,$G$6,IF(ROUNDDOWN(F208,0)=$F$6,$H$6,$G$6))</f>
        <v>　レベル　5</v>
      </c>
      <c r="G213" s="3415" t="s">
        <v>298</v>
      </c>
      <c r="H213" s="3417"/>
      <c r="I213" s="3415" t="s">
        <v>298</v>
      </c>
      <c r="J213" s="3417"/>
      <c r="K213" s="1788" t="str">
        <f>IF(K208=$F$7,$G$6,IF(ROUNDDOWN(K208,0)=$F$6,$H$6,$G$6))</f>
        <v>　レベル　5</v>
      </c>
      <c r="L213" s="3415" t="s">
        <v>3841</v>
      </c>
      <c r="M213" s="3416"/>
      <c r="N213" s="3416"/>
      <c r="O213" s="3417"/>
    </row>
    <row r="214" spans="2:16" ht="15.75">
      <c r="B214" s="551">
        <v>0</v>
      </c>
      <c r="C214" s="551">
        <v>0</v>
      </c>
      <c r="D214" s="503"/>
      <c r="E214" s="404"/>
      <c r="F214" s="839" t="s">
        <v>2938</v>
      </c>
      <c r="G214" s="1941"/>
      <c r="H214" s="1917"/>
      <c r="I214" s="1915"/>
      <c r="J214" s="1916"/>
      <c r="K214" s="839" t="s">
        <v>2938</v>
      </c>
      <c r="L214" s="1941"/>
      <c r="M214" s="1917"/>
      <c r="N214" s="1915"/>
      <c r="O214" s="1916"/>
      <c r="P214" s="1977"/>
    </row>
    <row r="215" spans="2:16" ht="15.75">
      <c r="B215" s="870"/>
      <c r="C215" s="870"/>
      <c r="D215" s="503"/>
      <c r="E215" s="404"/>
      <c r="F215"/>
      <c r="G215"/>
      <c r="H215"/>
      <c r="I215"/>
      <c r="J215"/>
      <c r="K215"/>
      <c r="L215"/>
      <c r="M215"/>
      <c r="N215"/>
      <c r="O215"/>
    </row>
    <row r="216" spans="2:16" ht="15.75">
      <c r="D216" s="719">
        <v>2.2000000000000002</v>
      </c>
      <c r="E216" s="510" t="s">
        <v>1817</v>
      </c>
      <c r="F216"/>
      <c r="G216"/>
      <c r="H216"/>
      <c r="I216"/>
      <c r="J216"/>
      <c r="K216"/>
      <c r="L216"/>
      <c r="M216"/>
      <c r="N216"/>
      <c r="O216"/>
    </row>
    <row r="217" spans="2:16" ht="15.75">
      <c r="D217" s="719"/>
      <c r="E217" s="510"/>
      <c r="F217" s="511" t="s">
        <v>452</v>
      </c>
      <c r="G217"/>
      <c r="H217"/>
      <c r="I217"/>
      <c r="J217" t="str">
        <f>IF(OR(F219=0,J218=0),$L$3,"")</f>
        <v/>
      </c>
      <c r="K217" s="511" t="s">
        <v>3249</v>
      </c>
      <c r="L217"/>
      <c r="M217"/>
      <c r="N217"/>
      <c r="O217" t="str">
        <f>IF(OR(K219=0,O218=0),$L$3,"")</f>
        <v/>
      </c>
    </row>
    <row r="218" spans="2:16" ht="15" customHeight="1" thickBot="1">
      <c r="D218" s="503"/>
      <c r="E218" s="63"/>
      <c r="F218" s="515"/>
      <c r="G218" s="516"/>
      <c r="H218" s="1441"/>
      <c r="I218" s="518" t="s">
        <v>1126</v>
      </c>
      <c r="J218" s="521">
        <f>重み!M83</f>
        <v>0.2</v>
      </c>
      <c r="K218" s="515"/>
      <c r="L218" s="516"/>
      <c r="M218" s="1441"/>
      <c r="N218" s="518" t="s">
        <v>1126</v>
      </c>
      <c r="O218" s="521">
        <f>重み!M84</f>
        <v>0.2</v>
      </c>
    </row>
    <row r="219" spans="2:16" ht="27" customHeight="1" thickBot="1">
      <c r="D219" s="503"/>
      <c r="E219" s="63"/>
      <c r="F219" s="522">
        <v>3</v>
      </c>
      <c r="G219" s="618" t="s">
        <v>33</v>
      </c>
      <c r="H219" s="527"/>
      <c r="I219" s="527"/>
      <c r="J219" s="528"/>
      <c r="K219" s="522">
        <v>3</v>
      </c>
      <c r="L219" s="618" t="s">
        <v>1209</v>
      </c>
      <c r="M219" s="527"/>
      <c r="N219" s="527"/>
      <c r="O219" s="528"/>
    </row>
    <row r="220" spans="2:16" ht="21" customHeight="1">
      <c r="B220" s="1" t="s">
        <v>1213</v>
      </c>
      <c r="C220" s="1">
        <v>1</v>
      </c>
      <c r="D220" s="503"/>
      <c r="E220" s="63"/>
      <c r="F220" s="529" t="str">
        <f>IF(F219=$F$7,$G$2,IF(ROUNDDOWN(F219,0)=$F$2,$H$2,$G$2))</f>
        <v>　レベル　1</v>
      </c>
      <c r="G220" s="1792" t="s">
        <v>1794</v>
      </c>
      <c r="H220" s="1783"/>
      <c r="I220" s="1783"/>
      <c r="J220" s="2038"/>
      <c r="K220" s="1784" t="str">
        <f>IF(K219=$F$7,$G$2,IF(ROUNDDOWN(K219,0)=$F$2,$H$2,$G$2))</f>
        <v>　レベル　1</v>
      </c>
      <c r="L220" s="531" t="s">
        <v>453</v>
      </c>
      <c r="M220" s="720"/>
      <c r="N220" s="720"/>
      <c r="O220" s="533"/>
    </row>
    <row r="221" spans="2:16" ht="21" customHeight="1">
      <c r="B221" s="1" t="s">
        <v>1213</v>
      </c>
      <c r="C221" s="1">
        <v>2</v>
      </c>
      <c r="D221" s="503"/>
      <c r="E221" s="63"/>
      <c r="F221" s="534" t="str">
        <f>IF(F219=$F$7,$G$3,IF(ROUNDDOWN(F219,0)=$F$3,$H$3,$G$3))</f>
        <v>　レベル　2</v>
      </c>
      <c r="G221" s="1793" t="s">
        <v>1794</v>
      </c>
      <c r="H221" s="2039"/>
      <c r="I221" s="2039"/>
      <c r="J221" s="2040"/>
      <c r="K221" s="1786" t="str">
        <f>IF(K219=$F$7,$G$3,IF(ROUNDDOWN(K219,0)=$F$3,$H$3,$G$3))</f>
        <v>　レベル　2</v>
      </c>
      <c r="L221" s="537" t="s">
        <v>454</v>
      </c>
      <c r="M221" s="647"/>
      <c r="N221" s="647"/>
      <c r="O221" s="539"/>
    </row>
    <row r="222" spans="2:16" ht="54" customHeight="1">
      <c r="B222" s="1">
        <v>3</v>
      </c>
      <c r="C222" s="1">
        <v>3</v>
      </c>
      <c r="D222" s="503"/>
      <c r="E222" s="63"/>
      <c r="F222" s="534" t="str">
        <f>IF(F219=$F$7,$G$4,IF(ROUNDDOWN(F219,0)=$F$4,$H$4,$G$4))</f>
        <v>■レベル　3</v>
      </c>
      <c r="G222" s="3412" t="s">
        <v>3123</v>
      </c>
      <c r="H222" s="3419"/>
      <c r="I222" s="3419"/>
      <c r="J222" s="3418"/>
      <c r="K222" s="1786" t="str">
        <f>IF(K219=$F$7,$G$4,IF(ROUNDDOWN(K219,0)=$F$4,$H$4,$G$4))</f>
        <v>■レベル　3</v>
      </c>
      <c r="L222" s="537" t="s">
        <v>455</v>
      </c>
      <c r="M222" s="647"/>
      <c r="N222" s="647"/>
      <c r="O222" s="539"/>
    </row>
    <row r="223" spans="2:16" ht="54" customHeight="1">
      <c r="B223" s="1">
        <v>4</v>
      </c>
      <c r="C223" s="1">
        <v>4</v>
      </c>
      <c r="D223" s="503"/>
      <c r="E223" s="63"/>
      <c r="F223" s="534" t="str">
        <f>IF(F219=$F$7,$G$5,IF(ROUNDDOWN(F219,0)=$F$5,$H$5,$G$5))</f>
        <v>　レベル　4</v>
      </c>
      <c r="G223" s="3412" t="s">
        <v>3124</v>
      </c>
      <c r="H223" s="3419"/>
      <c r="I223" s="3419"/>
      <c r="J223" s="3418"/>
      <c r="K223" s="1786" t="str">
        <f>IF(K219=$F$7,$G$5,IF(ROUNDDOWN(K219,0)=$F$5,$H$5,$G$5))</f>
        <v>　レベル　4</v>
      </c>
      <c r="L223" s="537" t="s">
        <v>2406</v>
      </c>
      <c r="M223" s="647"/>
      <c r="N223" s="647"/>
      <c r="O223" s="539"/>
    </row>
    <row r="224" spans="2:16" ht="54" customHeight="1">
      <c r="B224" s="1">
        <v>5</v>
      </c>
      <c r="C224" s="1">
        <v>5</v>
      </c>
      <c r="D224" s="503"/>
      <c r="E224" s="63"/>
      <c r="F224" s="544" t="str">
        <f>IF(F219=$F$7,$G$6,IF(ROUNDDOWN(F219,0)=$F$6,$H$6,$G$6))</f>
        <v>　レベル　5</v>
      </c>
      <c r="G224" s="3415" t="s">
        <v>3125</v>
      </c>
      <c r="H224" s="3416"/>
      <c r="I224" s="3416"/>
      <c r="J224" s="3417"/>
      <c r="K224" s="1788" t="str">
        <f>IF(K219=$F$7,$G$6,IF(ROUNDDOWN(K219,0)=$F$6,$H$6,$G$6))</f>
        <v>　レベル　5</v>
      </c>
      <c r="L224" s="548" t="s">
        <v>2407</v>
      </c>
      <c r="M224" s="642"/>
      <c r="N224" s="642"/>
      <c r="O224" s="550"/>
    </row>
    <row r="225" spans="2:16" ht="15.75">
      <c r="B225" s="551">
        <v>0</v>
      </c>
      <c r="C225" s="551">
        <v>0</v>
      </c>
      <c r="D225" s="503"/>
      <c r="E225" s="63"/>
      <c r="F225" s="839" t="s">
        <v>2938</v>
      </c>
      <c r="G225" s="1941"/>
      <c r="H225" s="1917"/>
      <c r="I225" s="1915"/>
      <c r="J225" s="1916"/>
      <c r="K225" s="839" t="s">
        <v>2938</v>
      </c>
      <c r="L225" s="1941"/>
      <c r="M225" s="1917"/>
      <c r="N225" s="1915"/>
      <c r="O225" s="1916"/>
      <c r="P225" s="1977"/>
    </row>
    <row r="226" spans="2:16" ht="15.75">
      <c r="B226" s="870"/>
      <c r="C226" s="870"/>
      <c r="D226" s="503"/>
      <c r="E226" s="63"/>
      <c r="F226" s="2225" t="s">
        <v>2179</v>
      </c>
      <c r="G226" s="2554">
        <v>25</v>
      </c>
      <c r="H226" s="1949" t="s">
        <v>3258</v>
      </c>
      <c r="J226" s="500"/>
      <c r="K226" s="2225" t="s">
        <v>2919</v>
      </c>
      <c r="L226" s="2554">
        <v>15</v>
      </c>
      <c r="M226" s="2224" t="s">
        <v>2168</v>
      </c>
      <c r="N226" s="1949" t="s">
        <v>3257</v>
      </c>
      <c r="O226" s="500"/>
      <c r="P226" s="1977"/>
    </row>
    <row r="227" spans="2:16" ht="15.75">
      <c r="B227" s="870"/>
      <c r="C227" s="870"/>
      <c r="D227" s="503"/>
      <c r="E227" s="63"/>
      <c r="F227"/>
      <c r="G227"/>
      <c r="H227"/>
      <c r="I227"/>
      <c r="J227"/>
      <c r="K227"/>
      <c r="L227" s="1898"/>
      <c r="M227"/>
      <c r="N227"/>
      <c r="O227"/>
      <c r="P227" s="1918"/>
    </row>
    <row r="228" spans="2:16" ht="15.75">
      <c r="D228" s="503"/>
      <c r="E228" s="63"/>
      <c r="F228" s="511" t="s">
        <v>3250</v>
      </c>
      <c r="G228"/>
      <c r="H228"/>
      <c r="I228"/>
      <c r="J228" t="str">
        <f>IF(OR(F230=0,J229=0),$L$3,"")</f>
        <v/>
      </c>
      <c r="K228" s="511" t="s">
        <v>2408</v>
      </c>
      <c r="L228"/>
      <c r="M228"/>
      <c r="N228"/>
      <c r="O228" t="str">
        <f>IF(OR(K230=0,O229=0),$L$3,"")</f>
        <v/>
      </c>
    </row>
    <row r="229" spans="2:16" ht="15.75" customHeight="1" thickBot="1">
      <c r="D229" s="503"/>
      <c r="E229" s="404"/>
      <c r="F229" s="515"/>
      <c r="G229" s="516"/>
      <c r="H229" s="1441"/>
      <c r="I229" s="518" t="s">
        <v>1126</v>
      </c>
      <c r="J229" s="521">
        <f>重み!M85</f>
        <v>0.1</v>
      </c>
      <c r="K229" s="515"/>
      <c r="L229" s="516"/>
      <c r="M229" s="1441"/>
      <c r="N229" s="518" t="s">
        <v>1126</v>
      </c>
      <c r="O229" s="521">
        <f>重み!M86</f>
        <v>0.1</v>
      </c>
    </row>
    <row r="230" spans="2:16" ht="27" customHeight="1" thickBot="1">
      <c r="D230" s="503"/>
      <c r="E230" s="404"/>
      <c r="F230" s="522">
        <v>3</v>
      </c>
      <c r="G230" s="618" t="s">
        <v>905</v>
      </c>
      <c r="H230" s="528"/>
      <c r="I230" s="527" t="s">
        <v>950</v>
      </c>
      <c r="J230" s="528"/>
      <c r="K230" s="522">
        <v>3</v>
      </c>
      <c r="L230" s="618" t="s">
        <v>1209</v>
      </c>
      <c r="M230" s="527"/>
      <c r="N230" s="527"/>
      <c r="O230" s="528"/>
    </row>
    <row r="231" spans="2:16" ht="21" customHeight="1">
      <c r="B231" s="1">
        <v>1</v>
      </c>
      <c r="C231" s="1" t="s">
        <v>1213</v>
      </c>
      <c r="D231" s="503"/>
      <c r="E231" s="691"/>
      <c r="F231" s="529" t="str">
        <f>IF(F230=$F$7,$G$2,IF(ROUNDDOWN(F230,0)=$F$2,$H$2,$G$2))</f>
        <v>　レベル　1</v>
      </c>
      <c r="G231" s="531" t="s">
        <v>951</v>
      </c>
      <c r="H231" s="533"/>
      <c r="I231" s="531" t="s">
        <v>453</v>
      </c>
      <c r="J231" s="533"/>
      <c r="K231" s="529" t="str">
        <f>IF(K230=$F$7,$G$2,IF(ROUNDDOWN(K230,0)=$F$2,$H$2,$G$2))</f>
        <v>　レベル　1</v>
      </c>
      <c r="L231" s="531" t="s">
        <v>1794</v>
      </c>
      <c r="M231" s="720"/>
      <c r="N231" s="720"/>
      <c r="O231" s="533"/>
    </row>
    <row r="232" spans="2:16" ht="21" customHeight="1">
      <c r="B232" s="1">
        <v>2</v>
      </c>
      <c r="C232" s="1" t="s">
        <v>1213</v>
      </c>
      <c r="D232" s="503"/>
      <c r="E232" s="691"/>
      <c r="F232" s="534" t="str">
        <f>IF(F230=$F$7,$G$3,IF(ROUNDDOWN(F230,0)=$F$3,$H$3,$G$3))</f>
        <v>　レベル　2</v>
      </c>
      <c r="G232" s="537" t="s">
        <v>2409</v>
      </c>
      <c r="H232" s="539"/>
      <c r="I232" s="537" t="s">
        <v>2410</v>
      </c>
      <c r="J232" s="539"/>
      <c r="K232" s="534" t="str">
        <f>IF(K230=$F$7,$G$3,IF(ROUNDDOWN(K230,0)=$F$3,$H$3,$G$3))</f>
        <v>　レベル　2</v>
      </c>
      <c r="L232" s="537" t="s">
        <v>1794</v>
      </c>
      <c r="M232" s="647"/>
      <c r="N232" s="647"/>
      <c r="O232" s="539"/>
    </row>
    <row r="233" spans="2:16" ht="21" customHeight="1">
      <c r="B233" s="1">
        <v>3</v>
      </c>
      <c r="C233" s="1">
        <v>3</v>
      </c>
      <c r="D233" s="503"/>
      <c r="E233" s="691"/>
      <c r="F233" s="534" t="str">
        <f>IF(F230=$F$7,$G$4,IF(ROUNDDOWN(F230,0)=$F$4,$H$4,$G$4))</f>
        <v>■レベル　3</v>
      </c>
      <c r="G233" s="537" t="s">
        <v>2411</v>
      </c>
      <c r="H233" s="539"/>
      <c r="I233" s="537" t="s">
        <v>2412</v>
      </c>
      <c r="J233" s="539"/>
      <c r="K233" s="534" t="str">
        <f>IF(K230=$F$7,$G$4,IF(ROUNDDOWN(K230,0)=$F$4,$H$4,$G$4))</f>
        <v>■レベル　3</v>
      </c>
      <c r="L233" s="537" t="s">
        <v>2413</v>
      </c>
      <c r="M233" s="647"/>
      <c r="N233" s="647"/>
      <c r="O233" s="539"/>
    </row>
    <row r="234" spans="2:16" ht="61.5" customHeight="1">
      <c r="B234" s="1">
        <v>4</v>
      </c>
      <c r="C234" s="1">
        <v>4</v>
      </c>
      <c r="D234" s="503"/>
      <c r="E234" s="691"/>
      <c r="F234" s="534" t="str">
        <f>IF(F230=$F$7,$G$5,IF(ROUNDDOWN(F230,0)=$F$5,$H$5,$G$5))</f>
        <v>　レベル　4</v>
      </c>
      <c r="G234" s="537" t="s">
        <v>1245</v>
      </c>
      <c r="H234" s="539"/>
      <c r="I234" s="537" t="s">
        <v>952</v>
      </c>
      <c r="J234" s="539"/>
      <c r="K234" s="534" t="str">
        <f>IF(K230=$F$7,$G$5,IF(ROUNDDOWN(K230,0)=$F$5,$H$5,$G$5))</f>
        <v>　レベル　4</v>
      </c>
      <c r="L234" s="3412" t="s">
        <v>1246</v>
      </c>
      <c r="M234" s="3419"/>
      <c r="N234" s="3419"/>
      <c r="O234" s="3418"/>
    </row>
    <row r="235" spans="2:16" ht="61.5" customHeight="1">
      <c r="B235" s="1">
        <v>5</v>
      </c>
      <c r="C235" s="1">
        <v>5</v>
      </c>
      <c r="D235" s="503"/>
      <c r="E235" s="691"/>
      <c r="F235" s="544" t="str">
        <f>IF(F230=$F$7,$G$6,IF(ROUNDDOWN(F230,0)=$F$6,$H$6,$G$6))</f>
        <v>　レベル　5</v>
      </c>
      <c r="G235" s="548" t="s">
        <v>953</v>
      </c>
      <c r="H235" s="550"/>
      <c r="I235" s="548" t="s">
        <v>1247</v>
      </c>
      <c r="J235" s="550"/>
      <c r="K235" s="544" t="str">
        <f>IF(K230=$F$7,$G$6,IF(ROUNDDOWN(K230,0)=$F$6,$H$6,$G$6))</f>
        <v>　レベル　5</v>
      </c>
      <c r="L235" s="3415" t="s">
        <v>1248</v>
      </c>
      <c r="M235" s="3416"/>
      <c r="N235" s="3416"/>
      <c r="O235" s="3417"/>
    </row>
    <row r="236" spans="2:16" ht="15.75">
      <c r="B236" s="551">
        <v>0</v>
      </c>
      <c r="C236" s="551">
        <v>0</v>
      </c>
      <c r="D236" s="503"/>
      <c r="E236" s="503"/>
      <c r="F236" s="839" t="s">
        <v>2938</v>
      </c>
      <c r="G236" s="1941"/>
      <c r="H236" s="1917"/>
      <c r="I236" s="1915"/>
      <c r="J236" s="1916"/>
      <c r="K236" s="839" t="s">
        <v>2938</v>
      </c>
      <c r="L236" s="1941"/>
      <c r="M236" s="1917"/>
      <c r="N236" s="1915"/>
      <c r="O236" s="1916"/>
      <c r="P236" s="1977"/>
    </row>
    <row r="237" spans="2:16" ht="15.75">
      <c r="B237" s="870"/>
      <c r="C237" s="870"/>
      <c r="D237" s="503"/>
      <c r="E237" s="503"/>
      <c r="F237" s="2225" t="s">
        <v>2919</v>
      </c>
      <c r="G237" s="2554"/>
      <c r="H237" s="2224" t="s">
        <v>2168</v>
      </c>
      <c r="I237" s="1949" t="s">
        <v>3257</v>
      </c>
      <c r="J237" s="500"/>
      <c r="K237"/>
      <c r="L237" s="1949" t="s">
        <v>3257</v>
      </c>
      <c r="M237"/>
      <c r="N237" s="500"/>
      <c r="O237" s="500"/>
      <c r="P237" s="1977"/>
    </row>
    <row r="238" spans="2:16" ht="15.75">
      <c r="B238" s="870"/>
      <c r="C238" s="870"/>
      <c r="D238" s="503"/>
      <c r="E238" s="503"/>
      <c r="F238"/>
      <c r="G238"/>
      <c r="H238"/>
      <c r="I238"/>
      <c r="J238"/>
      <c r="K238"/>
      <c r="L238"/>
      <c r="M238"/>
      <c r="N238"/>
      <c r="O238"/>
      <c r="P238" s="1918"/>
    </row>
    <row r="239" spans="2:16" ht="15.75">
      <c r="D239" s="503"/>
      <c r="E239" s="503"/>
      <c r="F239" s="511" t="s">
        <v>1864</v>
      </c>
      <c r="G239"/>
      <c r="H239"/>
      <c r="I239"/>
      <c r="J239" t="str">
        <f>IF(OR(F241=0,J240=0),$L$3,"")</f>
        <v/>
      </c>
      <c r="K239" s="511" t="s">
        <v>316</v>
      </c>
      <c r="L239"/>
      <c r="M239"/>
      <c r="N239"/>
      <c r="O239" t="str">
        <f>IF(OR(K241=0,O240=0),$L$3,"")</f>
        <v/>
      </c>
    </row>
    <row r="240" spans="2:16" ht="15.75" customHeight="1" thickBot="1">
      <c r="D240" s="503"/>
      <c r="E240" s="404"/>
      <c r="F240" s="515"/>
      <c r="G240" s="516"/>
      <c r="H240" s="1441"/>
      <c r="I240" s="518" t="s">
        <v>1126</v>
      </c>
      <c r="J240" s="521">
        <f>重み!M87</f>
        <v>0.2</v>
      </c>
      <c r="K240" s="515"/>
      <c r="L240" s="516"/>
      <c r="M240" s="1441"/>
      <c r="N240" s="518" t="s">
        <v>1126</v>
      </c>
      <c r="O240" s="521">
        <f>重み!M88</f>
        <v>0.2</v>
      </c>
    </row>
    <row r="241" spans="2:16" ht="27" customHeight="1" thickBot="1">
      <c r="D241" s="503"/>
      <c r="E241" s="404"/>
      <c r="F241" s="522">
        <v>3</v>
      </c>
      <c r="G241" s="618" t="s">
        <v>3074</v>
      </c>
      <c r="H241" s="527"/>
      <c r="I241" s="527"/>
      <c r="J241" s="528"/>
      <c r="K241" s="522">
        <v>3</v>
      </c>
      <c r="L241" s="618" t="s">
        <v>1209</v>
      </c>
      <c r="M241" s="527"/>
      <c r="N241" s="527"/>
      <c r="O241" s="528"/>
    </row>
    <row r="242" spans="2:16" ht="21" customHeight="1">
      <c r="B242" s="688" t="s">
        <v>1213</v>
      </c>
      <c r="C242" s="1">
        <v>1</v>
      </c>
      <c r="D242" s="503"/>
      <c r="E242" s="691"/>
      <c r="F242" s="529" t="str">
        <f>IF(F241=$F$7,$G$2,IF(ROUNDDOWN(F241,0)=$F$2,$H$2,$G$2))</f>
        <v>　レベル　1</v>
      </c>
      <c r="G242" s="537" t="s">
        <v>1794</v>
      </c>
      <c r="H242" s="720"/>
      <c r="I242" s="720"/>
      <c r="J242" s="533"/>
      <c r="K242" s="529" t="str">
        <f>IF(K241=$F$7,$G$2,IF(ROUNDDOWN(K241,0)=$F$2,$H$2,$G$2))</f>
        <v>　レベル　1</v>
      </c>
      <c r="L242" s="531" t="s">
        <v>317</v>
      </c>
      <c r="M242" s="720"/>
      <c r="N242" s="720"/>
      <c r="O242" s="533"/>
    </row>
    <row r="243" spans="2:16" ht="21" customHeight="1">
      <c r="B243" s="1" t="s">
        <v>1213</v>
      </c>
      <c r="C243" s="1">
        <v>2</v>
      </c>
      <c r="D243" s="503"/>
      <c r="E243" s="691"/>
      <c r="F243" s="534" t="str">
        <f>IF(F241=$F$7,$G$3,IF(ROUNDDOWN(F241,0)=$F$3,$H$3,$G$3))</f>
        <v>　レベル　2</v>
      </c>
      <c r="G243" s="537" t="s">
        <v>1794</v>
      </c>
      <c r="H243" s="647"/>
      <c r="I243" s="647"/>
      <c r="J243" s="539"/>
      <c r="K243" s="534" t="str">
        <f>IF(K241=$F$7,$G$3,IF(ROUNDDOWN(K241,0)=$F$3,$H$3,$G$3))</f>
        <v>　レベル　2</v>
      </c>
      <c r="L243" s="537" t="s">
        <v>1865</v>
      </c>
      <c r="M243" s="647"/>
      <c r="N243" s="647"/>
      <c r="O243" s="539"/>
    </row>
    <row r="244" spans="2:16" ht="21" customHeight="1">
      <c r="B244" s="1">
        <v>3</v>
      </c>
      <c r="C244" s="1">
        <v>3</v>
      </c>
      <c r="D244" s="503"/>
      <c r="E244" s="691"/>
      <c r="F244" s="534" t="str">
        <f>IF(F241=$F$7,$G$4,IF(ROUNDDOWN(F241,0)=$F$4,$H$4,$G$4))</f>
        <v>■レベル　3</v>
      </c>
      <c r="G244" s="537" t="s">
        <v>1866</v>
      </c>
      <c r="H244" s="647"/>
      <c r="I244" s="647"/>
      <c r="J244" s="539"/>
      <c r="K244" s="534" t="str">
        <f>IF(K241=$F$7,$G$4,IF(ROUNDDOWN(K241,0)=$F$4,$H$4,$G$4))</f>
        <v>■レベル　3</v>
      </c>
      <c r="L244" s="537" t="s">
        <v>1867</v>
      </c>
      <c r="M244" s="647"/>
      <c r="N244" s="647"/>
      <c r="O244" s="539"/>
    </row>
    <row r="245" spans="2:16" ht="21" customHeight="1">
      <c r="B245" s="688">
        <v>4</v>
      </c>
      <c r="C245" s="1">
        <v>4</v>
      </c>
      <c r="D245" s="503"/>
      <c r="E245" s="691"/>
      <c r="F245" s="534" t="str">
        <f>IF(F241=$F$7,$G$5,IF(ROUNDDOWN(F241,0)=$F$5,$H$5,$G$5))</f>
        <v>　レベル　4</v>
      </c>
      <c r="G245" s="537" t="s">
        <v>1360</v>
      </c>
      <c r="H245" s="647"/>
      <c r="I245" s="647"/>
      <c r="J245" s="539"/>
      <c r="K245" s="534" t="str">
        <f>IF(K241=$F$7,$G$5,IF(ROUNDDOWN(K241,0)=$F$5,$H$5,$G$5))</f>
        <v>　レベル　4</v>
      </c>
      <c r="L245" s="537" t="s">
        <v>1361</v>
      </c>
      <c r="M245" s="647"/>
      <c r="N245" s="647"/>
      <c r="O245" s="539"/>
    </row>
    <row r="246" spans="2:16" ht="31.5" customHeight="1">
      <c r="B246" s="688">
        <v>5</v>
      </c>
      <c r="C246" s="1">
        <v>5</v>
      </c>
      <c r="D246" s="503"/>
      <c r="E246" s="691"/>
      <c r="F246" s="544" t="str">
        <f>IF(F241=$F$7,$G$6,IF(ROUNDDOWN(F241,0)=$F$6,$H$6,$G$6))</f>
        <v>　レベル　5</v>
      </c>
      <c r="G246" s="2010" t="s">
        <v>1284</v>
      </c>
      <c r="H246" s="2011"/>
      <c r="I246" s="2011"/>
      <c r="J246" s="2012"/>
      <c r="K246" s="1788" t="str">
        <f>IF(K241=$F$7,$G$6,IF(ROUNDDOWN(K241,0)=$F$6,$H$6,$G$6))</f>
        <v>　レベル　5</v>
      </c>
      <c r="L246" s="1791" t="s">
        <v>1285</v>
      </c>
      <c r="M246" s="642"/>
      <c r="N246" s="642"/>
      <c r="O246" s="550"/>
    </row>
    <row r="247" spans="2:16" ht="15.75">
      <c r="B247" s="551">
        <v>0</v>
      </c>
      <c r="C247" s="551">
        <v>0</v>
      </c>
      <c r="D247" s="503"/>
      <c r="E247" s="503"/>
      <c r="F247" s="839" t="s">
        <v>2938</v>
      </c>
      <c r="G247" s="1941"/>
      <c r="H247" s="1917"/>
      <c r="I247" s="1915"/>
      <c r="J247" s="1916"/>
      <c r="K247" s="839" t="s">
        <v>2938</v>
      </c>
      <c r="L247" s="1941"/>
      <c r="M247" s="1917"/>
      <c r="N247" s="1915"/>
      <c r="O247" s="1916"/>
      <c r="P247" s="1977"/>
    </row>
    <row r="248" spans="2:16" ht="15.75">
      <c r="B248" s="870"/>
      <c r="C248" s="870"/>
      <c r="D248" s="503"/>
      <c r="E248" s="503"/>
      <c r="F248" s="839"/>
      <c r="G248" s="1949" t="s">
        <v>3257</v>
      </c>
      <c r="H248" s="839"/>
      <c r="I248" s="500"/>
      <c r="J248" s="500"/>
      <c r="K248" s="2225" t="s">
        <v>2919</v>
      </c>
      <c r="L248" s="2554"/>
      <c r="M248" s="2224" t="s">
        <v>3097</v>
      </c>
      <c r="N248" s="500"/>
      <c r="O248" s="500"/>
      <c r="P248" s="1977"/>
    </row>
    <row r="249" spans="2:16" ht="15.75">
      <c r="B249" s="870"/>
      <c r="C249" s="870"/>
      <c r="D249" s="503"/>
      <c r="E249" s="503"/>
      <c r="F249"/>
      <c r="G249"/>
      <c r="H249"/>
      <c r="I249"/>
      <c r="J249"/>
      <c r="K249"/>
      <c r="L249"/>
      <c r="M249"/>
      <c r="N249"/>
      <c r="O249"/>
      <c r="P249" s="1918"/>
    </row>
    <row r="250" spans="2:16" ht="15.75">
      <c r="B250" s="670" t="s">
        <v>1287</v>
      </c>
      <c r="D250" s="499">
        <v>2.2999999999999998</v>
      </c>
      <c r="E250" s="508" t="s">
        <v>650</v>
      </c>
      <c r="F250"/>
      <c r="G250" t="s">
        <v>1286</v>
      </c>
      <c r="H250"/>
      <c r="I250"/>
      <c r="J250"/>
      <c r="K250"/>
      <c r="L250"/>
      <c r="M250"/>
      <c r="N250"/>
      <c r="O250"/>
    </row>
    <row r="251" spans="2:16" ht="15.75" hidden="1">
      <c r="B251" s="670" t="s">
        <v>1287</v>
      </c>
      <c r="D251" s="499"/>
      <c r="E251" s="508"/>
      <c r="F251" t="s">
        <v>318</v>
      </c>
      <c r="G251"/>
      <c r="H251"/>
      <c r="I251"/>
      <c r="J251" t="str">
        <f>IF(OR(F253=0,J252=0),$L$3,"")</f>
        <v>&lt;評価しない&gt;</v>
      </c>
      <c r="K251" t="s">
        <v>319</v>
      </c>
      <c r="L251"/>
      <c r="M251"/>
      <c r="N251"/>
      <c r="O251" t="str">
        <f>IF(OR(K253=0,O252=0),$L$3,"")</f>
        <v>&lt;評価しない&gt;</v>
      </c>
    </row>
    <row r="252" spans="2:16" ht="16.5" hidden="1" thickBot="1">
      <c r="D252" s="499"/>
      <c r="E252" s="508"/>
      <c r="F252" s="515" t="s">
        <v>2360</v>
      </c>
      <c r="G252" s="516"/>
      <c r="H252" s="1441"/>
      <c r="I252" s="518" t="s">
        <v>320</v>
      </c>
      <c r="J252" s="521">
        <f>重み!M90</f>
        <v>0</v>
      </c>
      <c r="K252" s="515" t="s">
        <v>2360</v>
      </c>
      <c r="L252" s="516"/>
      <c r="M252" s="1441"/>
      <c r="N252" s="518" t="s">
        <v>320</v>
      </c>
      <c r="O252" s="521">
        <f>重み!M91</f>
        <v>0</v>
      </c>
    </row>
    <row r="253" spans="2:16" ht="16.5" hidden="1" thickBot="1">
      <c r="D253" s="499"/>
      <c r="E253" s="508"/>
      <c r="F253" s="522">
        <v>3</v>
      </c>
      <c r="G253" s="1699" t="s">
        <v>33</v>
      </c>
      <c r="H253" s="580"/>
      <c r="I253" s="580"/>
      <c r="J253" s="1700"/>
      <c r="K253" s="522">
        <v>3</v>
      </c>
      <c r="L253" s="1699" t="s">
        <v>33</v>
      </c>
      <c r="M253" s="580"/>
      <c r="N253" s="580"/>
      <c r="O253" s="1700"/>
    </row>
    <row r="254" spans="2:16" ht="15.75" hidden="1">
      <c r="B254" s="1">
        <v>1</v>
      </c>
      <c r="C254" s="1">
        <v>1</v>
      </c>
      <c r="D254" s="499"/>
      <c r="E254" s="508"/>
      <c r="F254" s="529" t="str">
        <f>IF(F253=$F$7,$G$2,IF(ROUNDDOWN(F253,0)=$F$2,$H$2,$G$2))</f>
        <v>　レベル　1</v>
      </c>
      <c r="G254" s="537" t="s">
        <v>1288</v>
      </c>
      <c r="H254" s="698"/>
      <c r="I254" s="698"/>
      <c r="J254" s="533"/>
      <c r="K254" s="529" t="str">
        <f>IF(K253=$F$7,$G$2,IF(ROUNDDOWN(K253,0)=$F$2,$H$2,$G$2))</f>
        <v>　レベル　1</v>
      </c>
      <c r="L254" s="2017" t="s">
        <v>1288</v>
      </c>
      <c r="M254" s="1995"/>
      <c r="N254" s="1995"/>
      <c r="O254" s="1996"/>
    </row>
    <row r="255" spans="2:16" ht="15.75" hidden="1">
      <c r="B255" s="1">
        <v>2</v>
      </c>
      <c r="C255" s="1">
        <v>2</v>
      </c>
      <c r="D255" s="499"/>
      <c r="E255" s="508"/>
      <c r="F255" s="534" t="str">
        <f>IF(F253=$F$7,$G$3,IF(ROUNDDOWN(F253,0)=$F$3,$H$3,$G$3))</f>
        <v>　レベル　2</v>
      </c>
      <c r="G255" s="537" t="s">
        <v>1289</v>
      </c>
      <c r="H255" s="663"/>
      <c r="I255" s="663"/>
      <c r="J255" s="539"/>
      <c r="K255" s="534" t="str">
        <f>IF(K253=$F$7,$G$3,IF(ROUNDDOWN(K253,0)=$F$3,$H$3,$G$3))</f>
        <v>　レベル　2</v>
      </c>
      <c r="L255" s="1763" t="s">
        <v>1289</v>
      </c>
      <c r="M255" s="1785"/>
      <c r="N255" s="1785"/>
      <c r="O255" s="1770"/>
    </row>
    <row r="256" spans="2:16" ht="15.75" hidden="1">
      <c r="B256" s="1">
        <v>3</v>
      </c>
      <c r="C256" s="1">
        <v>3</v>
      </c>
      <c r="D256" s="499"/>
      <c r="E256" s="508"/>
      <c r="F256" s="534" t="str">
        <f>IF(F253=$F$7,$G$4,IF(ROUNDDOWN(F253,0)=$F$4,$H$4,$G$4))</f>
        <v>■レベル　3</v>
      </c>
      <c r="G256" s="537" t="s">
        <v>2513</v>
      </c>
      <c r="H256" s="663"/>
      <c r="I256" s="663"/>
      <c r="J256" s="539"/>
      <c r="K256" s="534" t="str">
        <f>IF(K253=$F$7,$G$4,IF(ROUNDDOWN(K253,0)=$F$4,$H$4,$G$4))</f>
        <v>■レベル　3</v>
      </c>
      <c r="L256" s="1763" t="s">
        <v>2514</v>
      </c>
      <c r="M256" s="1785"/>
      <c r="N256" s="1785"/>
      <c r="O256" s="1770"/>
    </row>
    <row r="257" spans="2:16" ht="15.75" hidden="1">
      <c r="B257" s="1" t="s">
        <v>321</v>
      </c>
      <c r="C257" s="1" t="s">
        <v>321</v>
      </c>
      <c r="D257" s="499"/>
      <c r="E257" s="508"/>
      <c r="F257" s="534" t="str">
        <f>IF(F253=$F$7,$G$5,IF(ROUNDDOWN(F253,0)=$F$5,$H$5,$G$5))</f>
        <v>　レベル　4</v>
      </c>
      <c r="G257" s="1763" t="s">
        <v>1794</v>
      </c>
      <c r="H257" s="1761"/>
      <c r="I257" s="1761"/>
      <c r="J257" s="1764"/>
      <c r="K257" s="534" t="str">
        <f>IF(K253=$F$7,$G$5,IF(ROUNDDOWN(K253,0)=$F$5,$H$5,$G$5))</f>
        <v>　レベル　4</v>
      </c>
      <c r="L257" s="1763" t="s">
        <v>1794</v>
      </c>
      <c r="M257" s="1785"/>
      <c r="N257" s="1785"/>
      <c r="O257" s="1770"/>
    </row>
    <row r="258" spans="2:16" ht="15.75" hidden="1">
      <c r="B258" s="1">
        <v>5</v>
      </c>
      <c r="C258" s="1">
        <v>5</v>
      </c>
      <c r="D258" s="499"/>
      <c r="E258" s="508"/>
      <c r="F258" s="544" t="str">
        <f>IF(F253=$F$7,$G$6,IF(ROUNDDOWN(F253,0)=$F$6,$H$6,$G$6))</f>
        <v>　レベル　5</v>
      </c>
      <c r="G258" s="548" t="s">
        <v>1290</v>
      </c>
      <c r="H258" s="703"/>
      <c r="I258" s="703"/>
      <c r="J258" s="550"/>
      <c r="K258" s="544" t="str">
        <f>IF(K253=$F$7,$G$6,IF(ROUNDDOWN(K253,0)=$F$6,$H$6,$G$6))</f>
        <v>　レベル　5</v>
      </c>
      <c r="L258" s="2010" t="s">
        <v>1290</v>
      </c>
      <c r="M258" s="1787"/>
      <c r="N258" s="1787"/>
      <c r="O258" s="1771"/>
    </row>
    <row r="259" spans="2:16" ht="15.75" hidden="1">
      <c r="B259" s="551">
        <v>0</v>
      </c>
      <c r="C259" s="551">
        <v>0</v>
      </c>
      <c r="D259" s="499"/>
      <c r="E259" s="508"/>
      <c r="F259" s="839" t="s">
        <v>2938</v>
      </c>
      <c r="G259" s="1941"/>
      <c r="H259" s="1917"/>
      <c r="I259" s="1915"/>
      <c r="J259" s="1916"/>
      <c r="K259" s="839" t="s">
        <v>2938</v>
      </c>
      <c r="L259" s="1941"/>
      <c r="M259" s="1917"/>
      <c r="N259" s="1915"/>
      <c r="O259" s="1916"/>
      <c r="P259" s="1918" t="s">
        <v>2939</v>
      </c>
    </row>
    <row r="260" spans="2:16" ht="15.75" hidden="1">
      <c r="B260" s="870"/>
      <c r="C260" s="870"/>
      <c r="D260" s="499"/>
      <c r="E260" s="508"/>
      <c r="F260"/>
      <c r="G260"/>
      <c r="H260"/>
      <c r="I260"/>
      <c r="J260"/>
      <c r="K260"/>
      <c r="L260"/>
      <c r="M260"/>
      <c r="N260"/>
      <c r="O260"/>
    </row>
    <row r="261" spans="2:16" ht="15.75" hidden="1">
      <c r="B261" s="670" t="s">
        <v>1287</v>
      </c>
      <c r="D261" s="499"/>
      <c r="E261" s="508"/>
      <c r="F261" t="s">
        <v>322</v>
      </c>
      <c r="G261"/>
      <c r="H261"/>
      <c r="I261"/>
      <c r="J261" t="str">
        <f>IF(OR(F263=0,J262=0),$L$3,"")</f>
        <v>&lt;評価しない&gt;</v>
      </c>
      <c r="K261"/>
      <c r="L261"/>
      <c r="M261"/>
      <c r="N261"/>
      <c r="O261"/>
    </row>
    <row r="262" spans="2:16" ht="16.5" hidden="1" thickBot="1">
      <c r="D262" s="499"/>
      <c r="E262" s="508"/>
      <c r="F262" s="515" t="s">
        <v>2360</v>
      </c>
      <c r="G262" s="516"/>
      <c r="H262" s="1441"/>
      <c r="I262" s="518" t="s">
        <v>320</v>
      </c>
      <c r="J262" s="521">
        <f>重み!M92</f>
        <v>0</v>
      </c>
      <c r="K262"/>
      <c r="L262"/>
      <c r="M262"/>
      <c r="N262"/>
      <c r="O262"/>
    </row>
    <row r="263" spans="2:16" ht="16.5" hidden="1" thickBot="1">
      <c r="D263" s="499"/>
      <c r="E263" s="508"/>
      <c r="F263" s="522">
        <v>3</v>
      </c>
      <c r="G263" s="1699" t="s">
        <v>33</v>
      </c>
      <c r="H263" s="580"/>
      <c r="I263" s="580"/>
      <c r="J263" s="1700"/>
      <c r="K263"/>
      <c r="L263"/>
      <c r="M263"/>
      <c r="N263"/>
      <c r="O263"/>
    </row>
    <row r="264" spans="2:16" ht="15.75" hidden="1">
      <c r="B264" s="1">
        <v>1</v>
      </c>
      <c r="C264" s="1">
        <v>1</v>
      </c>
      <c r="D264" s="499"/>
      <c r="E264" s="508"/>
      <c r="F264" s="529" t="str">
        <f>IF(F263=$F$7,$G$2,IF(ROUNDDOWN(F263,0)=$F$2,$H$2,$G$2))</f>
        <v>　レベル　1</v>
      </c>
      <c r="G264" s="2017" t="s">
        <v>1288</v>
      </c>
      <c r="H264" s="1995"/>
      <c r="I264" s="1995"/>
      <c r="J264" s="1996"/>
      <c r="K264"/>
      <c r="L264"/>
      <c r="M264"/>
      <c r="N264"/>
      <c r="O264"/>
    </row>
    <row r="265" spans="2:16" ht="15.75" hidden="1">
      <c r="B265" s="1">
        <v>2</v>
      </c>
      <c r="C265" s="1">
        <v>2</v>
      </c>
      <c r="D265" s="499"/>
      <c r="E265" s="508"/>
      <c r="F265" s="534" t="str">
        <f>IF(F263=$F$7,$G$3,IF(ROUNDDOWN(F263,0)=$F$3,$H$3,$G$3))</f>
        <v>　レベル　2</v>
      </c>
      <c r="G265" s="1763" t="s">
        <v>1289</v>
      </c>
      <c r="H265" s="1785"/>
      <c r="I265" s="1785"/>
      <c r="J265" s="1770"/>
      <c r="K265"/>
      <c r="L265"/>
      <c r="M265"/>
      <c r="N265"/>
      <c r="O265"/>
    </row>
    <row r="266" spans="2:16" ht="15.75" hidden="1">
      <c r="B266" s="1">
        <v>3</v>
      </c>
      <c r="C266" s="1">
        <v>3</v>
      </c>
      <c r="D266" s="499"/>
      <c r="E266" s="508"/>
      <c r="F266" s="534" t="str">
        <f>IF(F263=$F$7,$G$4,IF(ROUNDDOWN(F263,0)=$F$4,$H$4,$G$4))</f>
        <v>■レベル　3</v>
      </c>
      <c r="G266" s="1763" t="s">
        <v>2514</v>
      </c>
      <c r="H266" s="1785"/>
      <c r="I266" s="1785"/>
      <c r="J266" s="1770"/>
      <c r="K266"/>
      <c r="L266"/>
      <c r="M266"/>
      <c r="N266"/>
      <c r="O266"/>
    </row>
    <row r="267" spans="2:16" ht="15.75" hidden="1">
      <c r="B267" s="1" t="s">
        <v>321</v>
      </c>
      <c r="C267" s="1">
        <v>4</v>
      </c>
      <c r="D267" s="499"/>
      <c r="E267" s="508"/>
      <c r="F267" s="534" t="str">
        <f>IF(F263=$F$7,$G$5,IF(ROUNDDOWN(F263,0)=$F$5,$H$5,$G$5))</f>
        <v>　レベル　4</v>
      </c>
      <c r="G267" s="1763" t="s">
        <v>1794</v>
      </c>
      <c r="H267" s="1785"/>
      <c r="I267" s="1785"/>
      <c r="J267" s="1770"/>
      <c r="K267"/>
      <c r="L267"/>
      <c r="M267"/>
      <c r="N267"/>
      <c r="O267"/>
    </row>
    <row r="268" spans="2:16" ht="15.75" hidden="1">
      <c r="B268" s="1">
        <v>5</v>
      </c>
      <c r="C268" s="1">
        <v>5</v>
      </c>
      <c r="D268" s="499"/>
      <c r="E268" s="508"/>
      <c r="F268" s="544" t="str">
        <f>IF(F263=$F$7,$G$6,IF(ROUNDDOWN(F263,0)=$F$6,$H$6,$G$6))</f>
        <v>　レベル　5</v>
      </c>
      <c r="G268" s="2010" t="s">
        <v>2515</v>
      </c>
      <c r="H268" s="1787"/>
      <c r="I268" s="1787"/>
      <c r="J268" s="1771"/>
      <c r="K268"/>
      <c r="L268"/>
      <c r="M268"/>
      <c r="N268"/>
      <c r="O268"/>
    </row>
    <row r="269" spans="2:16" ht="15.75" hidden="1">
      <c r="B269" s="551">
        <v>0</v>
      </c>
      <c r="C269" s="551">
        <v>0</v>
      </c>
      <c r="D269" s="499"/>
      <c r="E269" s="508"/>
      <c r="F269" s="839" t="s">
        <v>2938</v>
      </c>
      <c r="G269" s="1941"/>
      <c r="H269" s="1917"/>
      <c r="I269" s="1915"/>
      <c r="J269" s="1916"/>
      <c r="K269" s="1918" t="s">
        <v>2939</v>
      </c>
      <c r="L269" s="1231"/>
      <c r="M269"/>
      <c r="N269"/>
      <c r="O269"/>
      <c r="P269" s="1918"/>
    </row>
    <row r="270" spans="2:16" ht="15.75">
      <c r="B270" s="870"/>
      <c r="C270" s="870"/>
      <c r="D270" s="499"/>
      <c r="E270" s="508"/>
      <c r="F270"/>
      <c r="G270"/>
      <c r="H270"/>
      <c r="I270"/>
      <c r="J270"/>
      <c r="K270"/>
      <c r="L270"/>
      <c r="M270"/>
      <c r="N270"/>
      <c r="O270"/>
    </row>
    <row r="271" spans="2:16" ht="15.75">
      <c r="D271" s="499">
        <v>2.4</v>
      </c>
      <c r="E271" s="508" t="s">
        <v>66</v>
      </c>
      <c r="F271"/>
      <c r="G271"/>
      <c r="H271"/>
      <c r="I271"/>
      <c r="J271"/>
      <c r="K271"/>
      <c r="L271"/>
      <c r="M271"/>
      <c r="N271"/>
      <c r="O271"/>
    </row>
    <row r="272" spans="2:16" ht="15.75">
      <c r="D272" s="499"/>
      <c r="E272" s="508"/>
      <c r="F272" s="511" t="s">
        <v>323</v>
      </c>
      <c r="G272"/>
      <c r="H272"/>
      <c r="I272"/>
      <c r="J272" t="str">
        <f>IF(OR(F274=0,J273=0),$L$3,"")</f>
        <v/>
      </c>
      <c r="K272"/>
      <c r="L272"/>
      <c r="M272"/>
      <c r="N272"/>
      <c r="O272"/>
    </row>
    <row r="273" spans="2:15" ht="16.5" thickBot="1">
      <c r="B273" t="s">
        <v>3076</v>
      </c>
      <c r="D273" s="503"/>
      <c r="E273" s="63"/>
      <c r="F273" s="515"/>
      <c r="G273" s="516"/>
      <c r="H273" s="1441"/>
      <c r="I273" s="518" t="s">
        <v>1126</v>
      </c>
      <c r="J273" s="519">
        <f>重み!M94</f>
        <v>0.2</v>
      </c>
      <c r="K273" s="631"/>
      <c r="L273" s="631"/>
      <c r="M273" s="631"/>
      <c r="N273" s="631"/>
      <c r="O273" s="521"/>
    </row>
    <row r="274" spans="2:15" ht="27" customHeight="1" thickBot="1">
      <c r="B274" t="s">
        <v>2967</v>
      </c>
      <c r="C274" t="s">
        <v>2967</v>
      </c>
      <c r="D274" s="503"/>
      <c r="E274" s="63"/>
      <c r="F274" s="1899">
        <f>G282</f>
        <v>3</v>
      </c>
      <c r="G274" s="2091" t="s">
        <v>3133</v>
      </c>
      <c r="H274" s="517"/>
      <c r="I274" s="1904">
        <f>IF(メイン!J69&gt;=2000,メイン!J47+メイン!J60+メイン!J64+メイン!J65+メイン!J63,0)</f>
        <v>0</v>
      </c>
      <c r="J274" s="1494" t="s">
        <v>3134</v>
      </c>
      <c r="K274" s="2092"/>
      <c r="L274" s="1903">
        <f>IF(メイン!J69&gt;=2000,メイン!J50+メイン!J55+メイン!J59+メイン!J67,0)</f>
        <v>0</v>
      </c>
      <c r="M274" s="1494" t="s">
        <v>3131</v>
      </c>
      <c r="N274" s="2092"/>
      <c r="O274" s="1903">
        <f>IF(メイン!J69&lt;2000,メイン!J69,0)</f>
        <v>1500</v>
      </c>
    </row>
    <row r="275" spans="2:15" ht="21" customHeight="1">
      <c r="B275">
        <v>0</v>
      </c>
      <c r="C275">
        <v>0</v>
      </c>
      <c r="D275" s="503"/>
      <c r="E275" s="63"/>
      <c r="F275" s="529" t="str">
        <f>IF(F274=$F$7,$G$2,IF(ROUNDDOWN(F274,0)=$F$2,$H$2,$G$2))</f>
        <v>　レベル　1</v>
      </c>
      <c r="G275" s="2017" t="s">
        <v>324</v>
      </c>
      <c r="H275" s="720"/>
      <c r="I275" s="1769"/>
      <c r="J275" s="2017" t="s">
        <v>670</v>
      </c>
      <c r="K275" s="720"/>
      <c r="L275" s="1769"/>
      <c r="M275" s="2017" t="s">
        <v>1794</v>
      </c>
      <c r="N275" s="720"/>
      <c r="O275" s="1769"/>
    </row>
    <row r="276" spans="2:15" ht="21" customHeight="1">
      <c r="B276">
        <v>1</v>
      </c>
      <c r="C276">
        <v>1</v>
      </c>
      <c r="D276" s="503"/>
      <c r="E276" s="63"/>
      <c r="F276" s="534" t="str">
        <f>IF(F274=$F$7,$G$3,IF(ROUNDDOWN(F274,0)=$F$3,$H$3,$G$3))</f>
        <v>　レベル　2</v>
      </c>
      <c r="G276" s="1763" t="s">
        <v>1794</v>
      </c>
      <c r="H276" s="647"/>
      <c r="I276" s="1770"/>
      <c r="J276" s="1763" t="s">
        <v>1794</v>
      </c>
      <c r="K276" s="647"/>
      <c r="L276" s="1770"/>
      <c r="M276" s="1763" t="s">
        <v>1794</v>
      </c>
      <c r="N276" s="647"/>
      <c r="O276" s="1770"/>
    </row>
    <row r="277" spans="2:15" ht="37.5" customHeight="1">
      <c r="B277">
        <v>1</v>
      </c>
      <c r="C277">
        <v>1</v>
      </c>
      <c r="D277" s="503"/>
      <c r="E277" s="63"/>
      <c r="F277" s="534" t="str">
        <f>IF(F274=$F$7,$G$4,IF(ROUNDDOWN(F274,0)=$F$4,$H$4,$G$4))</f>
        <v>■レベル　3</v>
      </c>
      <c r="G277" s="3412" t="s">
        <v>337</v>
      </c>
      <c r="H277" s="3413"/>
      <c r="I277" s="3414"/>
      <c r="J277" s="3412" t="s">
        <v>337</v>
      </c>
      <c r="K277" s="3419"/>
      <c r="L277" s="3418"/>
      <c r="M277" s="1763" t="s">
        <v>338</v>
      </c>
      <c r="N277" s="647"/>
      <c r="O277" s="1770"/>
    </row>
    <row r="278" spans="2:15" ht="21" customHeight="1">
      <c r="B278">
        <v>2</v>
      </c>
      <c r="C278">
        <v>2</v>
      </c>
      <c r="D278" s="503"/>
      <c r="E278" s="63"/>
      <c r="F278" s="534" t="str">
        <f>IF(F274=$F$7,$G$5,IF(ROUNDDOWN(F274,0)=$F$5,$H$5,$G$5))</f>
        <v>　レベル　4</v>
      </c>
      <c r="G278" s="1763" t="s">
        <v>339</v>
      </c>
      <c r="H278" s="647"/>
      <c r="I278" s="1770"/>
      <c r="J278" s="1763" t="s">
        <v>1794</v>
      </c>
      <c r="K278" s="647"/>
      <c r="L278" s="1770"/>
      <c r="M278" s="1763" t="s">
        <v>340</v>
      </c>
      <c r="N278" s="647"/>
      <c r="O278" s="1770"/>
    </row>
    <row r="279" spans="2:15" ht="21" customHeight="1">
      <c r="B279">
        <v>3</v>
      </c>
      <c r="C279">
        <v>2</v>
      </c>
      <c r="D279" s="503"/>
      <c r="E279" s="63"/>
      <c r="F279" s="544" t="str">
        <f>IF(F274=$F$7,$G$6,IF(ROUNDDOWN(F274,0)=$F$6,$H$6,$G$6))</f>
        <v>　レベル　5</v>
      </c>
      <c r="G279" s="2010" t="s">
        <v>341</v>
      </c>
      <c r="H279" s="2011"/>
      <c r="I279" s="1771"/>
      <c r="J279" s="2010" t="s">
        <v>342</v>
      </c>
      <c r="K279" s="2011"/>
      <c r="L279" s="1771"/>
      <c r="M279" s="2010" t="s">
        <v>343</v>
      </c>
      <c r="N279" s="2011"/>
      <c r="O279" s="1771"/>
    </row>
    <row r="280" spans="2:15">
      <c r="D280"/>
      <c r="E280"/>
      <c r="F280" s="839" t="s">
        <v>2938</v>
      </c>
      <c r="G280" s="1941"/>
      <c r="H280" s="1917"/>
      <c r="I280" s="1915"/>
      <c r="J280" s="1916"/>
      <c r="K280" s="2094" t="s">
        <v>3232</v>
      </c>
      <c r="L280" s="1231"/>
      <c r="M280"/>
      <c r="N280"/>
      <c r="O280"/>
    </row>
    <row r="281" spans="2:15">
      <c r="B281" s="870"/>
      <c r="C281" t="s">
        <v>3075</v>
      </c>
      <c r="D281"/>
      <c r="E281"/>
      <c r="F281" s="552" t="s">
        <v>2229</v>
      </c>
      <c r="G281"/>
      <c r="H281"/>
      <c r="I281"/>
      <c r="J281"/>
      <c r="K281"/>
      <c r="L281"/>
      <c r="M281"/>
      <c r="N281"/>
      <c r="O281"/>
    </row>
    <row r="282" spans="2:15" ht="15.75">
      <c r="C282" t="s">
        <v>2967</v>
      </c>
      <c r="D282" s="503"/>
      <c r="E282" s="404"/>
      <c r="G282" s="1776">
        <f>IF(O274&lt;&gt;0,O288,IF(G283=M3,3,ROUND((K288*I274+M288*L274)/(I274+L274),1)))</f>
        <v>3</v>
      </c>
      <c r="H282" s="2228" t="s">
        <v>1430</v>
      </c>
      <c r="I282" s="2229"/>
      <c r="J282" s="2230"/>
      <c r="K282" s="2230"/>
      <c r="L282" s="2230"/>
      <c r="M282" s="2230"/>
      <c r="N282" s="2230"/>
      <c r="O282" s="2231"/>
    </row>
    <row r="283" spans="2:15" ht="16.5" thickBot="1">
      <c r="C283">
        <v>0</v>
      </c>
      <c r="D283" s="503"/>
      <c r="E283" s="404"/>
      <c r="F283" s="1927" t="s">
        <v>2856</v>
      </c>
      <c r="G283" s="2069" t="s">
        <v>2222</v>
      </c>
      <c r="H283" s="1368" t="s">
        <v>3081</v>
      </c>
      <c r="I283" s="1725"/>
      <c r="J283" s="1724"/>
      <c r="K283" s="1724"/>
      <c r="L283" s="1724"/>
      <c r="M283" s="1724"/>
      <c r="N283" s="1724"/>
      <c r="O283" s="2071"/>
    </row>
    <row r="284" spans="2:15" ht="35.25" customHeight="1">
      <c r="C284">
        <v>0</v>
      </c>
      <c r="D284" s="503"/>
      <c r="E284" s="404"/>
      <c r="F284" s="1927" t="s">
        <v>2936</v>
      </c>
      <c r="G284" s="1943"/>
      <c r="H284" s="3427" t="s">
        <v>2872</v>
      </c>
      <c r="I284" s="3428"/>
      <c r="J284" s="3428"/>
      <c r="K284" s="3428"/>
      <c r="L284" s="3428"/>
      <c r="M284" s="3428"/>
      <c r="N284" s="3428"/>
      <c r="O284" s="3429"/>
    </row>
    <row r="285" spans="2:15" ht="30.75" customHeight="1">
      <c r="C285">
        <v>0</v>
      </c>
      <c r="D285" s="503"/>
      <c r="E285" s="404"/>
      <c r="F285" s="1927" t="s">
        <v>2858</v>
      </c>
      <c r="G285" s="1944"/>
      <c r="H285" s="1729" t="s">
        <v>2873</v>
      </c>
      <c r="I285" s="1729"/>
      <c r="J285" s="1729"/>
      <c r="K285" s="1729"/>
      <c r="L285" s="1729"/>
      <c r="M285" s="1729"/>
      <c r="N285" s="1729"/>
      <c r="O285" s="2084"/>
    </row>
    <row r="286" spans="2:15" ht="30.75" customHeight="1">
      <c r="C286">
        <v>1</v>
      </c>
      <c r="D286" s="503"/>
      <c r="E286" s="404"/>
      <c r="F286" s="1927" t="s">
        <v>2859</v>
      </c>
      <c r="G286" s="1944"/>
      <c r="H286" s="1729" t="s">
        <v>2874</v>
      </c>
      <c r="I286" s="1729"/>
      <c r="J286" s="1729"/>
      <c r="K286" s="1729"/>
      <c r="L286" s="1729"/>
      <c r="M286" s="1729"/>
      <c r="N286" s="1729"/>
      <c r="O286" s="2084"/>
    </row>
    <row r="287" spans="2:15" ht="35.25" customHeight="1" thickBot="1">
      <c r="C287">
        <v>2</v>
      </c>
      <c r="D287" s="503"/>
      <c r="E287" s="404"/>
      <c r="F287" s="1927" t="s">
        <v>2860</v>
      </c>
      <c r="G287" s="2070"/>
      <c r="H287" s="3430" t="s">
        <v>2875</v>
      </c>
      <c r="I287" s="3431"/>
      <c r="J287" s="3431"/>
      <c r="K287" s="3431"/>
      <c r="L287" s="3431"/>
      <c r="M287" s="3431"/>
      <c r="N287" s="3431"/>
      <c r="O287" s="3432"/>
    </row>
    <row r="288" spans="2:15" ht="15.75">
      <c r="D288" s="503"/>
      <c r="E288" s="404"/>
      <c r="F288" s="1927" t="s">
        <v>386</v>
      </c>
      <c r="G288" s="1782">
        <f>COUNTIF(G284:G287,$M$3)</f>
        <v>0</v>
      </c>
      <c r="H288" s="2085" t="s">
        <v>1777</v>
      </c>
      <c r="I288" s="2086" t="s">
        <v>3132</v>
      </c>
      <c r="J288" s="2089" t="s">
        <v>2954</v>
      </c>
      <c r="K288" s="2219">
        <f>IF(G288&gt;=B279,5,IF(G288&gt;=B278,4,IF(G288&gt;=B277,3,IF(G288&gt;=B276,2,1))))</f>
        <v>1</v>
      </c>
      <c r="L288" s="2087" t="s">
        <v>3077</v>
      </c>
      <c r="M288" s="2219">
        <f>IF(G288&gt;=C279,5,IF(G288&gt;=C278,4,IF(G288&gt;=C277,3,IF(G288&gt;=C276,2,1))))</f>
        <v>1</v>
      </c>
      <c r="N288" s="2088" t="s">
        <v>3078</v>
      </c>
      <c r="O288" s="2219">
        <f>IF(G288&gt;=C287,5,IF(G288&gt;=C286,4,IF(G288&gt;=C285,3,IF(G288&gt;=C284,2,1))))</f>
        <v>3</v>
      </c>
    </row>
    <row r="289" spans="2:15">
      <c r="D289"/>
      <c r="E289"/>
      <c r="F289"/>
      <c r="G289"/>
      <c r="H289"/>
      <c r="I289"/>
      <c r="J289"/>
      <c r="K289"/>
      <c r="L289"/>
      <c r="M289"/>
      <c r="N289"/>
      <c r="O289"/>
    </row>
    <row r="290" spans="2:15">
      <c r="D290"/>
      <c r="E290"/>
      <c r="F290" s="511" t="s">
        <v>484</v>
      </c>
      <c r="G290"/>
      <c r="H290"/>
      <c r="I290"/>
      <c r="J290" t="str">
        <f>IF(OR(F292=0,J291=0),$L$3,"")</f>
        <v/>
      </c>
      <c r="K290"/>
      <c r="L290"/>
      <c r="M290"/>
      <c r="N290"/>
      <c r="O290"/>
    </row>
    <row r="291" spans="2:15" ht="16.5" thickBot="1">
      <c r="D291" s="503"/>
      <c r="E291" s="404"/>
      <c r="F291" s="630"/>
      <c r="G291" s="516"/>
      <c r="H291" s="1441"/>
      <c r="I291" s="518" t="s">
        <v>1126</v>
      </c>
      <c r="J291" s="519">
        <f>重み!M95</f>
        <v>0.2</v>
      </c>
      <c r="K291" s="631"/>
      <c r="L291" s="631"/>
      <c r="M291" s="631"/>
      <c r="N291" s="633"/>
      <c r="O291"/>
    </row>
    <row r="292" spans="2:15" ht="27" customHeight="1" thickBot="1">
      <c r="B292" t="s">
        <v>2967</v>
      </c>
      <c r="C292" t="s">
        <v>2967</v>
      </c>
      <c r="D292" s="503"/>
      <c r="E292" s="404"/>
      <c r="F292" s="1899">
        <f>G300</f>
        <v>2</v>
      </c>
      <c r="G292" s="2091" t="s">
        <v>485</v>
      </c>
      <c r="H292" s="517"/>
      <c r="I292" s="517"/>
      <c r="J292" s="1904">
        <f>メイン!J47+メイン!J50+メイン!J60+メイン!J64+メイン!J65+メイン!J67+メイン!J63</f>
        <v>1500</v>
      </c>
      <c r="K292" s="1494" t="s">
        <v>486</v>
      </c>
      <c r="L292" s="2092"/>
      <c r="M292" s="2092"/>
      <c r="N292" s="1903">
        <f>メイン!J55+メイン!J59</f>
        <v>0</v>
      </c>
      <c r="O292"/>
    </row>
    <row r="293" spans="2:15" ht="21" customHeight="1">
      <c r="B293">
        <v>0</v>
      </c>
      <c r="C293">
        <v>0</v>
      </c>
      <c r="D293" s="503"/>
      <c r="E293" s="404"/>
      <c r="F293" s="529" t="str">
        <f>IF(F292=$F$7,$G$2,IF(ROUNDDOWN(F292,0)=$F$2,$H$2,$G$2))</f>
        <v>　レベル　1</v>
      </c>
      <c r="G293" s="1906" t="s">
        <v>324</v>
      </c>
      <c r="H293" s="1772"/>
      <c r="I293" s="1772"/>
      <c r="J293" s="1907"/>
      <c r="K293" s="1765" t="s">
        <v>324</v>
      </c>
      <c r="L293" s="1773"/>
      <c r="M293" s="1773"/>
      <c r="N293" s="1905"/>
      <c r="O293"/>
    </row>
    <row r="294" spans="2:15" ht="21" customHeight="1">
      <c r="B294">
        <v>1</v>
      </c>
      <c r="C294">
        <v>1</v>
      </c>
      <c r="D294" s="503"/>
      <c r="E294" s="404"/>
      <c r="F294" s="534" t="str">
        <f>IF(F292=$F$7,$G$3,IF(ROUNDDOWN(F292,0)=$F$3,$H$3,$G$3))</f>
        <v>■レベル　2</v>
      </c>
      <c r="G294" s="1763" t="s">
        <v>487</v>
      </c>
      <c r="H294" s="1910"/>
      <c r="I294" s="1910"/>
      <c r="J294" s="1764"/>
      <c r="K294" s="1763" t="s">
        <v>487</v>
      </c>
      <c r="L294" s="1910"/>
      <c r="M294" s="1910"/>
      <c r="N294" s="1764"/>
      <c r="O294"/>
    </row>
    <row r="295" spans="2:15" ht="21" customHeight="1">
      <c r="B295">
        <v>2</v>
      </c>
      <c r="C295">
        <v>2</v>
      </c>
      <c r="D295" s="503"/>
      <c r="E295" s="404"/>
      <c r="F295" s="534" t="str">
        <f>IF(F292=$F$7,$G$4,IF(ROUNDDOWN(F292,0)=$F$4,$H$4,$G$4))</f>
        <v>　レベル　3</v>
      </c>
      <c r="G295" s="1763" t="s">
        <v>1480</v>
      </c>
      <c r="H295" s="1910"/>
      <c r="I295" s="1910"/>
      <c r="J295" s="1764"/>
      <c r="K295" s="1763" t="s">
        <v>1480</v>
      </c>
      <c r="L295" s="1910"/>
      <c r="M295" s="1910"/>
      <c r="N295" s="1764"/>
      <c r="O295"/>
    </row>
    <row r="296" spans="2:15" ht="21" customHeight="1">
      <c r="B296">
        <v>3</v>
      </c>
      <c r="C296">
        <v>3</v>
      </c>
      <c r="D296" s="503"/>
      <c r="E296" s="404"/>
      <c r="F296" s="534" t="str">
        <f>IF(F292=$F$7,$G$5,IF(ROUNDDOWN(F292,0)=$F$5,$H$5,$G$5))</f>
        <v>　レベル　4</v>
      </c>
      <c r="G296" s="1763" t="s">
        <v>28</v>
      </c>
      <c r="H296" s="1910"/>
      <c r="I296" s="1910"/>
      <c r="J296" s="1764"/>
      <c r="K296" s="1763" t="s">
        <v>1794</v>
      </c>
      <c r="L296" s="1910"/>
      <c r="M296" s="1910"/>
      <c r="N296" s="1764"/>
      <c r="O296"/>
    </row>
    <row r="297" spans="2:15" ht="21" customHeight="1">
      <c r="B297">
        <v>4</v>
      </c>
      <c r="C297">
        <v>3</v>
      </c>
      <c r="D297" s="503"/>
      <c r="E297" s="404"/>
      <c r="F297" s="544" t="str">
        <f>IF(F292=$F$7,$G$6,IF(ROUNDDOWN(F292,0)=$F$6,$H$6,$G$6))</f>
        <v>　レベル　5</v>
      </c>
      <c r="G297" s="1908" t="s">
        <v>29</v>
      </c>
      <c r="H297" s="1774"/>
      <c r="I297" s="1774"/>
      <c r="J297" s="1909"/>
      <c r="K297" s="1908" t="s">
        <v>30</v>
      </c>
      <c r="L297" s="1774"/>
      <c r="M297" s="1774"/>
      <c r="N297" s="1775"/>
      <c r="O297"/>
    </row>
    <row r="298" spans="2:15" ht="16.5" customHeight="1">
      <c r="D298"/>
      <c r="E298"/>
      <c r="F298" s="839" t="s">
        <v>2938</v>
      </c>
      <c r="G298" s="1941"/>
      <c r="H298" s="1917"/>
      <c r="I298" s="1915"/>
      <c r="J298" s="1916"/>
      <c r="K298" s="1918"/>
      <c r="L298" s="1231"/>
      <c r="M298"/>
      <c r="N298"/>
      <c r="O298"/>
    </row>
    <row r="299" spans="2:15">
      <c r="D299"/>
      <c r="E299"/>
      <c r="F299" s="552" t="s">
        <v>2229</v>
      </c>
      <c r="G299"/>
      <c r="H299"/>
      <c r="I299"/>
      <c r="J299"/>
      <c r="K299"/>
      <c r="L299"/>
      <c r="M299"/>
      <c r="N299"/>
      <c r="O299"/>
    </row>
    <row r="300" spans="2:15" ht="16.5" thickBot="1">
      <c r="D300" s="503"/>
      <c r="E300" s="404"/>
      <c r="G300" s="1776">
        <f>IF(J292+N292=0,0,ROUND((K308*J292+O308*N292)/(J292+N292),1))</f>
        <v>2</v>
      </c>
      <c r="H300" s="2232" t="s">
        <v>2803</v>
      </c>
      <c r="I300" s="2233"/>
      <c r="J300" s="2234"/>
      <c r="K300" s="2233"/>
      <c r="L300" s="2233"/>
      <c r="M300" s="2233"/>
      <c r="N300" s="2233"/>
      <c r="O300" s="2235"/>
    </row>
    <row r="301" spans="2:15" ht="45" customHeight="1">
      <c r="D301" s="503"/>
      <c r="E301" s="404"/>
      <c r="F301" s="1927" t="s">
        <v>2856</v>
      </c>
      <c r="G301" s="1900" t="s">
        <v>2222</v>
      </c>
      <c r="H301" s="3433" t="s">
        <v>2865</v>
      </c>
      <c r="I301" s="3434"/>
      <c r="J301" s="3434"/>
      <c r="K301" s="3434"/>
      <c r="L301" s="3434"/>
      <c r="M301" s="3434"/>
      <c r="N301" s="3434"/>
      <c r="O301" s="3435"/>
    </row>
    <row r="302" spans="2:15" ht="15.75" customHeight="1">
      <c r="D302" s="503"/>
      <c r="E302" s="404"/>
      <c r="F302" s="1927" t="s">
        <v>2936</v>
      </c>
      <c r="G302" s="1901"/>
      <c r="H302" s="1767" t="s">
        <v>2866</v>
      </c>
      <c r="I302" s="1761"/>
      <c r="J302" s="1761"/>
      <c r="K302" s="1761"/>
      <c r="L302" s="1761"/>
      <c r="M302" s="1761"/>
      <c r="N302" s="1761"/>
      <c r="O302" s="1764"/>
    </row>
    <row r="303" spans="2:15" ht="31.5" customHeight="1">
      <c r="D303" s="503"/>
      <c r="E303" s="404"/>
      <c r="F303" s="1927" t="s">
        <v>2858</v>
      </c>
      <c r="G303" s="1901"/>
      <c r="H303" s="1767" t="s">
        <v>2867</v>
      </c>
      <c r="I303" s="1761"/>
      <c r="J303" s="1761"/>
      <c r="K303" s="1761"/>
      <c r="L303" s="1761"/>
      <c r="M303" s="1761"/>
      <c r="N303" s="1761"/>
      <c r="O303" s="1764"/>
    </row>
    <row r="304" spans="2:15" ht="15.75" customHeight="1">
      <c r="D304" s="503"/>
      <c r="E304" s="404"/>
      <c r="F304" s="1927" t="s">
        <v>2859</v>
      </c>
      <c r="G304" s="1901"/>
      <c r="H304" s="1767" t="s">
        <v>2868</v>
      </c>
      <c r="I304" s="1761"/>
      <c r="J304" s="1761"/>
      <c r="K304" s="1761"/>
      <c r="L304" s="1761"/>
      <c r="M304" s="1761"/>
      <c r="N304" s="1761"/>
      <c r="O304" s="1764"/>
    </row>
    <row r="305" spans="2:15" ht="15.75" customHeight="1">
      <c r="D305" s="503"/>
      <c r="E305" s="404"/>
      <c r="F305" s="1927" t="s">
        <v>2860</v>
      </c>
      <c r="G305" s="1901"/>
      <c r="H305" s="1767" t="s">
        <v>2869</v>
      </c>
      <c r="I305" s="1761"/>
      <c r="J305" s="1761"/>
      <c r="K305" s="1761"/>
      <c r="L305" s="1761"/>
      <c r="M305" s="1761"/>
      <c r="N305" s="1761"/>
      <c r="O305" s="1764"/>
    </row>
    <row r="306" spans="2:15" ht="15.75">
      <c r="D306" s="503"/>
      <c r="E306" s="404"/>
      <c r="F306" s="1927" t="s">
        <v>2861</v>
      </c>
      <c r="G306" s="1901"/>
      <c r="H306" s="1767" t="s">
        <v>2870</v>
      </c>
      <c r="I306" s="1761"/>
      <c r="J306" s="1761"/>
      <c r="K306" s="1761"/>
      <c r="L306" s="1761"/>
      <c r="M306" s="1761"/>
      <c r="N306" s="1761"/>
      <c r="O306" s="1764"/>
    </row>
    <row r="307" spans="2:15" ht="20.25" customHeight="1" thickBot="1">
      <c r="D307" s="503"/>
      <c r="E307" s="404"/>
      <c r="F307" s="1927" t="s">
        <v>2862</v>
      </c>
      <c r="G307" s="1902"/>
      <c r="H307" s="1768" t="s">
        <v>2871</v>
      </c>
      <c r="I307" s="1762"/>
      <c r="J307" s="1762"/>
      <c r="K307" s="1762"/>
      <c r="L307" s="1762"/>
      <c r="M307" s="1762"/>
      <c r="N307" s="1762"/>
      <c r="O307" s="1766"/>
    </row>
    <row r="308" spans="2:15" ht="15.75">
      <c r="D308" s="503"/>
      <c r="E308" s="404"/>
      <c r="F308" s="1927" t="s">
        <v>2952</v>
      </c>
      <c r="G308" s="2220"/>
      <c r="H308" s="2221" t="s">
        <v>2955</v>
      </c>
      <c r="I308" s="2222">
        <f>COUNTIF(G301:G307,$M$3)</f>
        <v>1</v>
      </c>
      <c r="J308" s="1444" t="s">
        <v>2953</v>
      </c>
      <c r="K308" s="2090">
        <f>IF(I308&gt;=B297,5,IF(I308&gt;=B296,4,IF(I308&gt;=B295,3,IF(I308&gt;=B294,2,1))))</f>
        <v>2</v>
      </c>
      <c r="L308" s="2223" t="s">
        <v>2956</v>
      </c>
      <c r="M308" s="2222">
        <f>I308-COUNTIF(G306,$M$3)</f>
        <v>1</v>
      </c>
      <c r="N308" s="1444" t="s">
        <v>2953</v>
      </c>
      <c r="O308" s="2090">
        <f>IF(M308&gt;=C297,5,IF(M308&gt;=C296,4,IF(M308&gt;=C295,3,IF(M308&gt;=C294,2,1))))</f>
        <v>2</v>
      </c>
    </row>
    <row r="309" spans="2:15">
      <c r="D309"/>
      <c r="E309"/>
      <c r="F309"/>
      <c r="G309"/>
      <c r="H309"/>
      <c r="I309"/>
      <c r="J309"/>
      <c r="K309"/>
      <c r="L309"/>
      <c r="M309"/>
      <c r="N309"/>
      <c r="O309"/>
    </row>
    <row r="310" spans="2:15">
      <c r="D310"/>
      <c r="E310"/>
      <c r="F310" s="511" t="s">
        <v>1481</v>
      </c>
      <c r="G310"/>
      <c r="H310"/>
      <c r="I310"/>
      <c r="J310" t="str">
        <f>IF(OR(F312=0,J311=0),$L$3,"")</f>
        <v/>
      </c>
      <c r="K310"/>
      <c r="L310"/>
      <c r="M310"/>
      <c r="N310"/>
      <c r="O310"/>
    </row>
    <row r="311" spans="2:15" ht="16.5" thickBot="1">
      <c r="D311" s="503"/>
      <c r="E311" s="404"/>
      <c r="F311" s="630"/>
      <c r="G311" s="516"/>
      <c r="H311" s="1441"/>
      <c r="I311" s="518" t="s">
        <v>1126</v>
      </c>
      <c r="J311" s="519">
        <f>重み!M96</f>
        <v>0.2</v>
      </c>
      <c r="K311" s="631"/>
      <c r="L311" s="631"/>
      <c r="M311" s="631"/>
      <c r="N311" s="633"/>
      <c r="O311"/>
    </row>
    <row r="312" spans="2:15" ht="27" customHeight="1" thickBot="1">
      <c r="B312" t="s">
        <v>2967</v>
      </c>
      <c r="C312" t="s">
        <v>2967</v>
      </c>
      <c r="D312" s="503"/>
      <c r="E312" s="404"/>
      <c r="F312" s="1899">
        <f>G320</f>
        <v>3</v>
      </c>
      <c r="G312" s="526" t="s">
        <v>78</v>
      </c>
      <c r="H312" s="526"/>
      <c r="I312" s="527"/>
      <c r="J312" s="1904">
        <f>IF(メイン!J69&gt;=2000,メイン!J69,0)</f>
        <v>0</v>
      </c>
      <c r="K312" s="1494" t="s">
        <v>34</v>
      </c>
      <c r="L312" s="527"/>
      <c r="M312" s="527"/>
      <c r="N312" s="1903">
        <f>IF(メイン!J69&lt;2000,メイン!J69,0)</f>
        <v>1500</v>
      </c>
      <c r="O312"/>
    </row>
    <row r="313" spans="2:15" ht="21" customHeight="1">
      <c r="B313">
        <v>0</v>
      </c>
      <c r="C313">
        <v>0</v>
      </c>
      <c r="D313" s="503"/>
      <c r="E313" s="628"/>
      <c r="F313" s="529" t="str">
        <f>IF(F312=$F$7,$G$2,IF(ROUNDDOWN(F312,0)=$F$2,$H$2,$G$2))</f>
        <v>　レベル　1</v>
      </c>
      <c r="G313" s="2017" t="s">
        <v>324</v>
      </c>
      <c r="H313" s="2041"/>
      <c r="I313" s="2041"/>
      <c r="J313" s="1907"/>
      <c r="K313" s="2017" t="s">
        <v>295</v>
      </c>
      <c r="L313" s="2041"/>
      <c r="M313" s="2041"/>
      <c r="N313" s="2042"/>
      <c r="O313"/>
    </row>
    <row r="314" spans="2:15" ht="21" customHeight="1">
      <c r="B314">
        <v>1</v>
      </c>
      <c r="C314">
        <v>0</v>
      </c>
      <c r="D314" s="503"/>
      <c r="E314" s="628"/>
      <c r="F314" s="534" t="str">
        <f>IF(F312=$F$7,$G$3,IF(ROUNDDOWN(F312,0)=$F$3,$H$3,$G$3))</f>
        <v>　レベル　2</v>
      </c>
      <c r="G314" s="1763" t="s">
        <v>1794</v>
      </c>
      <c r="H314" s="1761"/>
      <c r="I314" s="1767"/>
      <c r="J314" s="1764"/>
      <c r="K314" s="1763" t="s">
        <v>1794</v>
      </c>
      <c r="L314" s="1767"/>
      <c r="M314" s="1767"/>
      <c r="N314" s="1764"/>
      <c r="O314"/>
    </row>
    <row r="315" spans="2:15" ht="21" customHeight="1">
      <c r="B315">
        <v>1</v>
      </c>
      <c r="C315">
        <v>0</v>
      </c>
      <c r="D315" s="503"/>
      <c r="E315" s="628"/>
      <c r="F315" s="534" t="str">
        <f>IF(F312=$F$7,$G$4,IF(ROUNDDOWN(F312,0)=$F$4,$H$4,$G$4))</f>
        <v>■レベル　3</v>
      </c>
      <c r="G315" s="1763" t="s">
        <v>35</v>
      </c>
      <c r="H315" s="1761"/>
      <c r="I315" s="1767"/>
      <c r="J315" s="1764"/>
      <c r="K315" s="1763" t="s">
        <v>39</v>
      </c>
      <c r="L315" s="1767"/>
      <c r="M315" s="1767"/>
      <c r="N315" s="1764"/>
      <c r="O315"/>
    </row>
    <row r="316" spans="2:15" ht="21" customHeight="1">
      <c r="B316">
        <v>3</v>
      </c>
      <c r="C316">
        <v>1</v>
      </c>
      <c r="D316" s="503"/>
      <c r="E316" s="628"/>
      <c r="F316" s="534" t="str">
        <f>IF(F312=$F$7,$G$5,IF(ROUNDDOWN(F312,0)=$F$5,$H$5,$G$5))</f>
        <v>　レベル　4</v>
      </c>
      <c r="G316" s="1763" t="s">
        <v>28</v>
      </c>
      <c r="H316" s="1761"/>
      <c r="I316" s="1767"/>
      <c r="J316" s="1764"/>
      <c r="K316" s="1763" t="s">
        <v>40</v>
      </c>
      <c r="L316" s="1767"/>
      <c r="M316" s="1767"/>
      <c r="N316" s="1764"/>
      <c r="O316"/>
    </row>
    <row r="317" spans="2:15" ht="21" customHeight="1">
      <c r="B317">
        <v>4</v>
      </c>
      <c r="C317">
        <v>2</v>
      </c>
      <c r="D317" s="503"/>
      <c r="E317" s="628"/>
      <c r="F317" s="544" t="str">
        <f>IF(F312=$F$7,$G$6,IF(ROUNDDOWN(F312,0)=$F$6,$H$6,$G$6))</f>
        <v>　レベル　5</v>
      </c>
      <c r="G317" s="2010" t="s">
        <v>29</v>
      </c>
      <c r="H317" s="2043"/>
      <c r="I317" s="2044"/>
      <c r="J317" s="1909"/>
      <c r="K317" s="2010" t="s">
        <v>41</v>
      </c>
      <c r="L317" s="2044"/>
      <c r="M317" s="2044"/>
      <c r="N317" s="1775"/>
      <c r="O317"/>
    </row>
    <row r="318" spans="2:15">
      <c r="D318"/>
      <c r="E318"/>
      <c r="F318" s="839" t="s">
        <v>2938</v>
      </c>
      <c r="G318" s="1941"/>
      <c r="H318" s="1917"/>
      <c r="I318" s="1915"/>
      <c r="J318" s="1916"/>
      <c r="K318" s="1918"/>
      <c r="L318" s="1231"/>
      <c r="M318"/>
      <c r="N318"/>
      <c r="O318"/>
    </row>
    <row r="319" spans="2:15">
      <c r="D319"/>
      <c r="E319"/>
      <c r="F319" s="552" t="s">
        <v>2229</v>
      </c>
      <c r="G319"/>
      <c r="H319"/>
      <c r="I319"/>
      <c r="J319"/>
      <c r="K319"/>
      <c r="L319"/>
      <c r="M319"/>
      <c r="N319"/>
      <c r="O319"/>
    </row>
    <row r="320" spans="2:15" ht="16.5" thickBot="1">
      <c r="D320" s="503"/>
      <c r="E320" s="404"/>
      <c r="G320" s="1776">
        <f>IF(N312&lt;&gt;0,O327,K327)</f>
        <v>3</v>
      </c>
      <c r="H320" s="408" t="s">
        <v>2803</v>
      </c>
      <c r="I320" s="2236"/>
      <c r="J320" s="2236"/>
      <c r="K320" s="2236"/>
      <c r="L320" s="2236"/>
      <c r="M320" s="2236"/>
      <c r="N320" s="2236"/>
      <c r="O320" s="722"/>
    </row>
    <row r="321" spans="2:15" ht="15.75" customHeight="1">
      <c r="D321" s="503"/>
      <c r="E321" s="404"/>
      <c r="F321" s="1927" t="s">
        <v>2856</v>
      </c>
      <c r="G321" s="1943"/>
      <c r="H321" s="2045" t="s">
        <v>32</v>
      </c>
      <c r="I321" s="2046"/>
      <c r="J321" s="2046"/>
      <c r="K321" s="2046"/>
      <c r="L321" s="2046"/>
      <c r="M321" s="2046"/>
      <c r="N321" s="2046"/>
      <c r="O321" s="2042"/>
    </row>
    <row r="322" spans="2:15" ht="15.75" customHeight="1">
      <c r="D322" s="503"/>
      <c r="E322" s="404"/>
      <c r="F322" s="1927" t="s">
        <v>2936</v>
      </c>
      <c r="G322" s="1944"/>
      <c r="H322" s="2008" t="s">
        <v>488</v>
      </c>
      <c r="I322" s="1761"/>
      <c r="J322" s="1761"/>
      <c r="K322" s="1761"/>
      <c r="L322" s="1761"/>
      <c r="M322" s="1761"/>
      <c r="N322" s="1761"/>
      <c r="O322" s="1764"/>
    </row>
    <row r="323" spans="2:15" ht="15.75">
      <c r="D323" s="503"/>
      <c r="E323" s="404"/>
      <c r="F323" s="1927" t="s">
        <v>2858</v>
      </c>
      <c r="G323" s="1944"/>
      <c r="H323" s="2008" t="s">
        <v>36</v>
      </c>
      <c r="I323" s="1761"/>
      <c r="J323" s="1761"/>
      <c r="K323" s="1761"/>
      <c r="L323" s="1761"/>
      <c r="M323" s="1761"/>
      <c r="N323" s="1761"/>
      <c r="O323" s="1764"/>
    </row>
    <row r="324" spans="2:15" ht="72.75" customHeight="1">
      <c r="D324" s="503"/>
      <c r="E324" s="404"/>
      <c r="F324" s="1927" t="s">
        <v>2859</v>
      </c>
      <c r="G324" s="1945" t="s">
        <v>2222</v>
      </c>
      <c r="H324" s="3424" t="s">
        <v>3082</v>
      </c>
      <c r="I324" s="3413"/>
      <c r="J324" s="3413"/>
      <c r="K324" s="3413"/>
      <c r="L324" s="3413"/>
      <c r="M324" s="3413"/>
      <c r="N324" s="3413"/>
      <c r="O324" s="3414"/>
    </row>
    <row r="325" spans="2:15" ht="15.75">
      <c r="B325" s="870"/>
      <c r="C325" s="870"/>
      <c r="D325" s="503"/>
      <c r="E325" s="404"/>
      <c r="F325" s="1927" t="s">
        <v>2860</v>
      </c>
      <c r="G325" s="1945"/>
      <c r="H325" s="2008" t="s">
        <v>37</v>
      </c>
      <c r="I325" s="1761"/>
      <c r="J325" s="1761"/>
      <c r="K325" s="1761"/>
      <c r="L325" s="1761"/>
      <c r="M325" s="1761"/>
      <c r="N325" s="1761"/>
      <c r="O325" s="1764"/>
    </row>
    <row r="326" spans="2:15" ht="16.5" customHeight="1" thickBot="1">
      <c r="D326" s="503"/>
      <c r="E326" s="404"/>
      <c r="F326" s="1927" t="s">
        <v>2861</v>
      </c>
      <c r="G326" s="1983"/>
      <c r="H326" s="2009" t="s">
        <v>38</v>
      </c>
      <c r="I326" s="1787"/>
      <c r="J326" s="1787"/>
      <c r="K326" s="1787"/>
      <c r="L326" s="1787"/>
      <c r="M326" s="1787"/>
      <c r="N326" s="1787"/>
      <c r="O326" s="1771"/>
    </row>
    <row r="327" spans="2:15" ht="15.75">
      <c r="D327" s="503"/>
      <c r="E327" s="404"/>
      <c r="F327" s="1927" t="s">
        <v>386</v>
      </c>
      <c r="G327" s="2061"/>
      <c r="H327" s="2061" t="s">
        <v>3079</v>
      </c>
      <c r="I327" s="1758">
        <f>COUNTIF(G321:G326,$M$3)</f>
        <v>1</v>
      </c>
      <c r="J327" s="1757" t="s">
        <v>3083</v>
      </c>
      <c r="K327" s="2219">
        <f>IF(I327&gt;=B317,5,IF(I327&gt;=B316,4,IF(I327&gt;=B315,3,IF(I327&gt;=B314,2,1))))</f>
        <v>3</v>
      </c>
      <c r="L327" s="2060" t="s">
        <v>3078</v>
      </c>
      <c r="M327" s="1758">
        <f>COUNTIF(G325:G326,$M$3)+COUNTIF(G321:G323,$M$3)</f>
        <v>0</v>
      </c>
      <c r="N327" s="1757" t="s">
        <v>3083</v>
      </c>
      <c r="O327" s="2219">
        <f>IF(M327&gt;=C317,5,IF(M327&gt;=C316,4,IF(M327&gt;=C315,3,IF(M327&gt;=C314,2,1))))</f>
        <v>3</v>
      </c>
    </row>
    <row r="328" spans="2:15">
      <c r="D328"/>
      <c r="E328"/>
      <c r="G328"/>
      <c r="H328"/>
      <c r="I328"/>
      <c r="J328"/>
      <c r="K328"/>
      <c r="L328"/>
      <c r="M328"/>
      <c r="N328"/>
      <c r="O328"/>
    </row>
    <row r="329" spans="2:15">
      <c r="D329"/>
      <c r="E329"/>
      <c r="F329" s="511" t="s">
        <v>489</v>
      </c>
      <c r="G329"/>
      <c r="H329"/>
      <c r="I329"/>
      <c r="J329" t="str">
        <f>IF(OR(F331=0,J330=0),$L$3,"")</f>
        <v/>
      </c>
      <c r="K329"/>
      <c r="L329"/>
      <c r="M329"/>
      <c r="N329"/>
      <c r="O329"/>
    </row>
    <row r="330" spans="2:15" ht="16.5" thickBot="1">
      <c r="D330" s="503"/>
      <c r="E330" s="404"/>
      <c r="F330" s="630"/>
      <c r="G330" s="516"/>
      <c r="H330" s="1441"/>
      <c r="I330" s="518" t="s">
        <v>1126</v>
      </c>
      <c r="J330" s="519">
        <f>重み!M97</f>
        <v>0.2</v>
      </c>
      <c r="K330" s="631"/>
      <c r="L330" s="631"/>
      <c r="M330" s="631"/>
      <c r="N330" s="631"/>
      <c r="O330" s="1700"/>
    </row>
    <row r="331" spans="2:15" ht="27" customHeight="1" thickBot="1">
      <c r="D331" s="503"/>
      <c r="E331" s="404"/>
      <c r="F331" s="522">
        <v>3</v>
      </c>
      <c r="G331" s="526" t="s">
        <v>680</v>
      </c>
      <c r="H331" s="527"/>
      <c r="I331" s="527"/>
      <c r="J331" s="527"/>
      <c r="K331" s="527"/>
      <c r="L331" s="527"/>
      <c r="M331" s="527"/>
      <c r="N331" s="527"/>
      <c r="O331" s="528"/>
    </row>
    <row r="332" spans="2:15" ht="21" customHeight="1">
      <c r="B332" s="1">
        <v>1</v>
      </c>
      <c r="D332" s="503"/>
      <c r="E332" s="404"/>
      <c r="F332" s="529" t="str">
        <f>IF(F331=$F$7,$G$2,IF(ROUNDDOWN(F331,0)=$F$2,$H$2,$G$2))</f>
        <v>　レベル　1</v>
      </c>
      <c r="G332" s="531" t="s">
        <v>335</v>
      </c>
      <c r="H332" s="532"/>
      <c r="I332" s="532"/>
      <c r="J332" s="532"/>
      <c r="K332" s="532"/>
      <c r="L332" s="729"/>
      <c r="M332" s="532"/>
      <c r="N332" s="532"/>
      <c r="O332" s="533"/>
    </row>
    <row r="333" spans="2:15" ht="21" customHeight="1">
      <c r="B333" s="1" t="s">
        <v>1213</v>
      </c>
      <c r="D333" s="503"/>
      <c r="E333" s="404"/>
      <c r="F333" s="534" t="str">
        <f>IF(F331=$F$7,$G$3,IF(ROUNDDOWN(F331,0)=$F$3,$H$3,$G$3))</f>
        <v>　レベル　2</v>
      </c>
      <c r="G333" s="537" t="s">
        <v>1794</v>
      </c>
      <c r="H333" s="538"/>
      <c r="I333" s="538"/>
      <c r="J333" s="538"/>
      <c r="K333" s="538"/>
      <c r="L333" s="730"/>
      <c r="M333" s="538"/>
      <c r="N333" s="538"/>
      <c r="O333" s="539"/>
    </row>
    <row r="334" spans="2:15" ht="27" customHeight="1">
      <c r="B334" s="1">
        <v>3</v>
      </c>
      <c r="D334" s="503"/>
      <c r="E334" s="404"/>
      <c r="F334" s="534" t="str">
        <f>IF(F331=$F$7,$G$4,IF(ROUNDDOWN(F331,0)=$F$4,$H$4,$G$4))</f>
        <v>■レベル　3</v>
      </c>
      <c r="G334" s="3412" t="s">
        <v>347</v>
      </c>
      <c r="H334" s="3419"/>
      <c r="I334" s="3419"/>
      <c r="J334" s="3419"/>
      <c r="K334" s="3419"/>
      <c r="L334" s="3419"/>
      <c r="M334" s="3419"/>
      <c r="N334" s="3419"/>
      <c r="O334" s="3418"/>
    </row>
    <row r="335" spans="2:15" ht="27" customHeight="1">
      <c r="B335" s="1">
        <v>4</v>
      </c>
      <c r="D335" s="503"/>
      <c r="E335" s="404"/>
      <c r="F335" s="534" t="str">
        <f>IF(F331=$F$7,$G$5,IF(ROUNDDOWN(F331,0)=$F$5,$H$5,$G$5))</f>
        <v>　レベル　4</v>
      </c>
      <c r="G335" s="3412" t="s">
        <v>42</v>
      </c>
      <c r="H335" s="3419"/>
      <c r="I335" s="3419"/>
      <c r="J335" s="3419"/>
      <c r="K335" s="3419"/>
      <c r="L335" s="3419"/>
      <c r="M335" s="3419"/>
      <c r="N335" s="3419"/>
      <c r="O335" s="3418"/>
    </row>
    <row r="336" spans="2:15" ht="27" customHeight="1">
      <c r="B336" s="1">
        <v>5</v>
      </c>
      <c r="D336" s="503"/>
      <c r="E336" s="404"/>
      <c r="F336" s="544" t="str">
        <f>IF(F331=$F$7,$G$6,IF(ROUNDDOWN(F331,0)=$F$6,$H$6,$G$6))</f>
        <v>　レベル　5</v>
      </c>
      <c r="G336" s="3415" t="s">
        <v>2727</v>
      </c>
      <c r="H336" s="3416"/>
      <c r="I336" s="3416"/>
      <c r="J336" s="3416"/>
      <c r="K336" s="3416"/>
      <c r="L336" s="3416"/>
      <c r="M336" s="3416"/>
      <c r="N336" s="3416"/>
      <c r="O336" s="3417"/>
    </row>
    <row r="337" spans="2:15">
      <c r="B337" s="551">
        <v>0</v>
      </c>
      <c r="D337"/>
      <c r="E337"/>
      <c r="F337" s="839" t="s">
        <v>2938</v>
      </c>
      <c r="G337" s="1941"/>
      <c r="H337" s="1917"/>
      <c r="I337" s="1915"/>
      <c r="J337" s="1916"/>
      <c r="K337" s="1918"/>
      <c r="L337" s="1231"/>
      <c r="M337"/>
      <c r="N337"/>
      <c r="O337"/>
    </row>
    <row r="338" spans="2:15">
      <c r="B338" s="870"/>
      <c r="D338"/>
      <c r="E338"/>
      <c r="F338"/>
      <c r="G338"/>
      <c r="H338"/>
      <c r="I338" s="500"/>
      <c r="J338" s="500"/>
      <c r="K338" s="1918"/>
      <c r="L338" s="1231"/>
      <c r="M338"/>
      <c r="N338"/>
      <c r="O338"/>
    </row>
    <row r="339" spans="2:15">
      <c r="D339"/>
      <c r="E339"/>
      <c r="F339" s="511" t="s">
        <v>3251</v>
      </c>
      <c r="G339"/>
      <c r="H339"/>
      <c r="I339"/>
      <c r="J339" t="str">
        <f>IF(OR(F341=0,J340=0),$L$3,"")</f>
        <v/>
      </c>
      <c r="K339"/>
      <c r="L339"/>
      <c r="M339"/>
      <c r="N339"/>
      <c r="O339"/>
    </row>
    <row r="340" spans="2:15" ht="16.5" thickBot="1">
      <c r="D340" s="503"/>
      <c r="E340" s="404"/>
      <c r="F340" s="515"/>
      <c r="G340" s="516"/>
      <c r="H340" s="1441"/>
      <c r="I340" s="518" t="s">
        <v>1126</v>
      </c>
      <c r="J340" s="521">
        <f>重み!M98</f>
        <v>0.2</v>
      </c>
      <c r="K340"/>
      <c r="L340"/>
      <c r="M340"/>
      <c r="N340"/>
      <c r="O340"/>
    </row>
    <row r="341" spans="2:15" ht="27" customHeight="1" thickBot="1">
      <c r="B341" t="s">
        <v>2967</v>
      </c>
      <c r="D341" s="503"/>
      <c r="E341" s="404"/>
      <c r="F341" s="1777">
        <f>G349</f>
        <v>1</v>
      </c>
      <c r="G341" s="527" t="s">
        <v>680</v>
      </c>
      <c r="H341" s="636"/>
      <c r="I341" s="636"/>
      <c r="J341" s="623"/>
      <c r="K341"/>
      <c r="L341"/>
      <c r="M341"/>
      <c r="N341"/>
      <c r="O341"/>
    </row>
    <row r="342" spans="2:15" ht="21" customHeight="1">
      <c r="B342">
        <v>0</v>
      </c>
      <c r="D342" s="503"/>
      <c r="E342" s="691"/>
      <c r="F342" s="534" t="str">
        <f>IF(F341=$F$7,$G$2,IF(ROUNDDOWN(F341,0)=$F$2,$H$2,$G$2))</f>
        <v>■レベル　1</v>
      </c>
      <c r="G342" s="1263" t="s">
        <v>324</v>
      </c>
      <c r="H342" s="729"/>
      <c r="I342" s="729"/>
      <c r="J342" s="733"/>
      <c r="K342"/>
      <c r="L342"/>
      <c r="M342"/>
      <c r="N342"/>
      <c r="O342"/>
    </row>
    <row r="343" spans="2:15" ht="21" customHeight="1">
      <c r="B343">
        <v>1</v>
      </c>
      <c r="D343" s="503"/>
      <c r="E343" s="691"/>
      <c r="F343" s="534" t="str">
        <f>IF(F341=$F$7,$G$3,IF(ROUNDDOWN(F341,0)=$F$3,$H$3,$G$3))</f>
        <v>　レベル　2</v>
      </c>
      <c r="G343" s="662" t="s">
        <v>40</v>
      </c>
      <c r="H343" s="730"/>
      <c r="I343" s="730"/>
      <c r="J343" s="734"/>
      <c r="K343"/>
      <c r="L343"/>
      <c r="M343"/>
      <c r="N343"/>
      <c r="O343"/>
    </row>
    <row r="344" spans="2:15" ht="21" customHeight="1">
      <c r="B344">
        <v>2</v>
      </c>
      <c r="D344" s="503"/>
      <c r="E344" s="691"/>
      <c r="F344" s="534" t="str">
        <f>IF(F341=$F$7,$G$4,IF(ROUNDDOWN(F341,0)=$F$4,$H$4,$G$4))</f>
        <v>　レベル　3</v>
      </c>
      <c r="G344" s="662" t="s">
        <v>1480</v>
      </c>
      <c r="H344" s="730"/>
      <c r="I344" s="730"/>
      <c r="J344" s="734"/>
      <c r="K344"/>
      <c r="L344"/>
      <c r="M344"/>
      <c r="N344"/>
      <c r="O344"/>
    </row>
    <row r="345" spans="2:15" ht="21" customHeight="1">
      <c r="B345">
        <v>3</v>
      </c>
      <c r="D345" s="503"/>
      <c r="E345" s="691"/>
      <c r="F345" s="534" t="str">
        <f>IF(F341=$F$7,$G$5,IF(ROUNDDOWN(F341,0)=$F$5,$H$5,$G$5))</f>
        <v>　レベル　4</v>
      </c>
      <c r="G345" s="662" t="s">
        <v>28</v>
      </c>
      <c r="H345" s="730"/>
      <c r="I345" s="730"/>
      <c r="J345" s="734"/>
      <c r="K345"/>
      <c r="L345"/>
      <c r="M345"/>
      <c r="N345"/>
      <c r="O345"/>
    </row>
    <row r="346" spans="2:15" ht="21" customHeight="1">
      <c r="B346">
        <v>4</v>
      </c>
      <c r="D346" s="503"/>
      <c r="E346" s="691"/>
      <c r="F346" s="544" t="str">
        <f>IF(F341=$F$7,$G$6,IF(ROUNDDOWN(F341,0)=$F$6,$H$6,$G$6))</f>
        <v>　レベル　5</v>
      </c>
      <c r="G346" s="810" t="s">
        <v>43</v>
      </c>
      <c r="H346" s="731"/>
      <c r="I346" s="731"/>
      <c r="J346" s="735"/>
      <c r="K346"/>
      <c r="L346"/>
      <c r="M346"/>
      <c r="N346"/>
      <c r="O346"/>
    </row>
    <row r="347" spans="2:15">
      <c r="D347"/>
      <c r="E347"/>
      <c r="F347" s="839" t="s">
        <v>2938</v>
      </c>
      <c r="G347" s="1941"/>
      <c r="H347" s="1917"/>
      <c r="I347" s="1915"/>
      <c r="J347" s="1916"/>
      <c r="K347" s="2094" t="s">
        <v>3232</v>
      </c>
      <c r="L347" s="1231"/>
      <c r="M347"/>
      <c r="N347"/>
      <c r="O347"/>
    </row>
    <row r="348" spans="2:15">
      <c r="D348"/>
      <c r="E348"/>
      <c r="F348" s="552" t="s">
        <v>2229</v>
      </c>
      <c r="G348"/>
      <c r="H348"/>
      <c r="I348"/>
      <c r="J348"/>
      <c r="K348"/>
      <c r="L348"/>
      <c r="M348"/>
      <c r="N348"/>
      <c r="O348"/>
    </row>
    <row r="349" spans="2:15" ht="16.5" customHeight="1" thickBot="1">
      <c r="D349" s="503"/>
      <c r="E349" s="404"/>
      <c r="G349" s="1796">
        <f>IF(G356&gt;=B346,5,IF(G356&gt;=B345,4,IF(G356&gt;=B344,3,IF(G356&gt;=B343,2,1))))</f>
        <v>1</v>
      </c>
      <c r="H349" s="408" t="s">
        <v>2803</v>
      </c>
      <c r="I349" s="2236"/>
      <c r="J349" s="2236"/>
      <c r="K349" s="2236"/>
      <c r="L349" s="2236"/>
      <c r="M349" s="2236"/>
      <c r="N349" s="2236"/>
      <c r="O349" s="722"/>
    </row>
    <row r="350" spans="2:15" ht="15.75" customHeight="1">
      <c r="D350" s="503"/>
      <c r="E350" s="404"/>
      <c r="F350" s="1927" t="s">
        <v>2856</v>
      </c>
      <c r="G350" s="1943"/>
      <c r="H350" s="727" t="s">
        <v>2805</v>
      </c>
      <c r="I350" s="732"/>
      <c r="J350" s="732"/>
      <c r="K350" s="732"/>
      <c r="L350" s="732"/>
      <c r="M350" s="732"/>
      <c r="N350" s="732"/>
      <c r="O350" s="1919"/>
    </row>
    <row r="351" spans="2:15" ht="15.75" customHeight="1">
      <c r="D351" s="503"/>
      <c r="E351" s="404"/>
      <c r="F351" s="1927" t="s">
        <v>2936</v>
      </c>
      <c r="G351" s="1944"/>
      <c r="H351" s="711" t="s">
        <v>2806</v>
      </c>
      <c r="I351" s="712"/>
      <c r="J351" s="712"/>
      <c r="K351" s="712"/>
      <c r="L351" s="712"/>
      <c r="M351" s="712"/>
      <c r="N351" s="712"/>
      <c r="O351" s="1920"/>
    </row>
    <row r="352" spans="2:15" ht="75" customHeight="1">
      <c r="D352" s="503"/>
      <c r="E352" s="404"/>
      <c r="F352" s="1927" t="s">
        <v>2858</v>
      </c>
      <c r="G352" s="1945"/>
      <c r="H352" s="3436" t="s">
        <v>2807</v>
      </c>
      <c r="I352" s="3345"/>
      <c r="J352" s="3345"/>
      <c r="K352" s="3345"/>
      <c r="L352" s="3345"/>
      <c r="M352" s="3345"/>
      <c r="N352" s="3345"/>
      <c r="O352" s="3372"/>
    </row>
    <row r="353" spans="2:15" ht="15.75" customHeight="1">
      <c r="D353" s="503"/>
      <c r="E353" s="404"/>
      <c r="F353" s="1927" t="s">
        <v>2859</v>
      </c>
      <c r="G353" s="1945"/>
      <c r="H353" s="1268" t="s">
        <v>2808</v>
      </c>
      <c r="I353" s="1992"/>
      <c r="J353" s="1992"/>
      <c r="K353" s="1992"/>
      <c r="L353" s="1992"/>
      <c r="M353" s="1992"/>
      <c r="N353" s="1992"/>
      <c r="O353" s="1993"/>
    </row>
    <row r="354" spans="2:15" ht="15.75" customHeight="1">
      <c r="D354" s="503"/>
      <c r="E354" s="404"/>
      <c r="F354" s="1927" t="s">
        <v>2860</v>
      </c>
      <c r="G354" s="1945"/>
      <c r="H354" s="1268" t="s">
        <v>2809</v>
      </c>
      <c r="I354" s="1992"/>
      <c r="J354" s="1992"/>
      <c r="K354" s="1992"/>
      <c r="L354" s="1992"/>
      <c r="M354" s="1992"/>
      <c r="N354" s="1992"/>
      <c r="O354" s="1993"/>
    </row>
    <row r="355" spans="2:15" ht="16.5" customHeight="1" thickBot="1">
      <c r="D355" s="503"/>
      <c r="E355" s="404"/>
      <c r="F355" s="1927" t="s">
        <v>2861</v>
      </c>
      <c r="G355" s="1983"/>
      <c r="H355" s="702" t="s">
        <v>2810</v>
      </c>
      <c r="I355" s="1992"/>
      <c r="J355" s="1992"/>
      <c r="K355" s="1992"/>
      <c r="L355" s="1992"/>
      <c r="M355" s="1992"/>
      <c r="N355" s="1992"/>
      <c r="O355" s="1993"/>
    </row>
    <row r="356" spans="2:15" ht="15.75">
      <c r="D356" s="503"/>
      <c r="E356" s="404"/>
      <c r="F356" s="1927" t="s">
        <v>386</v>
      </c>
      <c r="G356" s="1978">
        <f>COUNTIF(G350:G355,$M$3)</f>
        <v>0</v>
      </c>
      <c r="H356" s="1757" t="s">
        <v>3083</v>
      </c>
      <c r="I356" s="1728"/>
      <c r="J356" s="1728"/>
      <c r="K356" s="1728"/>
      <c r="L356" s="1728"/>
      <c r="M356" s="1728"/>
      <c r="N356" s="1728"/>
      <c r="O356" s="2068"/>
    </row>
    <row r="357" spans="2:15" ht="15.75">
      <c r="D357" s="503"/>
      <c r="E357" s="404"/>
      <c r="F357"/>
      <c r="G357"/>
      <c r="H357"/>
      <c r="I357"/>
      <c r="J357"/>
      <c r="K357"/>
      <c r="L357"/>
      <c r="M357"/>
      <c r="N357"/>
      <c r="O357"/>
    </row>
    <row r="358" spans="2:15" ht="15.75">
      <c r="D358" s="499">
        <v>3</v>
      </c>
      <c r="E358" s="508" t="s">
        <v>1019</v>
      </c>
      <c r="F358"/>
      <c r="G358"/>
      <c r="H358"/>
      <c r="I358"/>
      <c r="J358"/>
      <c r="K358"/>
      <c r="L358"/>
      <c r="M358"/>
      <c r="N358"/>
      <c r="O358"/>
    </row>
    <row r="359" spans="2:15" ht="15.75">
      <c r="D359" s="499">
        <v>3.1</v>
      </c>
      <c r="E359" s="508" t="s">
        <v>1483</v>
      </c>
      <c r="F359"/>
      <c r="G359"/>
      <c r="H359"/>
      <c r="I359"/>
      <c r="J359"/>
      <c r="K359"/>
      <c r="L359"/>
      <c r="M359"/>
      <c r="N359"/>
      <c r="O359"/>
    </row>
    <row r="360" spans="2:15" ht="15.75">
      <c r="D360" s="503"/>
      <c r="E360" s="63"/>
      <c r="F360" s="511" t="s">
        <v>1260</v>
      </c>
      <c r="G360"/>
      <c r="H360"/>
      <c r="I360"/>
      <c r="J360" t="str">
        <f>IF(OR(F362=0,AND(J361=0,O361=0)),$L$3,"")</f>
        <v>&lt;評価しない&gt;</v>
      </c>
      <c r="K360"/>
      <c r="L360"/>
      <c r="M360"/>
      <c r="N360"/>
      <c r="O360"/>
    </row>
    <row r="361" spans="2:15" ht="16.5" thickBot="1">
      <c r="D361" s="503"/>
      <c r="E361" s="63"/>
      <c r="F361" s="515" t="s">
        <v>270</v>
      </c>
      <c r="G361" s="516"/>
      <c r="H361" s="1441"/>
      <c r="I361" s="518" t="s">
        <v>1126</v>
      </c>
      <c r="J361" s="521">
        <f>重み!M102</f>
        <v>0.19999999999999998</v>
      </c>
      <c r="K361" s="515" t="s">
        <v>1614</v>
      </c>
      <c r="L361" s="516"/>
      <c r="M361" s="1441"/>
      <c r="N361" s="518" t="s">
        <v>1126</v>
      </c>
      <c r="O361" s="521">
        <f>重み!N102</f>
        <v>0.39999999999999997</v>
      </c>
    </row>
    <row r="362" spans="2:15" ht="27" customHeight="1" thickBot="1">
      <c r="D362" s="503"/>
      <c r="E362" s="63"/>
      <c r="F362" s="522">
        <v>0</v>
      </c>
      <c r="G362" s="618" t="s">
        <v>1484</v>
      </c>
      <c r="H362" s="528"/>
      <c r="I362" s="618" t="s">
        <v>1485</v>
      </c>
      <c r="J362" s="796"/>
      <c r="K362" s="522">
        <v>2</v>
      </c>
      <c r="L362" s="618" t="s">
        <v>1261</v>
      </c>
      <c r="M362" s="528"/>
      <c r="N362" s="618" t="s">
        <v>1262</v>
      </c>
      <c r="O362" s="528"/>
    </row>
    <row r="363" spans="2:15" ht="21" customHeight="1">
      <c r="B363" s="1">
        <v>1</v>
      </c>
      <c r="C363" s="1">
        <v>1</v>
      </c>
      <c r="D363" s="503"/>
      <c r="E363" s="63"/>
      <c r="F363" s="529" t="str">
        <f>IF(F362=$F$7,$G$2,IF(ROUNDDOWN(F362,0)=$F$2,$H$2,$G$2))</f>
        <v>　レベル　1</v>
      </c>
      <c r="G363" s="531" t="s">
        <v>1263</v>
      </c>
      <c r="H363" s="1783"/>
      <c r="I363" s="1792" t="s">
        <v>1264</v>
      </c>
      <c r="J363" s="2047"/>
      <c r="K363" s="1784" t="str">
        <f>IF(K362=$F$7,$G$2,IF(ROUNDDOWN(K362,0)=$F$2,$H$2,$G$2))</f>
        <v>　レベル　1</v>
      </c>
      <c r="L363" s="2017" t="s">
        <v>1263</v>
      </c>
      <c r="M363" s="1996"/>
      <c r="N363" s="2017" t="s">
        <v>1265</v>
      </c>
      <c r="O363" s="1996"/>
    </row>
    <row r="364" spans="2:15" ht="21" customHeight="1">
      <c r="B364" s="1">
        <v>2</v>
      </c>
      <c r="C364" s="1">
        <v>2</v>
      </c>
      <c r="D364" s="503"/>
      <c r="E364" s="63"/>
      <c r="F364" s="534" t="str">
        <f>IF(F362=$F$7,$G$3,IF(ROUNDDOWN(F362,0)=$F$3,$H$3,$G$3))</f>
        <v>　レベル　2</v>
      </c>
      <c r="G364" s="537" t="s">
        <v>1266</v>
      </c>
      <c r="H364" s="2039"/>
      <c r="I364" s="1793" t="s">
        <v>1267</v>
      </c>
      <c r="J364" s="2048"/>
      <c r="K364" s="1786" t="str">
        <f>IF(K362=$F$7,$G$3,IF(ROUNDDOWN(K362,0)=$F$3,$H$3,$G$3))</f>
        <v>■レベル　2</v>
      </c>
      <c r="L364" s="1763" t="s">
        <v>1486</v>
      </c>
      <c r="M364" s="1770"/>
      <c r="N364" s="1763" t="s">
        <v>1487</v>
      </c>
      <c r="O364" s="1770"/>
    </row>
    <row r="365" spans="2:15" ht="21" customHeight="1">
      <c r="B365" s="1">
        <v>3</v>
      </c>
      <c r="C365" s="1">
        <v>3</v>
      </c>
      <c r="D365" s="503"/>
      <c r="E365" s="63"/>
      <c r="F365" s="534" t="str">
        <f>IF(F362=$F$7,$G$4,IF(ROUNDDOWN(F362,0)=$F$4,$H$4,$G$4))</f>
        <v>　レベル　3</v>
      </c>
      <c r="G365" s="537" t="s">
        <v>1268</v>
      </c>
      <c r="H365" s="2039"/>
      <c r="I365" s="1793" t="s">
        <v>1266</v>
      </c>
      <c r="J365" s="2048"/>
      <c r="K365" s="1786" t="str">
        <f>IF(K362=$F$7,$G$4,IF(ROUNDDOWN(K362,0)=$F$4,$H$4,$G$4))</f>
        <v>　レベル　3</v>
      </c>
      <c r="L365" s="1763" t="s">
        <v>1268</v>
      </c>
      <c r="M365" s="1770"/>
      <c r="N365" s="1763" t="s">
        <v>1269</v>
      </c>
      <c r="O365" s="1770"/>
    </row>
    <row r="366" spans="2:15" ht="21" customHeight="1">
      <c r="B366" s="1">
        <v>4</v>
      </c>
      <c r="C366" s="1">
        <v>4</v>
      </c>
      <c r="D366" s="503"/>
      <c r="E366" s="63"/>
      <c r="F366" s="534" t="str">
        <f>IF(F362=$F$7,$G$5,IF(ROUNDDOWN(F362,0)=$F$5,$H$5,$G$5))</f>
        <v>　レベル　4</v>
      </c>
      <c r="G366" s="537" t="s">
        <v>1270</v>
      </c>
      <c r="H366" s="2039"/>
      <c r="I366" s="1793" t="s">
        <v>1268</v>
      </c>
      <c r="J366" s="2048"/>
      <c r="K366" s="1786" t="str">
        <f>IF(K362=$F$7,$G$5,IF(ROUNDDOWN(K362,0)=$F$5,$H$5,$G$5))</f>
        <v>　レベル　4</v>
      </c>
      <c r="L366" s="1763" t="s">
        <v>1488</v>
      </c>
      <c r="M366" s="1770"/>
      <c r="N366" s="1763" t="s">
        <v>1489</v>
      </c>
      <c r="O366" s="1770"/>
    </row>
    <row r="367" spans="2:15" ht="21" customHeight="1">
      <c r="B367" s="1">
        <v>5</v>
      </c>
      <c r="C367" s="1">
        <v>5</v>
      </c>
      <c r="D367" s="503"/>
      <c r="E367" s="63"/>
      <c r="F367" s="544" t="str">
        <f>IF(F362=$F$7,$G$6,IF(ROUNDDOWN(F362,0)=$F$6,$H$6,$G$6))</f>
        <v>　レベル　5</v>
      </c>
      <c r="G367" s="548" t="s">
        <v>1271</v>
      </c>
      <c r="H367" s="2049"/>
      <c r="I367" s="1791" t="s">
        <v>1272</v>
      </c>
      <c r="J367" s="2050"/>
      <c r="K367" s="1788" t="str">
        <f>IF(K362=$F$7,$G$6,IF(ROUNDDOWN(K362,0)=$F$6,$H$6,$G$6))</f>
        <v>　レベル　5</v>
      </c>
      <c r="L367" s="2010" t="s">
        <v>1271</v>
      </c>
      <c r="M367" s="1775"/>
      <c r="N367" s="2010" t="s">
        <v>1273</v>
      </c>
      <c r="O367" s="1771"/>
    </row>
    <row r="368" spans="2:15">
      <c r="B368" s="551">
        <v>0</v>
      </c>
      <c r="C368" s="551">
        <v>0</v>
      </c>
      <c r="D368"/>
      <c r="E368"/>
      <c r="F368" s="839" t="s">
        <v>2938</v>
      </c>
      <c r="G368" s="1941"/>
      <c r="H368" s="1917"/>
      <c r="I368" s="1915"/>
      <c r="J368" s="1916"/>
      <c r="K368" s="1918"/>
      <c r="L368" s="1231"/>
      <c r="M368"/>
      <c r="N368"/>
      <c r="O368"/>
    </row>
    <row r="369" spans="2:15">
      <c r="B369" s="870"/>
      <c r="C369" s="870"/>
      <c r="D369"/>
      <c r="E369"/>
      <c r="F369" s="1977" t="s">
        <v>3255</v>
      </c>
      <c r="G369" s="1942">
        <v>3.2</v>
      </c>
      <c r="H369" s="500"/>
      <c r="I369" s="500"/>
      <c r="J369" s="500"/>
      <c r="K369" s="1918"/>
      <c r="L369" s="1231"/>
      <c r="M369"/>
      <c r="N369"/>
      <c r="O369"/>
    </row>
    <row r="370" spans="2:15">
      <c r="B370" s="870"/>
      <c r="C370" s="870"/>
      <c r="D370"/>
      <c r="E370"/>
      <c r="F370"/>
      <c r="G370"/>
      <c r="H370"/>
      <c r="I370" s="500"/>
      <c r="J370" s="500"/>
      <c r="K370" s="1918"/>
      <c r="L370" s="1231"/>
      <c r="M370"/>
      <c r="N370"/>
      <c r="O370"/>
    </row>
    <row r="371" spans="2:15">
      <c r="D371"/>
      <c r="E371"/>
      <c r="F371" s="511" t="s">
        <v>3252</v>
      </c>
      <c r="G371"/>
      <c r="H371"/>
      <c r="I371"/>
      <c r="J371" t="str">
        <f>IF(OR(F373=0,AND(J372=0,O372=0)),$L$3,"")</f>
        <v>&lt;評価しない&gt;</v>
      </c>
      <c r="K371"/>
      <c r="L371"/>
      <c r="M371"/>
      <c r="N371"/>
      <c r="O371"/>
    </row>
    <row r="372" spans="2:15" ht="16.5" thickBot="1">
      <c r="D372" s="503"/>
      <c r="E372" s="63"/>
      <c r="F372" s="515" t="s">
        <v>1274</v>
      </c>
      <c r="G372" s="516"/>
      <c r="H372" s="1441"/>
      <c r="I372" s="518" t="s">
        <v>1126</v>
      </c>
      <c r="J372" s="521">
        <f>重み!M103</f>
        <v>0.13333333333333333</v>
      </c>
      <c r="K372" s="515" t="s">
        <v>1614</v>
      </c>
      <c r="L372" s="516"/>
      <c r="M372" s="1441"/>
      <c r="N372" s="518" t="s">
        <v>1126</v>
      </c>
      <c r="O372" s="521">
        <f>重み!N103</f>
        <v>0.26666666666666666</v>
      </c>
    </row>
    <row r="373" spans="2:15" ht="27" customHeight="1" thickBot="1">
      <c r="D373" s="503"/>
      <c r="E373" s="63"/>
      <c r="F373" s="522">
        <v>0</v>
      </c>
      <c r="G373" s="618" t="s">
        <v>1490</v>
      </c>
      <c r="H373" s="527"/>
      <c r="I373" s="527"/>
      <c r="J373" s="528"/>
      <c r="K373" s="522">
        <v>1</v>
      </c>
      <c r="L373" s="526" t="s">
        <v>225</v>
      </c>
      <c r="M373" s="527"/>
      <c r="N373" s="527"/>
      <c r="O373" s="623"/>
    </row>
    <row r="374" spans="2:15" ht="21" customHeight="1">
      <c r="B374" s="1">
        <v>1</v>
      </c>
      <c r="C374" s="1">
        <v>1</v>
      </c>
      <c r="D374" s="503"/>
      <c r="E374" s="63"/>
      <c r="F374" s="529" t="str">
        <f>IF(F373=$F$7,$G$2,IF(ROUNDDOWN(F373,0)=$F$2,$H$2,$G$2))</f>
        <v>　レベル　1</v>
      </c>
      <c r="G374" s="531" t="s">
        <v>1491</v>
      </c>
      <c r="H374" s="720"/>
      <c r="I374" s="720"/>
      <c r="J374" s="733"/>
      <c r="K374" s="529" t="str">
        <f>IF(K373=$F$7,$G$2,IF(ROUNDDOWN(K373,0)=$F$2,$H$2,$G$2))</f>
        <v>■レベル　1</v>
      </c>
      <c r="L374" s="2017" t="s">
        <v>226</v>
      </c>
      <c r="M374" s="1783"/>
      <c r="N374" s="1783"/>
      <c r="O374" s="1769"/>
    </row>
    <row r="375" spans="2:15" ht="21" customHeight="1">
      <c r="B375" s="1">
        <v>2</v>
      </c>
      <c r="C375" s="1">
        <v>2</v>
      </c>
      <c r="D375" s="503"/>
      <c r="E375" s="63"/>
      <c r="F375" s="534" t="str">
        <f>IF(F373=$F$7,$G$3,IF(ROUNDDOWN(F373,0)=$F$3,$H$3,$G$3))</f>
        <v>　レベル　2</v>
      </c>
      <c r="G375" s="537" t="s">
        <v>1492</v>
      </c>
      <c r="H375" s="647"/>
      <c r="I375" s="647"/>
      <c r="J375" s="734"/>
      <c r="K375" s="534" t="str">
        <f>IF(K373=$F$7,$G$3,IF(ROUNDDOWN(K373,0)=$F$3,$H$3,$G$3))</f>
        <v>　レベル　2</v>
      </c>
      <c r="L375" s="1763" t="s">
        <v>227</v>
      </c>
      <c r="M375" s="1785"/>
      <c r="N375" s="1785"/>
      <c r="O375" s="1770"/>
    </row>
    <row r="376" spans="2:15" ht="21" customHeight="1">
      <c r="B376" s="1">
        <v>3</v>
      </c>
      <c r="C376" s="1">
        <v>3</v>
      </c>
      <c r="D376" s="503"/>
      <c r="E376" s="500"/>
      <c r="F376" s="534" t="str">
        <f>IF(F373=$F$7,$G$4,IF(ROUNDDOWN(F373,0)=$F$4,$H$4,$G$4))</f>
        <v>　レベル　3</v>
      </c>
      <c r="G376" s="537" t="s">
        <v>1493</v>
      </c>
      <c r="H376" s="647"/>
      <c r="I376" s="647"/>
      <c r="J376" s="734"/>
      <c r="K376" s="534" t="str">
        <f>IF(K373=$F$7,$G$4,IF(ROUNDDOWN(K373,0)=$F$4,$H$4,$G$4))</f>
        <v>　レベル　3</v>
      </c>
      <c r="L376" s="1763" t="s">
        <v>228</v>
      </c>
      <c r="M376" s="1785"/>
      <c r="N376" s="1785"/>
      <c r="O376" s="1770"/>
    </row>
    <row r="377" spans="2:15" ht="21" customHeight="1">
      <c r="B377" s="1">
        <v>4</v>
      </c>
      <c r="C377" s="1">
        <v>4</v>
      </c>
      <c r="D377" s="503"/>
      <c r="E377" s="63"/>
      <c r="F377" s="534" t="str">
        <f>IF(F373=$F$7,$G$5,IF(ROUNDDOWN(F373,0)=$F$5,$H$5,$G$5))</f>
        <v>　レベル　4</v>
      </c>
      <c r="G377" s="537" t="s">
        <v>1494</v>
      </c>
      <c r="H377" s="647"/>
      <c r="I377" s="647"/>
      <c r="J377" s="734"/>
      <c r="K377" s="534" t="str">
        <f>IF(K373=$F$7,$G$5,IF(ROUNDDOWN(K373,0)=$F$5,$H$5,$G$5))</f>
        <v>　レベル　4</v>
      </c>
      <c r="L377" s="1763" t="s">
        <v>229</v>
      </c>
      <c r="M377" s="1785"/>
      <c r="N377" s="1785"/>
      <c r="O377" s="1770"/>
    </row>
    <row r="378" spans="2:15" ht="21" customHeight="1">
      <c r="B378" s="1">
        <v>5</v>
      </c>
      <c r="C378" s="1">
        <v>5</v>
      </c>
      <c r="D378" s="503"/>
      <c r="E378" s="63"/>
      <c r="F378" s="544" t="str">
        <f>IF(F373=$F$7,$G$6,IF(ROUNDDOWN(F373,0)=$F$6,$H$6,$G$6))</f>
        <v>　レベル　5</v>
      </c>
      <c r="G378" s="548" t="s">
        <v>230</v>
      </c>
      <c r="H378" s="642"/>
      <c r="I378" s="642"/>
      <c r="J378" s="735"/>
      <c r="K378" s="544" t="str">
        <f>IF(K373=$F$7,$G$6,IF(ROUNDDOWN(K373,0)=$F$6,$H$6,$G$6))</f>
        <v>　レベル　5</v>
      </c>
      <c r="L378" s="2010" t="s">
        <v>230</v>
      </c>
      <c r="M378" s="1787"/>
      <c r="N378" s="1787"/>
      <c r="O378" s="1771"/>
    </row>
    <row r="379" spans="2:15" ht="15.75" customHeight="1">
      <c r="B379" s="551">
        <v>0</v>
      </c>
      <c r="C379" s="551">
        <v>0</v>
      </c>
      <c r="D379" s="503"/>
      <c r="E379" s="63"/>
      <c r="F379" s="839" t="s">
        <v>2938</v>
      </c>
      <c r="G379" s="1941"/>
      <c r="H379" s="1917"/>
      <c r="I379" s="1915"/>
      <c r="J379" s="1916"/>
      <c r="K379" s="1918"/>
      <c r="L379" s="1231"/>
      <c r="M379"/>
      <c r="N379"/>
      <c r="O379"/>
    </row>
    <row r="380" spans="2:15" ht="15.75" customHeight="1">
      <c r="B380" s="870"/>
      <c r="C380" s="870"/>
      <c r="D380" s="503"/>
      <c r="E380" s="63"/>
      <c r="F380" s="1977" t="s">
        <v>2921</v>
      </c>
      <c r="G380" s="2218">
        <v>0.2</v>
      </c>
      <c r="H380" s="2076" t="s">
        <v>3098</v>
      </c>
      <c r="I380" s="2072" t="s">
        <v>3254</v>
      </c>
      <c r="J380" s="2072"/>
      <c r="K380" s="1918"/>
      <c r="L380" s="1231"/>
      <c r="M380"/>
      <c r="N380"/>
      <c r="O380"/>
    </row>
    <row r="381" spans="2:15" ht="15.75">
      <c r="D381" s="503"/>
      <c r="E381" s="63"/>
      <c r="F381"/>
      <c r="G381" s="1949"/>
      <c r="H381"/>
      <c r="I381" s="1949" t="s">
        <v>231</v>
      </c>
      <c r="J381" s="1949"/>
      <c r="K381"/>
      <c r="L381"/>
      <c r="M381"/>
      <c r="N381"/>
      <c r="O381"/>
    </row>
    <row r="382" spans="2:15" ht="15.75">
      <c r="D382" s="503"/>
      <c r="E382" s="63"/>
      <c r="F382"/>
      <c r="G382" s="1949"/>
      <c r="H382"/>
      <c r="I382"/>
      <c r="J382" s="1949"/>
      <c r="K382"/>
      <c r="L382"/>
      <c r="M382"/>
      <c r="N382"/>
      <c r="O382"/>
    </row>
    <row r="383" spans="2:15" ht="15.75">
      <c r="D383" s="499">
        <v>3.2</v>
      </c>
      <c r="E383" s="508" t="s">
        <v>1495</v>
      </c>
      <c r="F383"/>
      <c r="G383"/>
      <c r="H383"/>
      <c r="I383"/>
      <c r="J383" t="str">
        <f>IF(OR(F385=0,AND(J384=0,O384=0)),$L$3,"")</f>
        <v>&lt;評価しない&gt;</v>
      </c>
      <c r="K383"/>
      <c r="L383"/>
      <c r="M383"/>
      <c r="N383"/>
      <c r="O383"/>
    </row>
    <row r="384" spans="2:15" ht="16.5" thickBot="1">
      <c r="D384" s="503"/>
      <c r="E384" s="63"/>
      <c r="F384" s="630" t="s">
        <v>270</v>
      </c>
      <c r="G384" s="516"/>
      <c r="H384" s="1441"/>
      <c r="I384" s="518" t="s">
        <v>1126</v>
      </c>
      <c r="J384" s="519">
        <f>重み!M104</f>
        <v>9.9999999999999992E-2</v>
      </c>
      <c r="K384" s="631"/>
      <c r="L384" s="633"/>
      <c r="M384" s="1714" t="s">
        <v>1614</v>
      </c>
      <c r="N384" s="518" t="s">
        <v>1126</v>
      </c>
      <c r="O384" s="520">
        <f>重み!N104</f>
        <v>0.33333333333333331</v>
      </c>
    </row>
    <row r="385" spans="2:16" ht="27" customHeight="1" thickBot="1">
      <c r="D385" s="503"/>
      <c r="E385" s="63"/>
      <c r="F385" s="522">
        <v>0</v>
      </c>
      <c r="G385" s="3420" t="s">
        <v>1496</v>
      </c>
      <c r="H385" s="3421"/>
      <c r="I385" s="618" t="s">
        <v>1497</v>
      </c>
      <c r="J385" s="528"/>
      <c r="K385" s="618" t="s">
        <v>1654</v>
      </c>
      <c r="L385" s="636"/>
      <c r="M385" s="522">
        <v>3</v>
      </c>
      <c r="N385" s="618" t="s">
        <v>1626</v>
      </c>
      <c r="O385" s="528"/>
    </row>
    <row r="386" spans="2:16" ht="21" customHeight="1">
      <c r="B386" s="1" t="s">
        <v>1793</v>
      </c>
      <c r="C386" s="1" t="s">
        <v>1793</v>
      </c>
      <c r="D386" s="503"/>
      <c r="E386" s="63"/>
      <c r="F386" s="529" t="str">
        <f>IF(F385=$F$7,$G$2,IF(ROUNDDOWN(F385,0)=$F$2,$H$2,$G$2))</f>
        <v>　レベル　1</v>
      </c>
      <c r="G386" s="2017" t="s">
        <v>1498</v>
      </c>
      <c r="H386" s="1996"/>
      <c r="I386" s="2017" t="s">
        <v>1498</v>
      </c>
      <c r="J386" s="1996"/>
      <c r="K386" s="2017" t="s">
        <v>1498</v>
      </c>
      <c r="L386" s="1996"/>
      <c r="M386" s="1784" t="str">
        <f>IF(M385=$F$7,$G$2,IF(ROUNDDOWN(M385,0)=$F$2,$H$2,$G$2))</f>
        <v>　レベル　1</v>
      </c>
      <c r="N386" s="2017" t="s">
        <v>1498</v>
      </c>
      <c r="O386" s="1996"/>
    </row>
    <row r="387" spans="2:16" ht="21" customHeight="1">
      <c r="B387" s="1">
        <v>2</v>
      </c>
      <c r="C387" s="1">
        <v>2</v>
      </c>
      <c r="D387" s="503"/>
      <c r="E387" s="63"/>
      <c r="F387" s="534" t="str">
        <f>IF(F385=$F$7,$G$3,IF(ROUNDDOWN(F385,0)=$F$3,$H$3,$G$3))</f>
        <v>　レベル　2</v>
      </c>
      <c r="G387" s="1997" t="s">
        <v>1499</v>
      </c>
      <c r="H387" s="1770"/>
      <c r="I387" s="1997" t="s">
        <v>1500</v>
      </c>
      <c r="J387" s="1770"/>
      <c r="K387" s="1997" t="s">
        <v>1501</v>
      </c>
      <c r="L387" s="1770"/>
      <c r="M387" s="1786" t="str">
        <f>IF(M385=$F$7,$G$3,IF(ROUNDDOWN(M385,0)=$F$3,$H$3,$G$3))</f>
        <v>　レベル　2</v>
      </c>
      <c r="N387" s="1997" t="s">
        <v>1502</v>
      </c>
      <c r="O387" s="1770"/>
    </row>
    <row r="388" spans="2:16" ht="36" customHeight="1">
      <c r="B388" s="1">
        <v>3</v>
      </c>
      <c r="C388" s="1">
        <v>3</v>
      </c>
      <c r="D388" s="503"/>
      <c r="E388" s="63"/>
      <c r="F388" s="534" t="str">
        <f>IF(F385=$F$7,$G$4,IF(ROUNDDOWN(F385,0)=$F$4,$H$4,$G$4))</f>
        <v>　レベル　3</v>
      </c>
      <c r="G388" s="3412" t="s">
        <v>1503</v>
      </c>
      <c r="H388" s="3418"/>
      <c r="I388" s="3412" t="s">
        <v>1504</v>
      </c>
      <c r="J388" s="3418"/>
      <c r="K388" s="3412" t="s">
        <v>2346</v>
      </c>
      <c r="L388" s="3418"/>
      <c r="M388" s="1786" t="str">
        <f>IF(M385=$F$7,$G$4,IF(ROUNDDOWN(M385,0)=$F$4,$H$4,$G$4))</f>
        <v>■レベル　3</v>
      </c>
      <c r="N388" s="3412" t="s">
        <v>2347</v>
      </c>
      <c r="O388" s="3418"/>
    </row>
    <row r="389" spans="2:16" ht="36" customHeight="1">
      <c r="B389" s="1">
        <v>4</v>
      </c>
      <c r="C389" s="1">
        <v>4</v>
      </c>
      <c r="D389" s="503"/>
      <c r="E389" s="63"/>
      <c r="F389" s="534" t="str">
        <f>IF(F385=$F$7,$G$5,IF(ROUNDDOWN(F385,0)=$F$5,$H$5,$G$5))</f>
        <v>　レベル　4</v>
      </c>
      <c r="G389" s="3412" t="s">
        <v>2348</v>
      </c>
      <c r="H389" s="3418"/>
      <c r="I389" s="3412" t="s">
        <v>2349</v>
      </c>
      <c r="J389" s="3418"/>
      <c r="K389" s="3412" t="s">
        <v>1503</v>
      </c>
      <c r="L389" s="3418"/>
      <c r="M389" s="1786" t="str">
        <f>IF(M385=$F$7,$G$5,IF(ROUNDDOWN(M385,0)=$F$5,$H$5,$G$5))</f>
        <v>　レベル　4</v>
      </c>
      <c r="N389" s="3412" t="s">
        <v>1888</v>
      </c>
      <c r="O389" s="3418"/>
    </row>
    <row r="390" spans="2:16" ht="21" customHeight="1">
      <c r="B390" s="1">
        <v>5</v>
      </c>
      <c r="C390" s="1">
        <v>5</v>
      </c>
      <c r="D390" s="503"/>
      <c r="E390" s="63"/>
      <c r="F390" s="544" t="str">
        <f>IF(F385=$F$7,$G$6,IF(ROUNDDOWN(F385,0)=$F$6,$H$6,$G$6))</f>
        <v>　レベル　5</v>
      </c>
      <c r="G390" s="2010" t="s">
        <v>1740</v>
      </c>
      <c r="H390" s="1771"/>
      <c r="I390" s="2010" t="s">
        <v>1741</v>
      </c>
      <c r="J390" s="1771"/>
      <c r="K390" s="2010" t="s">
        <v>1742</v>
      </c>
      <c r="L390" s="1771"/>
      <c r="M390" s="1788" t="str">
        <f>IF(M385=$F$7,$G$6,IF(ROUNDDOWN(M385,0)=$F$6,$H$6,$G$6))</f>
        <v>　レベル　5</v>
      </c>
      <c r="N390" s="2010" t="s">
        <v>1743</v>
      </c>
      <c r="O390" s="1771"/>
    </row>
    <row r="391" spans="2:16" ht="15.75">
      <c r="B391" s="551">
        <v>0</v>
      </c>
      <c r="C391" s="551">
        <v>0</v>
      </c>
      <c r="D391" s="503"/>
      <c r="E391" s="404"/>
      <c r="F391" s="839" t="s">
        <v>2938</v>
      </c>
      <c r="G391" s="1941"/>
      <c r="H391" s="1917"/>
      <c r="I391" s="1915"/>
      <c r="J391" s="1916"/>
      <c r="K391" s="1918"/>
      <c r="L391" s="1231"/>
      <c r="M391"/>
      <c r="N391"/>
      <c r="O391"/>
    </row>
    <row r="392" spans="2:16" ht="15.75">
      <c r="B392" s="870"/>
      <c r="C392" s="870"/>
      <c r="D392" s="503"/>
      <c r="E392" s="404"/>
      <c r="F392" s="1977" t="s">
        <v>3256</v>
      </c>
      <c r="G392" s="2745">
        <v>4000</v>
      </c>
      <c r="H392" s="1949"/>
      <c r="I392" s="500"/>
      <c r="J392" s="500"/>
      <c r="K392" s="1918"/>
      <c r="L392" s="1231"/>
      <c r="M392"/>
      <c r="N392"/>
      <c r="O392"/>
    </row>
    <row r="393" spans="2:16" ht="15.75">
      <c r="B393" s="870"/>
      <c r="C393" s="870"/>
      <c r="D393" s="503"/>
      <c r="E393" s="404"/>
      <c r="F393" s="404"/>
      <c r="G393" s="404"/>
      <c r="H393" s="404"/>
      <c r="I393" s="404"/>
      <c r="J393" s="404"/>
      <c r="K393" s="404"/>
      <c r="L393" s="404"/>
      <c r="M393" s="404"/>
      <c r="N393" s="404"/>
      <c r="O393" s="404"/>
      <c r="P393" s="404"/>
    </row>
    <row r="394" spans="2:16" ht="15.75">
      <c r="D394" s="499">
        <v>3.3</v>
      </c>
      <c r="E394" s="508" t="s">
        <v>1744</v>
      </c>
      <c r="F394"/>
      <c r="G394"/>
      <c r="H394"/>
      <c r="I394"/>
      <c r="J394"/>
      <c r="K394"/>
      <c r="L394"/>
      <c r="M394"/>
      <c r="N394"/>
      <c r="O394"/>
    </row>
    <row r="395" spans="2:16" ht="15.75">
      <c r="D395" s="499"/>
      <c r="E395" s="508"/>
      <c r="F395" s="511" t="s">
        <v>3253</v>
      </c>
      <c r="G395"/>
      <c r="H395"/>
      <c r="I395"/>
      <c r="J395" t="str">
        <f>IF(OR(F397=0,J396=0),$L$3,"")</f>
        <v/>
      </c>
      <c r="K395" s="511" t="s">
        <v>232</v>
      </c>
      <c r="L395"/>
      <c r="M395"/>
      <c r="N395"/>
      <c r="O395" t="str">
        <f>IF(OR(K397=0,O396=0),$L$3,"")</f>
        <v/>
      </c>
    </row>
    <row r="396" spans="2:16" ht="16.5" thickBot="1">
      <c r="D396" s="503"/>
      <c r="E396" s="63"/>
      <c r="F396" s="515"/>
      <c r="G396" s="516"/>
      <c r="H396" s="1441"/>
      <c r="I396" s="518" t="s">
        <v>1126</v>
      </c>
      <c r="J396" s="521">
        <f>重み!M106</f>
        <v>0.2</v>
      </c>
      <c r="K396" s="515"/>
      <c r="L396" s="516"/>
      <c r="M396" s="1441"/>
      <c r="N396" s="518" t="s">
        <v>1126</v>
      </c>
      <c r="O396" s="521">
        <f>重み!M107</f>
        <v>0.2</v>
      </c>
    </row>
    <row r="397" spans="2:16" ht="27" customHeight="1" thickBot="1">
      <c r="D397" s="503"/>
      <c r="E397" s="63"/>
      <c r="F397" s="522">
        <v>3</v>
      </c>
      <c r="G397" s="618" t="s">
        <v>78</v>
      </c>
      <c r="H397" s="527"/>
      <c r="I397" s="527"/>
      <c r="J397" s="528"/>
      <c r="K397" s="522">
        <v>3</v>
      </c>
      <c r="L397" s="618" t="s">
        <v>1209</v>
      </c>
      <c r="M397" s="527"/>
      <c r="N397" s="527"/>
      <c r="O397" s="623"/>
    </row>
    <row r="398" spans="2:16" ht="21" customHeight="1">
      <c r="B398" s="1">
        <v>1</v>
      </c>
      <c r="C398" s="1">
        <v>1</v>
      </c>
      <c r="D398" s="503"/>
      <c r="E398" s="63"/>
      <c r="F398" s="529" t="str">
        <f>IF(F397=$F$7,$G$2,IF(ROUNDDOWN(F397,0)=$F$2,$H$2,$G$2))</f>
        <v>　レベル　1</v>
      </c>
      <c r="G398" s="2017" t="s">
        <v>1745</v>
      </c>
      <c r="H398" s="1995"/>
      <c r="I398" s="1995"/>
      <c r="J398" s="1996"/>
      <c r="K398" s="1784" t="str">
        <f>IF(K397=$F$7,$G$2,IF(ROUNDDOWN(K397,0)=$F$2,$H$2,$G$2))</f>
        <v>　レベル　1</v>
      </c>
      <c r="L398" s="2017" t="s">
        <v>1746</v>
      </c>
      <c r="M398" s="2018"/>
      <c r="N398" s="2018"/>
      <c r="O398" s="2019"/>
    </row>
    <row r="399" spans="2:16" ht="38.25" customHeight="1">
      <c r="B399" s="1">
        <v>2</v>
      </c>
      <c r="C399" s="1">
        <v>2</v>
      </c>
      <c r="D399" s="503"/>
      <c r="E399" s="63"/>
      <c r="F399" s="534" t="str">
        <f>IF(F397=$F$7,$G$3,IF(ROUNDDOWN(F397,0)=$F$3,$H$3,$G$3))</f>
        <v>　レベル　2</v>
      </c>
      <c r="G399" s="3412" t="s">
        <v>1232</v>
      </c>
      <c r="H399" s="3419"/>
      <c r="I399" s="3419"/>
      <c r="J399" s="3418"/>
      <c r="K399" s="1786" t="str">
        <f>IF(K397=$F$7,$G$3,IF(ROUNDDOWN(K397,0)=$F$3,$H$3,$G$3))</f>
        <v>　レベル　2</v>
      </c>
      <c r="L399" s="1763" t="s">
        <v>1233</v>
      </c>
      <c r="M399" s="2014"/>
      <c r="N399" s="2014"/>
      <c r="O399" s="2015"/>
    </row>
    <row r="400" spans="2:16" ht="43.5" customHeight="1">
      <c r="B400" s="1">
        <v>3</v>
      </c>
      <c r="C400" s="1">
        <v>3</v>
      </c>
      <c r="D400" s="503"/>
      <c r="E400" s="63"/>
      <c r="F400" s="534" t="str">
        <f>IF(F397=$F$7,$G$4,IF(ROUNDDOWN(F397,0)=$F$4,$H$4,$G$4))</f>
        <v>■レベル　3</v>
      </c>
      <c r="G400" s="3412" t="s">
        <v>233</v>
      </c>
      <c r="H400" s="3419"/>
      <c r="I400" s="3419"/>
      <c r="J400" s="3418"/>
      <c r="K400" s="1786" t="str">
        <f>IF(K397=$F$7,$G$4,IF(ROUNDDOWN(K397,0)=$F$4,$H$4,$G$4))</f>
        <v>■レベル　3</v>
      </c>
      <c r="L400" s="3412" t="s">
        <v>1234</v>
      </c>
      <c r="M400" s="3413"/>
      <c r="N400" s="3413"/>
      <c r="O400" s="3414"/>
    </row>
    <row r="401" spans="2:20" ht="38.25" customHeight="1">
      <c r="B401" s="1">
        <v>4</v>
      </c>
      <c r="C401" s="1">
        <v>4</v>
      </c>
      <c r="D401" s="503"/>
      <c r="E401" s="63"/>
      <c r="F401" s="534" t="str">
        <f>IF(F397=$F$7,$G$5,IF(ROUNDDOWN(F397,0)=$F$5,$H$5,$G$5))</f>
        <v>　レベル　4</v>
      </c>
      <c r="G401" s="3412" t="s">
        <v>1235</v>
      </c>
      <c r="H401" s="3419"/>
      <c r="I401" s="3419"/>
      <c r="J401" s="3418"/>
      <c r="K401" s="1786" t="str">
        <f>IF(K397=$F$7,$G$5,IF(ROUNDDOWN(K397,0)=$F$5,$H$5,$G$5))</f>
        <v>　レベル　4</v>
      </c>
      <c r="L401" s="1763" t="s">
        <v>1236</v>
      </c>
      <c r="M401" s="2014"/>
      <c r="N401" s="2014"/>
      <c r="O401" s="2015"/>
    </row>
    <row r="402" spans="2:20" ht="34.5" customHeight="1">
      <c r="B402" s="1">
        <v>5</v>
      </c>
      <c r="C402" s="1">
        <v>5</v>
      </c>
      <c r="D402" s="503"/>
      <c r="E402" s="63"/>
      <c r="F402" s="544" t="str">
        <f>IF(F397=$F$7,$G$6,IF(ROUNDDOWN(F397,0)=$F$6,$H$6,$G$6))</f>
        <v>　レベル　5</v>
      </c>
      <c r="G402" s="3415" t="s">
        <v>1109</v>
      </c>
      <c r="H402" s="3416"/>
      <c r="I402" s="3416"/>
      <c r="J402" s="3417"/>
      <c r="K402" s="1788" t="str">
        <f>IF(K397=$F$7,$G$6,IF(ROUNDDOWN(K397,0)=$F$6,$H$6,$G$6))</f>
        <v>　レベル　5</v>
      </c>
      <c r="L402" s="2010" t="s">
        <v>1110</v>
      </c>
      <c r="M402" s="2011"/>
      <c r="N402" s="2011"/>
      <c r="O402" s="2012"/>
    </row>
    <row r="403" spans="2:20" ht="15.75">
      <c r="B403" s="551">
        <v>0</v>
      </c>
      <c r="C403" s="551">
        <v>0</v>
      </c>
      <c r="D403" s="503"/>
      <c r="E403" s="628"/>
      <c r="F403" s="839" t="s">
        <v>2938</v>
      </c>
      <c r="G403" s="1941"/>
      <c r="H403" s="1917"/>
      <c r="I403" s="1915"/>
      <c r="J403" s="1916"/>
      <c r="K403" s="839" t="s">
        <v>2938</v>
      </c>
      <c r="L403" s="1941"/>
      <c r="M403" s="1917"/>
      <c r="N403" s="1915"/>
      <c r="O403" s="1916"/>
      <c r="P403" s="1977"/>
      <c r="Q403" s="1231"/>
    </row>
    <row r="404" spans="2:20" ht="15.75">
      <c r="B404" s="870"/>
      <c r="C404" s="870"/>
      <c r="D404" s="503"/>
      <c r="E404" s="628"/>
      <c r="F404"/>
      <c r="G404"/>
      <c r="H404"/>
      <c r="I404"/>
      <c r="J404"/>
      <c r="K404"/>
      <c r="L404"/>
      <c r="M404"/>
      <c r="N404"/>
      <c r="O404"/>
      <c r="P404" s="1918"/>
      <c r="Q404" s="1231"/>
    </row>
    <row r="405" spans="2:20" ht="15.75">
      <c r="D405" s="503"/>
      <c r="E405" s="628"/>
      <c r="F405" s="511" t="s">
        <v>1237</v>
      </c>
      <c r="G405"/>
      <c r="H405"/>
      <c r="I405"/>
      <c r="J405" t="str">
        <f>IF(OR(F407=0,J406=0),$L$3,"")</f>
        <v/>
      </c>
      <c r="K405" s="511" t="s">
        <v>85</v>
      </c>
      <c r="L405"/>
      <c r="M405"/>
      <c r="N405"/>
      <c r="O405" t="str">
        <f>IF(OR(K407=0,O406=0),$L$3,"")</f>
        <v/>
      </c>
    </row>
    <row r="406" spans="2:20" ht="16.5" thickBot="1">
      <c r="D406" s="503"/>
      <c r="E406" s="628"/>
      <c r="F406" s="515"/>
      <c r="G406" s="516"/>
      <c r="H406" s="1441"/>
      <c r="I406" s="518" t="s">
        <v>1126</v>
      </c>
      <c r="J406" s="521">
        <f>重み!M108</f>
        <v>0.1</v>
      </c>
      <c r="K406" s="515"/>
      <c r="L406" s="516"/>
      <c r="M406" s="1441"/>
      <c r="N406" s="518" t="s">
        <v>1126</v>
      </c>
      <c r="O406" s="521">
        <f>重み!M109</f>
        <v>0.1</v>
      </c>
    </row>
    <row r="407" spans="2:20" ht="27" customHeight="1" thickBot="1">
      <c r="D407" s="503"/>
      <c r="E407" s="628"/>
      <c r="F407" s="522">
        <v>3</v>
      </c>
      <c r="G407" s="618" t="s">
        <v>78</v>
      </c>
      <c r="H407" s="527"/>
      <c r="I407" s="527"/>
      <c r="J407" s="528"/>
      <c r="K407" s="522">
        <v>3</v>
      </c>
      <c r="L407" s="618" t="s">
        <v>78</v>
      </c>
      <c r="M407" s="527"/>
      <c r="N407" s="527"/>
      <c r="O407" s="623"/>
    </row>
    <row r="408" spans="2:20" ht="21" customHeight="1">
      <c r="B408" s="1">
        <v>1</v>
      </c>
      <c r="C408" s="1">
        <v>1</v>
      </c>
      <c r="D408" s="503"/>
      <c r="E408" s="628"/>
      <c r="F408" s="529" t="str">
        <f>IF(F407=$F$7,$G$2,IF(ROUNDDOWN(F407,0)=$F$2,$H$2,$G$2))</f>
        <v>　レベル　1</v>
      </c>
      <c r="G408" s="2017" t="s">
        <v>1238</v>
      </c>
      <c r="H408" s="1995"/>
      <c r="I408" s="1995"/>
      <c r="J408" s="1996"/>
      <c r="K408" s="1784" t="str">
        <f>IF(K407=$F$7,$G$2,IF(ROUNDDOWN(K407,0)=$F$2,$H$2,$G$2))</f>
        <v>　レベル　1</v>
      </c>
      <c r="L408" s="2017" t="s">
        <v>1239</v>
      </c>
      <c r="M408" s="1995"/>
      <c r="N408" s="1995"/>
      <c r="O408" s="1996"/>
    </row>
    <row r="409" spans="2:20" ht="21" customHeight="1">
      <c r="B409" s="1" t="s">
        <v>1213</v>
      </c>
      <c r="C409" s="1" t="s">
        <v>1213</v>
      </c>
      <c r="D409" s="503"/>
      <c r="E409" s="628"/>
      <c r="F409" s="534" t="str">
        <f>IF(F407=$F$7,$G$3,IF(ROUNDDOWN(F407,0)=$F$3,$H$3,$G$3))</f>
        <v>　レベル　2</v>
      </c>
      <c r="G409" s="1763" t="s">
        <v>1794</v>
      </c>
      <c r="H409" s="1785"/>
      <c r="I409" s="1785"/>
      <c r="J409" s="1770"/>
      <c r="K409" s="1786" t="str">
        <f>IF(K407=$F$7,$G$3,IF(ROUNDDOWN(K407,0)=$F$3,$H$3,$G$3))</f>
        <v>　レベル　2</v>
      </c>
      <c r="L409" s="1763" t="s">
        <v>1794</v>
      </c>
      <c r="M409" s="1785"/>
      <c r="N409" s="1785"/>
      <c r="O409" s="1770"/>
    </row>
    <row r="410" spans="2:20" ht="21" customHeight="1">
      <c r="B410" s="1">
        <v>3</v>
      </c>
      <c r="C410" s="1">
        <v>3</v>
      </c>
      <c r="D410" s="503"/>
      <c r="E410" s="628"/>
      <c r="F410" s="534" t="str">
        <f>IF(F407=$F$7,$G$4,IF(ROUNDDOWN(F407,0)=$F$4,$H$4,$G$4))</f>
        <v>■レベル　3</v>
      </c>
      <c r="G410" s="1763" t="s">
        <v>86</v>
      </c>
      <c r="H410" s="1785"/>
      <c r="I410" s="1785"/>
      <c r="J410" s="1770"/>
      <c r="K410" s="1786" t="str">
        <f>IF(K407=$F$7,$G$4,IF(ROUNDDOWN(K407,0)=$F$4,$H$4,$G$4))</f>
        <v>■レベル　3</v>
      </c>
      <c r="L410" s="1763" t="s">
        <v>87</v>
      </c>
      <c r="M410" s="1785"/>
      <c r="N410" s="1785"/>
      <c r="O410" s="1770"/>
    </row>
    <row r="411" spans="2:20" ht="21" customHeight="1">
      <c r="B411" s="1" t="s">
        <v>1213</v>
      </c>
      <c r="C411" s="1" t="s">
        <v>1213</v>
      </c>
      <c r="D411" s="503"/>
      <c r="E411" s="628" t="s">
        <v>88</v>
      </c>
      <c r="F411" s="534" t="str">
        <f>IF(F407=$F$7,$G$5,IF(ROUNDDOWN(F407,0)=$F$5,$H$5,$G$5))</f>
        <v>　レベル　4</v>
      </c>
      <c r="G411" s="1763" t="s">
        <v>1794</v>
      </c>
      <c r="H411" s="1785"/>
      <c r="I411" s="1785"/>
      <c r="J411" s="1770"/>
      <c r="K411" s="1786" t="str">
        <f>IF(K407=$F$7,$G$5,IF(ROUNDDOWN(K407,0)=$F$5,$H$5,$G$5))</f>
        <v>　レベル　4</v>
      </c>
      <c r="L411" s="1763" t="s">
        <v>1794</v>
      </c>
      <c r="M411" s="1785"/>
      <c r="N411" s="1785"/>
      <c r="O411" s="1770"/>
    </row>
    <row r="412" spans="2:20" ht="32.25" customHeight="1">
      <c r="B412" s="1">
        <v>5</v>
      </c>
      <c r="C412" s="1">
        <v>5</v>
      </c>
      <c r="D412" s="503"/>
      <c r="E412" s="628"/>
      <c r="F412" s="544" t="str">
        <f>IF(F407=$F$7,$G$6,IF(ROUNDDOWN(F407,0)=$F$6,$H$6,$G$6))</f>
        <v>　レベル　5</v>
      </c>
      <c r="G412" s="3415" t="s">
        <v>1240</v>
      </c>
      <c r="H412" s="3416"/>
      <c r="I412" s="3416"/>
      <c r="J412" s="3417"/>
      <c r="K412" s="1788" t="str">
        <f>IF(K407=$F$7,$G$6,IF(ROUNDDOWN(K407,0)=$F$6,$H$6,$G$6))</f>
        <v>　レベル　5</v>
      </c>
      <c r="L412" s="2010" t="s">
        <v>1241</v>
      </c>
      <c r="M412" s="1787"/>
      <c r="N412" s="1787"/>
      <c r="O412" s="1771"/>
    </row>
    <row r="413" spans="2:20" ht="15.75">
      <c r="B413" s="551">
        <v>0</v>
      </c>
      <c r="C413" s="551">
        <v>0</v>
      </c>
      <c r="D413" s="503"/>
      <c r="E413" s="628"/>
      <c r="F413" s="839" t="s">
        <v>2938</v>
      </c>
      <c r="G413" s="1941"/>
      <c r="H413" s="1917"/>
      <c r="I413" s="1915"/>
      <c r="J413" s="1916"/>
      <c r="K413" s="839" t="s">
        <v>2938</v>
      </c>
      <c r="L413" s="1941"/>
      <c r="M413" s="1917"/>
      <c r="N413" s="1915"/>
      <c r="O413" s="1916"/>
      <c r="P413" s="1977"/>
      <c r="Q413" s="1231"/>
    </row>
    <row r="414" spans="2:20" ht="15.75">
      <c r="B414" s="870"/>
      <c r="C414" s="870"/>
      <c r="D414" s="503"/>
      <c r="E414" s="503"/>
      <c r="F414" s="503"/>
      <c r="G414" s="503"/>
      <c r="H414" s="503"/>
      <c r="I414" s="503"/>
      <c r="J414" s="503"/>
      <c r="K414" s="503"/>
      <c r="L414" s="503"/>
      <c r="M414" s="503"/>
      <c r="N414" s="503"/>
      <c r="O414" s="503"/>
      <c r="P414" s="503"/>
      <c r="Q414" s="503"/>
      <c r="R414" s="503"/>
      <c r="S414" s="503"/>
      <c r="T414" s="503"/>
    </row>
    <row r="415" spans="2:20" ht="15.75">
      <c r="D415" s="503"/>
      <c r="E415" s="628"/>
      <c r="F415" s="511" t="s">
        <v>1242</v>
      </c>
      <c r="G415"/>
      <c r="H415"/>
      <c r="I415"/>
      <c r="J415" t="str">
        <f>IF(OR(F417=0,J416=0),$L$3,"")</f>
        <v/>
      </c>
      <c r="K415" s="511" t="s">
        <v>1243</v>
      </c>
      <c r="L415"/>
      <c r="M415"/>
      <c r="N415"/>
      <c r="O415" t="str">
        <f>IF(OR(K417=0,O416=0),$L$3,"")</f>
        <v/>
      </c>
    </row>
    <row r="416" spans="2:20" ht="16.5" thickBot="1">
      <c r="D416" s="503"/>
      <c r="E416" s="628"/>
      <c r="F416" s="515"/>
      <c r="G416" s="516"/>
      <c r="H416" s="1441"/>
      <c r="I416" s="518" t="s">
        <v>1126</v>
      </c>
      <c r="J416" s="521">
        <f>重み!M110</f>
        <v>0.2</v>
      </c>
      <c r="K416" s="515"/>
      <c r="L416" s="516"/>
      <c r="M416" s="1441"/>
      <c r="N416" s="518" t="s">
        <v>1126</v>
      </c>
      <c r="O416" s="521">
        <f>重み!M111</f>
        <v>0.2</v>
      </c>
    </row>
    <row r="417" spans="2:17" ht="27" customHeight="1" thickBot="1">
      <c r="D417" s="503"/>
      <c r="E417" s="628"/>
      <c r="F417" s="522">
        <v>3</v>
      </c>
      <c r="G417" s="618" t="s">
        <v>3084</v>
      </c>
      <c r="H417" s="527"/>
      <c r="I417" s="527"/>
      <c r="J417" s="528"/>
      <c r="K417" s="522">
        <v>3</v>
      </c>
      <c r="L417" s="618" t="s">
        <v>3085</v>
      </c>
      <c r="M417" s="527"/>
      <c r="N417" s="527"/>
      <c r="O417" s="623"/>
    </row>
    <row r="418" spans="2:17" ht="43.5" customHeight="1">
      <c r="B418" s="1">
        <v>1</v>
      </c>
      <c r="C418" s="1" t="s">
        <v>1213</v>
      </c>
      <c r="D418" s="503"/>
      <c r="E418" s="243" t="str">
        <f>IF(AND(D420="対象外",H419&gt;0.001),"★入力エラー：レベル１～５を選択し直してください！","")</f>
        <v/>
      </c>
      <c r="F418" s="529" t="str">
        <f>IF(F417=$F$7,$G$2,IF(ROUNDDOWN(F417,0)=$F$2,$H$2,$G$2))</f>
        <v>　レベル　1</v>
      </c>
      <c r="G418" s="3445" t="s">
        <v>44</v>
      </c>
      <c r="H418" s="3434"/>
      <c r="I418" s="3434"/>
      <c r="J418" s="3435"/>
      <c r="K418" s="1784" t="str">
        <f>IF(K417=$F$7,$G$2,IF(ROUNDDOWN(K417,0)=$F$2,$H$2,$G$2))</f>
        <v>　レベル　1</v>
      </c>
      <c r="L418" s="2017" t="s">
        <v>1794</v>
      </c>
      <c r="M418" s="1995"/>
      <c r="N418" s="1995"/>
      <c r="O418" s="1996"/>
    </row>
    <row r="419" spans="2:17" ht="21" customHeight="1">
      <c r="B419" s="1" t="s">
        <v>1213</v>
      </c>
      <c r="C419" s="1" t="s">
        <v>1213</v>
      </c>
      <c r="D419" s="503"/>
      <c r="E419" s="628"/>
      <c r="F419" s="534" t="str">
        <f>IF(F417=$F$7,$G$3,IF(ROUNDDOWN(F417,0)=$F$3,$H$3,$G$3))</f>
        <v>　レベル　2</v>
      </c>
      <c r="G419" s="1763" t="s">
        <v>1794</v>
      </c>
      <c r="H419" s="1785"/>
      <c r="I419" s="1785"/>
      <c r="J419" s="1770"/>
      <c r="K419" s="1786" t="str">
        <f>IF(K417=$F$7,$G$3,IF(ROUNDDOWN(K417,0)=$F$3,$H$3,$G$3))</f>
        <v>　レベル　2</v>
      </c>
      <c r="L419" s="1763" t="s">
        <v>1794</v>
      </c>
      <c r="M419" s="1785"/>
      <c r="N419" s="1785"/>
      <c r="O419" s="1770"/>
    </row>
    <row r="420" spans="2:17" ht="40.5" customHeight="1">
      <c r="B420" s="1">
        <v>3</v>
      </c>
      <c r="C420" s="1">
        <v>3</v>
      </c>
      <c r="D420" s="503"/>
      <c r="E420" s="628"/>
      <c r="F420" s="534" t="str">
        <f>IF(F417=$F$7,$G$4,IF(ROUNDDOWN(F417,0)=$F$4,$H$4,$G$4))</f>
        <v>■レベル　3</v>
      </c>
      <c r="G420" s="3412" t="s">
        <v>45</v>
      </c>
      <c r="H420" s="3413"/>
      <c r="I420" s="3413"/>
      <c r="J420" s="3414"/>
      <c r="K420" s="1786" t="str">
        <f>IF(K417=$F$7,$G$4,IF(ROUNDDOWN(K417,0)=$F$4,$H$4,$G$4))</f>
        <v>■レベル　3</v>
      </c>
      <c r="L420" s="3412" t="s">
        <v>1244</v>
      </c>
      <c r="M420" s="3419"/>
      <c r="N420" s="3419"/>
      <c r="O420" s="3418"/>
    </row>
    <row r="421" spans="2:17" ht="40.5" customHeight="1">
      <c r="B421" s="1">
        <v>4</v>
      </c>
      <c r="C421" s="1">
        <v>4</v>
      </c>
      <c r="D421" s="503"/>
      <c r="E421" s="628"/>
      <c r="F421" s="534" t="str">
        <f>IF(F417=$F$7,$G$5,IF(ROUNDDOWN(F417,0)=$F$5,$H$5,$G$5))</f>
        <v>　レベル　4</v>
      </c>
      <c r="G421" s="3412" t="s">
        <v>47</v>
      </c>
      <c r="H421" s="3419"/>
      <c r="I421" s="3419"/>
      <c r="J421" s="3418"/>
      <c r="K421" s="1786" t="str">
        <f>IF(K417=$F$7,$G$5,IF(ROUNDDOWN(K417,0)=$F$5,$H$5,$G$5))</f>
        <v>　レベル　4</v>
      </c>
      <c r="L421" s="3412" t="s">
        <v>405</v>
      </c>
      <c r="M421" s="3413"/>
      <c r="N421" s="3413"/>
      <c r="O421" s="3414"/>
    </row>
    <row r="422" spans="2:17" ht="40.5" customHeight="1">
      <c r="B422" s="1">
        <v>5</v>
      </c>
      <c r="C422" s="1" t="s">
        <v>1213</v>
      </c>
      <c r="D422" s="503"/>
      <c r="E422" s="628"/>
      <c r="F422" s="544" t="str">
        <f>IF(F417=$F$7,$G$6,IF(ROUNDDOWN(F417,0)=$F$6,$H$6,$G$6))</f>
        <v>　レベル　5</v>
      </c>
      <c r="G422" s="3415" t="s">
        <v>46</v>
      </c>
      <c r="H422" s="3416"/>
      <c r="I422" s="3416"/>
      <c r="J422" s="3417"/>
      <c r="K422" s="1788" t="str">
        <f>IF(K417=$F$7,$G$6,IF(ROUNDDOWN(K417,0)=$F$6,$H$6,$G$6))</f>
        <v>　レベル　5</v>
      </c>
      <c r="L422" s="2010" t="s">
        <v>1794</v>
      </c>
      <c r="M422" s="1787"/>
      <c r="N422" s="1787"/>
      <c r="O422" s="1771"/>
    </row>
    <row r="423" spans="2:17">
      <c r="B423" s="551">
        <v>0</v>
      </c>
      <c r="C423" s="551">
        <v>0</v>
      </c>
      <c r="F423" s="839" t="s">
        <v>2938</v>
      </c>
      <c r="G423" s="1941"/>
      <c r="H423" s="1917"/>
      <c r="I423" s="1915"/>
      <c r="J423" s="1916"/>
      <c r="K423" s="839" t="s">
        <v>2938</v>
      </c>
      <c r="L423" s="1941"/>
      <c r="M423" s="1917"/>
      <c r="N423" s="1915"/>
      <c r="O423" s="1916"/>
      <c r="P423" s="1977"/>
      <c r="Q423" s="1231"/>
    </row>
    <row r="424" spans="2:17" ht="13.5" hidden="1" customHeight="1">
      <c r="F424"/>
      <c r="G424"/>
      <c r="H424"/>
      <c r="I424"/>
      <c r="J424"/>
      <c r="K424"/>
      <c r="L424"/>
      <c r="M424"/>
      <c r="N424"/>
      <c r="O424"/>
    </row>
    <row r="425" spans="2:17" ht="13.5" hidden="1" customHeight="1">
      <c r="F425"/>
      <c r="G425"/>
      <c r="H425"/>
      <c r="I425"/>
      <c r="J425"/>
      <c r="K425"/>
      <c r="L425"/>
      <c r="M425"/>
      <c r="N425"/>
      <c r="O425"/>
    </row>
    <row r="426" spans="2:17" ht="13.5" hidden="1" customHeight="1">
      <c r="F426"/>
      <c r="G426"/>
      <c r="H426"/>
      <c r="I426"/>
      <c r="J426"/>
      <c r="K426"/>
      <c r="L426"/>
      <c r="M426"/>
      <c r="N426"/>
      <c r="O426"/>
    </row>
    <row r="427" spans="2:17">
      <c r="F427"/>
      <c r="G427"/>
      <c r="H427"/>
      <c r="I427"/>
      <c r="J427"/>
      <c r="K427"/>
      <c r="L427"/>
      <c r="M427"/>
      <c r="N427"/>
      <c r="O427"/>
    </row>
    <row r="428" spans="2:17">
      <c r="F428"/>
      <c r="G428"/>
      <c r="H428"/>
      <c r="I428"/>
      <c r="J428"/>
      <c r="K428"/>
      <c r="L428"/>
      <c r="M428"/>
      <c r="N428"/>
      <c r="O428"/>
    </row>
  </sheetData>
  <sheetProtection password="C784" sheet="1" objects="1" scenarios="1"/>
  <mergeCells count="107">
    <mergeCell ref="G412:J412"/>
    <mergeCell ref="G420:J420"/>
    <mergeCell ref="L420:O420"/>
    <mergeCell ref="G421:J421"/>
    <mergeCell ref="G422:J422"/>
    <mergeCell ref="G418:J418"/>
    <mergeCell ref="I102:O102"/>
    <mergeCell ref="N133:O137"/>
    <mergeCell ref="H141:K141"/>
    <mergeCell ref="H142:K142"/>
    <mergeCell ref="H143:K143"/>
    <mergeCell ref="G211:H211"/>
    <mergeCell ref="L143:O143"/>
    <mergeCell ref="L144:O144"/>
    <mergeCell ref="L145:O145"/>
    <mergeCell ref="L147:O147"/>
    <mergeCell ref="L148:O148"/>
    <mergeCell ref="H147:K147"/>
    <mergeCell ref="H148:K148"/>
    <mergeCell ref="H150:K150"/>
    <mergeCell ref="H152:K152"/>
    <mergeCell ref="H153:K153"/>
    <mergeCell ref="H144:K144"/>
    <mergeCell ref="H145:K145"/>
    <mergeCell ref="H77:J77"/>
    <mergeCell ref="H78:J78"/>
    <mergeCell ref="H79:J79"/>
    <mergeCell ref="H80:J80"/>
    <mergeCell ref="M77:O77"/>
    <mergeCell ref="M78:O78"/>
    <mergeCell ref="M79:O79"/>
    <mergeCell ref="M80:O80"/>
    <mergeCell ref="N18:O18"/>
    <mergeCell ref="N19:O19"/>
    <mergeCell ref="N20:O20"/>
    <mergeCell ref="G28:J28"/>
    <mergeCell ref="G29:J29"/>
    <mergeCell ref="G18:H18"/>
    <mergeCell ref="G19:H19"/>
    <mergeCell ref="G20:H20"/>
    <mergeCell ref="L18:M18"/>
    <mergeCell ref="L20:M20"/>
    <mergeCell ref="G30:J30"/>
    <mergeCell ref="G31:J31"/>
    <mergeCell ref="L28:O28"/>
    <mergeCell ref="L29:O29"/>
    <mergeCell ref="L30:O30"/>
    <mergeCell ref="L31:O31"/>
    <mergeCell ref="G40:J40"/>
    <mergeCell ref="G41:J41"/>
    <mergeCell ref="G42:J42"/>
    <mergeCell ref="K40:N40"/>
    <mergeCell ref="K41:N41"/>
    <mergeCell ref="K42:N42"/>
    <mergeCell ref="G51:H51"/>
    <mergeCell ref="G52:H52"/>
    <mergeCell ref="G53:H53"/>
    <mergeCell ref="N51:O51"/>
    <mergeCell ref="N52:O52"/>
    <mergeCell ref="N53:O53"/>
    <mergeCell ref="G385:H385"/>
    <mergeCell ref="G277:I277"/>
    <mergeCell ref="J277:L277"/>
    <mergeCell ref="I210:J210"/>
    <mergeCell ref="I211:J211"/>
    <mergeCell ref="I213:J213"/>
    <mergeCell ref="L149:O149"/>
    <mergeCell ref="L150:O150"/>
    <mergeCell ref="L152:O152"/>
    <mergeCell ref="L153:O153"/>
    <mergeCell ref="L212:O212"/>
    <mergeCell ref="L213:O213"/>
    <mergeCell ref="H151:K151"/>
    <mergeCell ref="L151:O151"/>
    <mergeCell ref="G335:O335"/>
    <mergeCell ref="G336:O336"/>
    <mergeCell ref="L234:O234"/>
    <mergeCell ref="L235:O235"/>
    <mergeCell ref="H284:O284"/>
    <mergeCell ref="H287:O287"/>
    <mergeCell ref="H301:O301"/>
    <mergeCell ref="H352:O352"/>
    <mergeCell ref="H324:O324"/>
    <mergeCell ref="K37:N37"/>
    <mergeCell ref="I99:O99"/>
    <mergeCell ref="L421:O421"/>
    <mergeCell ref="G137:M137"/>
    <mergeCell ref="G208:H208"/>
    <mergeCell ref="G402:J402"/>
    <mergeCell ref="L400:O400"/>
    <mergeCell ref="N388:O388"/>
    <mergeCell ref="N389:O389"/>
    <mergeCell ref="G399:J399"/>
    <mergeCell ref="G400:J400"/>
    <mergeCell ref="G401:J401"/>
    <mergeCell ref="G388:H388"/>
    <mergeCell ref="G389:H389"/>
    <mergeCell ref="I388:J388"/>
    <mergeCell ref="I389:J389"/>
    <mergeCell ref="K388:L388"/>
    <mergeCell ref="G222:J222"/>
    <mergeCell ref="G223:J223"/>
    <mergeCell ref="G224:J224"/>
    <mergeCell ref="G212:H212"/>
    <mergeCell ref="G213:H213"/>
    <mergeCell ref="K389:L389"/>
    <mergeCell ref="G334:O334"/>
  </mergeCells>
  <phoneticPr fontId="27"/>
  <conditionalFormatting sqref="F15 F26 F37 F48 F58 F208 F230 F241 F253 F263 F331 F362 F373 F385 F397 F407 F417">
    <cfRule type="expression" dxfId="270" priority="80" stopIfTrue="1">
      <formula>AND(OR(F15&lt;1,F15&gt;5),F15&lt;&gt;0)</formula>
    </cfRule>
    <cfRule type="expression" dxfId="269" priority="81" stopIfTrue="1">
      <formula>$J14&gt;0</formula>
    </cfRule>
  </conditionalFormatting>
  <conditionalFormatting sqref="G77:G80">
    <cfRule type="expression" dxfId="268" priority="416" stopIfTrue="1">
      <formula>$J$67&gt;0</formula>
    </cfRule>
  </conditionalFormatting>
  <conditionalFormatting sqref="K15 K26 M48 K208 K219 K230 K241 K253 K362 K373 M385 K397">
    <cfRule type="expression" dxfId="267" priority="74" stopIfTrue="1">
      <formula>AND(OR(K15&lt;1,K15&gt;5),K15&lt;&gt;0)</formula>
    </cfRule>
    <cfRule type="expression" dxfId="266" priority="75" stopIfTrue="1">
      <formula>$O14&gt;0</formula>
    </cfRule>
  </conditionalFormatting>
  <conditionalFormatting sqref="L77:L80">
    <cfRule type="expression" dxfId="265" priority="189" stopIfTrue="1">
      <formula>$O$67&gt;0</formula>
    </cfRule>
  </conditionalFormatting>
  <dataValidations count="10">
    <dataValidation type="list" allowBlank="1" showInputMessage="1" sqref="K15 K26 M48 K208 K219 K230 K241 K253 K362 K373 M385 K397 K407 K417" xr:uid="{00000000-0002-0000-0700-000000000000}">
      <formula1>$C16:$C21</formula1>
    </dataValidation>
    <dataValidation type="list" allowBlank="1" showInputMessage="1" sqref="F15 F26 F37 F48 F58 F230 F208 F241 F362 F373 F385 F397 F407 F417 F331 F263 F253 F219" xr:uid="{00000000-0002-0000-0700-000001000000}">
      <formula1>$B16:$B21</formula1>
    </dataValidation>
    <dataValidation type="list" allowBlank="1" showInputMessage="1" showErrorMessage="1" sqref="G193 G199 G196" xr:uid="{00000000-0002-0000-0700-000002000000}">
      <formula1>"0,-1"</formula1>
    </dataValidation>
    <dataValidation type="list" allowBlank="1" showInputMessage="1" showErrorMessage="1" sqref="G168:G170 G116 G118 G165:G166 G161 G126:G127 G113 G200 G197 G194:G195" xr:uid="{00000000-0002-0000-0700-000003000000}">
      <formula1>"0,1"</formula1>
    </dataValidation>
    <dataValidation type="list" allowBlank="1" showInputMessage="1" showErrorMessage="1" sqref="G114 G122:G124 G112 G162:G163" xr:uid="{00000000-0002-0000-0700-000004000000}">
      <formula1>"0,3"</formula1>
    </dataValidation>
    <dataValidation type="list" allowBlank="1" showInputMessage="1" showErrorMessage="1" sqref="G125 G115 G117 G167 G164 G171" xr:uid="{00000000-0002-0000-0700-000005000000}">
      <formula1>"0,2"</formula1>
    </dataValidation>
    <dataValidation type="list" allowBlank="1" showInputMessage="1" showErrorMessage="1" sqref="G95" xr:uid="{00000000-0002-0000-0700-000006000000}">
      <formula1>"○, "</formula1>
    </dataValidation>
    <dataValidation type="list" allowBlank="1" showInputMessage="1" showErrorMessage="1" sqref="G141:G153 G96:G107 G77:G80 L77:L80" xr:uid="{00000000-0002-0000-0700-000007000000}">
      <formula1>"○,　"</formula1>
    </dataValidation>
    <dataValidation type="list" allowBlank="1" showInputMessage="1" showErrorMessage="1" sqref="G321:G326 G283:G287 G301:G307 G350:G355" xr:uid="{00000000-0002-0000-0700-000008000000}">
      <formula1>$M$3:$M$4</formula1>
    </dataValidation>
    <dataValidation type="list" allowBlank="1" showInputMessage="1" showErrorMessage="1" sqref="I159:K159" xr:uid="{00000000-0002-0000-0700-000009000000}">
      <formula1>$V$9:$V$10</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8" manualBreakCount="8">
    <brk id="44" min="2" max="15" man="1"/>
    <brk id="82" min="2" max="15" man="1"/>
    <brk id="129" min="2" max="15" man="1"/>
    <brk id="215" min="2" max="15" man="1"/>
    <brk id="270" min="2" max="15" man="1"/>
    <brk id="309" min="2" max="15" man="1"/>
    <brk id="357" min="2" max="15" man="1"/>
    <brk id="393" min="2" max="15"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fitToPage="1"/>
  </sheetPr>
  <dimension ref="A1:U333"/>
  <sheetViews>
    <sheetView showGridLines="0" topLeftCell="A14" zoomScaleNormal="100" workbookViewId="0">
      <selection activeCell="G129" sqref="G129:G134"/>
    </sheetView>
  </sheetViews>
  <sheetFormatPr defaultColWidth="0" defaultRowHeight="13.5" zeroHeight="1"/>
  <cols>
    <col min="1" max="1" width="2.625" customWidth="1"/>
    <col min="2" max="3" width="4.625" hidden="1" customWidth="1"/>
    <col min="4" max="4" width="5" style="1387" customWidth="1"/>
    <col min="5" max="5" width="1.5" style="44" customWidth="1"/>
    <col min="6" max="15" width="10.625" style="44" customWidth="1"/>
    <col min="16" max="16" width="1.75" customWidth="1"/>
    <col min="17" max="17" width="10.125" hidden="1" customWidth="1"/>
    <col min="18" max="18" width="16.25" hidden="1" customWidth="1"/>
    <col min="19" max="19" width="6.75" hidden="1" customWidth="1"/>
    <col min="20" max="20" width="10.25" hidden="1" customWidth="1"/>
    <col min="21" max="21" width="13" hidden="1" customWidth="1"/>
    <col min="22" max="16384" width="9" hidden="1"/>
  </cols>
  <sheetData>
    <row r="1" spans="2:15" ht="15.75">
      <c r="D1" s="503"/>
      <c r="E1" s="404"/>
      <c r="F1" s="404"/>
      <c r="G1" s="404"/>
      <c r="H1" s="404"/>
      <c r="I1" s="404"/>
      <c r="J1" s="736"/>
      <c r="K1" s="404"/>
      <c r="L1" s="404"/>
      <c r="M1" s="501" t="s">
        <v>2243</v>
      </c>
      <c r="N1" s="502" t="str">
        <f>メイン!C11</f>
        <v>○○ビル</v>
      </c>
      <c r="O1" s="502"/>
    </row>
    <row r="2" spans="2:15" ht="15.75" hidden="1">
      <c r="D2" s="503"/>
      <c r="E2" s="404"/>
      <c r="F2">
        <v>1</v>
      </c>
      <c r="G2" t="s">
        <v>2151</v>
      </c>
      <c r="H2" t="s">
        <v>2152</v>
      </c>
      <c r="I2" s="404"/>
      <c r="J2" s="736"/>
      <c r="K2" s="404"/>
      <c r="L2" s="404"/>
      <c r="M2" s="1985"/>
      <c r="N2" s="444"/>
      <c r="O2" s="444"/>
    </row>
    <row r="3" spans="2:15" ht="15.75" hidden="1">
      <c r="D3" s="503"/>
      <c r="E3" s="404"/>
      <c r="F3">
        <v>2</v>
      </c>
      <c r="G3" t="s">
        <v>1099</v>
      </c>
      <c r="H3" t="s">
        <v>1100</v>
      </c>
      <c r="I3" s="404"/>
      <c r="J3" s="736"/>
      <c r="K3" t="s">
        <v>1098</v>
      </c>
      <c r="L3" t="s">
        <v>1123</v>
      </c>
      <c r="M3" t="s">
        <v>2146</v>
      </c>
      <c r="N3" t="s">
        <v>2691</v>
      </c>
      <c r="O3" t="str">
        <f>メイン!I37</f>
        <v>基本設計段階</v>
      </c>
    </row>
    <row r="4" spans="2:15" ht="15.75" hidden="1">
      <c r="D4" s="503"/>
      <c r="E4" s="404"/>
      <c r="F4">
        <v>3</v>
      </c>
      <c r="G4" t="s">
        <v>1105</v>
      </c>
      <c r="H4" t="s">
        <v>1106</v>
      </c>
      <c r="I4" s="404"/>
      <c r="J4" s="736"/>
      <c r="K4" s="404"/>
      <c r="L4">
        <v>0</v>
      </c>
      <c r="M4"/>
      <c r="N4" t="s">
        <v>2695</v>
      </c>
      <c r="O4" t="str">
        <f>メイン!I38</f>
        <v>実施設計段階</v>
      </c>
    </row>
    <row r="5" spans="2:15" ht="15.75" hidden="1">
      <c r="D5" s="503"/>
      <c r="E5" s="404"/>
      <c r="F5">
        <v>4</v>
      </c>
      <c r="G5" t="s">
        <v>1001</v>
      </c>
      <c r="H5" t="s">
        <v>1002</v>
      </c>
      <c r="I5" s="404"/>
      <c r="J5" s="736"/>
      <c r="K5" s="404"/>
      <c r="L5">
        <v>1</v>
      </c>
      <c r="M5"/>
      <c r="N5"/>
      <c r="O5" t="str">
        <f>メイン!I39</f>
        <v>竣工段階</v>
      </c>
    </row>
    <row r="6" spans="2:15" ht="15.75" hidden="1">
      <c r="D6" s="503"/>
      <c r="E6" s="404"/>
      <c r="F6">
        <v>5</v>
      </c>
      <c r="G6" t="s">
        <v>1008</v>
      </c>
      <c r="H6" t="s">
        <v>1009</v>
      </c>
      <c r="I6" s="404"/>
      <c r="J6" s="736"/>
      <c r="K6" s="404"/>
      <c r="L6">
        <v>2</v>
      </c>
      <c r="M6" t="s">
        <v>2147</v>
      </c>
      <c r="N6"/>
      <c r="O6"/>
    </row>
    <row r="7" spans="2:15" ht="15.75" hidden="1">
      <c r="D7" s="503"/>
      <c r="E7" s="404"/>
      <c r="F7">
        <v>0</v>
      </c>
      <c r="G7" t="s">
        <v>2156</v>
      </c>
      <c r="H7" t="s">
        <v>2156</v>
      </c>
      <c r="I7" s="404"/>
      <c r="J7" s="736"/>
      <c r="K7" s="404"/>
      <c r="L7"/>
      <c r="M7" t="s">
        <v>2148</v>
      </c>
      <c r="N7"/>
      <c r="O7"/>
    </row>
    <row r="8" spans="2:15" ht="16.5" thickBot="1">
      <c r="D8" s="503"/>
      <c r="E8" s="404"/>
      <c r="F8" s="404"/>
      <c r="G8" s="404"/>
      <c r="H8" s="404"/>
      <c r="I8" s="404"/>
      <c r="J8" s="736"/>
      <c r="K8" s="404"/>
      <c r="L8" s="404"/>
      <c r="M8" s="404"/>
      <c r="N8" s="404"/>
      <c r="O8" s="404"/>
    </row>
    <row r="9" spans="2:15" ht="18.75" thickBot="1">
      <c r="D9" s="737" t="s">
        <v>2145</v>
      </c>
      <c r="E9" s="738"/>
      <c r="F9" s="504"/>
      <c r="G9" s="504"/>
      <c r="I9" s="505"/>
      <c r="J9" s="506" t="str">
        <f>採点Q1!J9</f>
        <v>色欄について、プルダウンメニューから選択、または数値・コメント※を記入。</v>
      </c>
      <c r="K9" s="504"/>
      <c r="L9" s="63"/>
      <c r="M9" s="63"/>
      <c r="N9" s="504"/>
      <c r="O9" s="616" t="str">
        <f>IF(メイン!E39=0,"",メイン!E39)</f>
        <v>実施設計段階</v>
      </c>
    </row>
    <row r="10" spans="2:15" ht="17.25">
      <c r="D10" s="503"/>
      <c r="E10" s="738"/>
      <c r="F10" s="504"/>
      <c r="G10" s="504"/>
      <c r="H10" s="504"/>
      <c r="I10" s="504"/>
      <c r="J10" s="2257" t="str">
        <f>採点Q1!J10</f>
        <v>※環境配慮の概要は最長30字程度。レベル３を超える場合は必ず記入する。</v>
      </c>
      <c r="K10" s="504"/>
      <c r="L10" s="504"/>
      <c r="M10" s="504"/>
      <c r="N10" s="504"/>
      <c r="O10" s="504"/>
    </row>
    <row r="11" spans="2:15" ht="17.25">
      <c r="D11" s="503">
        <v>1</v>
      </c>
      <c r="E11" s="508" t="s">
        <v>406</v>
      </c>
      <c r="F11" s="509"/>
      <c r="G11" s="504"/>
      <c r="H11" s="504"/>
      <c r="I11" s="504"/>
      <c r="J11" s="739"/>
      <c r="K11" s="504"/>
      <c r="L11" s="504"/>
      <c r="M11" s="504"/>
      <c r="N11" s="504"/>
      <c r="O11" s="504"/>
    </row>
    <row r="12" spans="2:15" ht="15" thickBot="1">
      <c r="D12" s="1388"/>
      <c r="E12" s="509"/>
      <c r="F12" s="515"/>
      <c r="G12" s="516"/>
      <c r="H12" s="516" t="s">
        <v>1126</v>
      </c>
      <c r="I12" s="614"/>
      <c r="J12" s="1608">
        <f>重み!M113</f>
        <v>0.3</v>
      </c>
      <c r="K12" s="517"/>
      <c r="L12" s="517"/>
      <c r="M12" s="517"/>
      <c r="N12" s="517"/>
      <c r="O12" s="606"/>
    </row>
    <row r="13" spans="2:15" ht="27" customHeight="1" thickBot="1">
      <c r="B13" t="s">
        <v>3029</v>
      </c>
      <c r="D13" s="503"/>
      <c r="E13" s="508"/>
      <c r="F13" s="1777">
        <f>G24</f>
        <v>1</v>
      </c>
      <c r="G13" s="636" t="s">
        <v>407</v>
      </c>
      <c r="H13" s="527"/>
      <c r="I13" s="527"/>
      <c r="J13" s="527"/>
      <c r="K13" s="527"/>
      <c r="L13" s="527"/>
      <c r="M13" s="527"/>
      <c r="N13" s="527"/>
      <c r="O13" s="623"/>
    </row>
    <row r="14" spans="2:15" ht="21" customHeight="1">
      <c r="B14">
        <v>0</v>
      </c>
      <c r="D14" s="503"/>
      <c r="E14" s="50"/>
      <c r="F14" s="529" t="str">
        <f>IF(ROUNDDOWN($F$13,0)=$F$2,$H$2,$G$2)</f>
        <v>■レベル　1</v>
      </c>
      <c r="G14" s="531" t="s">
        <v>182</v>
      </c>
      <c r="H14" s="532"/>
      <c r="I14" s="532"/>
      <c r="J14" s="532"/>
      <c r="K14" s="532"/>
      <c r="L14" s="532"/>
      <c r="M14" s="532"/>
      <c r="N14" s="532"/>
      <c r="O14" s="533"/>
    </row>
    <row r="15" spans="2:15" ht="21" customHeight="1">
      <c r="B15">
        <v>4</v>
      </c>
      <c r="D15" s="503"/>
      <c r="E15" s="50"/>
      <c r="F15" s="534" t="str">
        <f>IF(ROUNDDOWN($F$13,0)=$F$3,$H$3,$G$3)</f>
        <v>　レベル　2</v>
      </c>
      <c r="G15" s="537" t="s">
        <v>2149</v>
      </c>
      <c r="H15" s="538"/>
      <c r="I15" s="538"/>
      <c r="J15" s="538"/>
      <c r="K15" s="538"/>
      <c r="L15" s="538"/>
      <c r="M15" s="538"/>
      <c r="N15" s="538"/>
      <c r="O15" s="539"/>
    </row>
    <row r="16" spans="2:15" ht="21" customHeight="1">
      <c r="B16">
        <v>7</v>
      </c>
      <c r="D16" s="503"/>
      <c r="E16" s="50"/>
      <c r="F16" s="534" t="str">
        <f>IF(ROUNDDOWN($F$13,0)=$F$4,$H$4,$G$4)</f>
        <v>　レベル　3</v>
      </c>
      <c r="G16" s="537" t="s">
        <v>2150</v>
      </c>
      <c r="H16" s="538"/>
      <c r="I16" s="538"/>
      <c r="J16" s="538"/>
      <c r="K16" s="538"/>
      <c r="L16" s="538"/>
      <c r="M16" s="538"/>
      <c r="N16" s="538"/>
      <c r="O16" s="539"/>
    </row>
    <row r="17" spans="1:15" ht="21" customHeight="1">
      <c r="B17">
        <v>10</v>
      </c>
      <c r="D17" s="503"/>
      <c r="E17" s="50"/>
      <c r="F17" s="534" t="str">
        <f>IF(ROUNDDOWN($F$13,0)=$F$5,$H$5,$G$5)</f>
        <v>　レベル　4</v>
      </c>
      <c r="G17" s="537" t="s">
        <v>2153</v>
      </c>
      <c r="H17" s="538"/>
      <c r="I17" s="538"/>
      <c r="J17" s="538"/>
      <c r="K17" s="538"/>
      <c r="L17" s="538"/>
      <c r="M17" s="538"/>
      <c r="N17" s="538"/>
      <c r="O17" s="539"/>
    </row>
    <row r="18" spans="1:15" ht="21" customHeight="1">
      <c r="B18">
        <v>13</v>
      </c>
      <c r="D18" s="503"/>
      <c r="E18" s="50"/>
      <c r="F18" s="544" t="str">
        <f>IF(ROUNDDOWN($F$13,0)=$F$6,$H$6,$G$6)</f>
        <v>　レベル　5</v>
      </c>
      <c r="G18" s="548" t="s">
        <v>2154</v>
      </c>
      <c r="H18" s="549"/>
      <c r="I18" s="549"/>
      <c r="J18" s="549"/>
      <c r="K18" s="549"/>
      <c r="L18" s="549"/>
      <c r="M18" s="549"/>
      <c r="N18" s="549"/>
      <c r="O18" s="550"/>
    </row>
    <row r="19" spans="1:15">
      <c r="A19" s="500"/>
      <c r="B19" s="500"/>
      <c r="C19" s="500"/>
      <c r="D19" s="2201"/>
      <c r="E19" s="2202"/>
      <c r="F19" s="839" t="s">
        <v>2938</v>
      </c>
      <c r="G19" s="1941"/>
      <c r="H19" s="1915"/>
      <c r="I19" s="1915"/>
      <c r="J19" s="1916"/>
      <c r="K19" s="2094" t="s">
        <v>3232</v>
      </c>
      <c r="L19" s="1949"/>
      <c r="M19" s="500"/>
      <c r="N19" s="500"/>
      <c r="O19" s="500"/>
    </row>
    <row r="20" spans="1:15">
      <c r="A20" s="500"/>
      <c r="B20" s="500"/>
      <c r="C20" s="500"/>
      <c r="D20" s="500"/>
      <c r="E20" s="500"/>
      <c r="F20" s="1977" t="s">
        <v>2923</v>
      </c>
      <c r="G20" s="3010">
        <f>ROUNDDOWN(H20,2)</f>
        <v>0</v>
      </c>
      <c r="H20" s="2200">
        <f>(M21+M22)/M20</f>
        <v>0</v>
      </c>
      <c r="I20"/>
      <c r="J20" s="1977" t="s">
        <v>3015</v>
      </c>
      <c r="K20" s="1949"/>
      <c r="L20" s="1977" t="s">
        <v>3019</v>
      </c>
      <c r="M20" s="2205">
        <v>42428.2</v>
      </c>
      <c r="N20" s="1977" t="s">
        <v>3022</v>
      </c>
      <c r="O20" s="2204">
        <v>1808.86</v>
      </c>
    </row>
    <row r="21" spans="1:15">
      <c r="A21" s="500"/>
      <c r="B21" s="500"/>
      <c r="C21" s="500"/>
      <c r="D21" s="500"/>
      <c r="E21" s="500"/>
      <c r="F21" s="1977" t="s">
        <v>2924</v>
      </c>
      <c r="G21" s="3010">
        <f>ROUNDDOWN(H21,2)</f>
        <v>0</v>
      </c>
      <c r="H21" s="2200">
        <f>(O21+O22)/メイン!C18</f>
        <v>0</v>
      </c>
      <c r="I21"/>
      <c r="J21"/>
      <c r="K21" s="1949"/>
      <c r="L21" s="1977" t="s">
        <v>3017</v>
      </c>
      <c r="M21" s="2204">
        <v>0</v>
      </c>
      <c r="N21" s="1977" t="s">
        <v>3020</v>
      </c>
      <c r="O21" s="2204">
        <v>0</v>
      </c>
    </row>
    <row r="22" spans="1:15">
      <c r="A22" s="500"/>
      <c r="B22" s="500"/>
      <c r="C22" s="500"/>
      <c r="D22" s="500"/>
      <c r="E22" s="500"/>
      <c r="F22" s="500"/>
      <c r="G22" s="500"/>
      <c r="H22" s="500"/>
      <c r="I22" s="500"/>
      <c r="J22" s="500"/>
      <c r="K22" s="1949"/>
      <c r="L22" s="1977" t="s">
        <v>3018</v>
      </c>
      <c r="M22" s="2204">
        <v>0</v>
      </c>
      <c r="N22" s="1977" t="s">
        <v>3021</v>
      </c>
      <c r="O22" s="2204">
        <v>0</v>
      </c>
    </row>
    <row r="23" spans="1:15">
      <c r="A23" s="500"/>
      <c r="B23" s="500"/>
      <c r="C23" s="500"/>
      <c r="D23" s="2201"/>
      <c r="E23" s="2202"/>
      <c r="F23" s="507" t="s">
        <v>2041</v>
      </c>
      <c r="G23" s="500"/>
      <c r="H23" s="404"/>
      <c r="I23" s="507"/>
      <c r="J23" s="736"/>
      <c r="K23" s="404"/>
      <c r="L23" s="404"/>
      <c r="M23" s="404"/>
      <c r="N23" s="404"/>
      <c r="O23" s="404"/>
    </row>
    <row r="24" spans="1:15" ht="16.5" thickBot="1">
      <c r="B24" t="s">
        <v>3026</v>
      </c>
      <c r="D24" s="503"/>
      <c r="E24" s="50"/>
      <c r="F24" s="404"/>
      <c r="G24" s="1960">
        <f>IF(G41&gt;=B18,5,IF(G41&gt;=B17,4,IF(G41&gt;=B16,3,IF(G41&gt;=B15,2,1))))</f>
        <v>1</v>
      </c>
      <c r="H24" s="3487" t="s">
        <v>1431</v>
      </c>
      <c r="I24" s="3488"/>
      <c r="J24" s="3487" t="s">
        <v>1430</v>
      </c>
      <c r="K24" s="3488"/>
      <c r="L24" s="3488"/>
      <c r="M24" s="3488"/>
      <c r="N24" s="3489"/>
      <c r="O24" s="708" t="s">
        <v>1432</v>
      </c>
    </row>
    <row r="25" spans="1:15" ht="34.5" customHeight="1">
      <c r="B25">
        <v>2</v>
      </c>
      <c r="C25" s="670" t="s">
        <v>183</v>
      </c>
      <c r="D25" s="503"/>
      <c r="E25" s="404"/>
      <c r="F25" s="1927" t="s">
        <v>2856</v>
      </c>
      <c r="G25" s="1986"/>
      <c r="H25" s="3344" t="s">
        <v>2155</v>
      </c>
      <c r="I25" s="3498"/>
      <c r="J25" s="3485" t="s">
        <v>2696</v>
      </c>
      <c r="K25" s="3485"/>
      <c r="L25" s="3485"/>
      <c r="M25" s="3485"/>
      <c r="N25" s="3486"/>
      <c r="O25" s="742">
        <v>2</v>
      </c>
    </row>
    <row r="26" spans="1:15" ht="27" customHeight="1">
      <c r="B26">
        <v>2</v>
      </c>
      <c r="C26" s="670"/>
      <c r="D26" s="503"/>
      <c r="E26" s="404"/>
      <c r="F26" s="1927" t="s">
        <v>2936</v>
      </c>
      <c r="G26" s="1963"/>
      <c r="H26" s="3458" t="s">
        <v>2157</v>
      </c>
      <c r="I26" s="3459"/>
      <c r="J26" s="3328" t="s">
        <v>2697</v>
      </c>
      <c r="K26" s="3345"/>
      <c r="L26" s="3345"/>
      <c r="M26" s="3345"/>
      <c r="N26" s="3372"/>
      <c r="O26" s="743">
        <v>2</v>
      </c>
    </row>
    <row r="27" spans="1:15" ht="15.75">
      <c r="C27" s="670"/>
      <c r="D27" s="503"/>
      <c r="E27" s="404"/>
      <c r="F27" s="1927"/>
      <c r="G27" s="2773"/>
      <c r="H27" s="3510"/>
      <c r="I27" s="3511"/>
      <c r="J27" s="657" t="s">
        <v>3860</v>
      </c>
      <c r="K27" s="744"/>
      <c r="L27" s="744"/>
      <c r="M27" s="744"/>
      <c r="N27" s="745"/>
      <c r="O27" s="2772" t="s">
        <v>3843</v>
      </c>
    </row>
    <row r="28" spans="1:15" ht="15.75">
      <c r="B28">
        <v>3</v>
      </c>
      <c r="D28" s="503"/>
      <c r="E28" s="404"/>
      <c r="F28" s="1927" t="s">
        <v>2858</v>
      </c>
      <c r="G28" s="3463">
        <v>1</v>
      </c>
      <c r="H28" s="3501" t="s">
        <v>168</v>
      </c>
      <c r="I28" s="3502"/>
      <c r="J28" s="3457" t="s">
        <v>4181</v>
      </c>
      <c r="K28" s="3458"/>
      <c r="L28" s="3458"/>
      <c r="M28" s="3458"/>
      <c r="N28" s="3459"/>
      <c r="O28" s="3499" t="s">
        <v>184</v>
      </c>
    </row>
    <row r="29" spans="1:15" ht="61.5" customHeight="1">
      <c r="D29" s="503"/>
      <c r="E29" s="404"/>
      <c r="F29" s="1927"/>
      <c r="G29" s="3507"/>
      <c r="H29" s="3503"/>
      <c r="I29" s="3504"/>
      <c r="J29" s="3473" t="s">
        <v>4180</v>
      </c>
      <c r="K29" s="3474"/>
      <c r="L29" s="3474"/>
      <c r="M29" s="3474"/>
      <c r="N29" s="1974" t="str">
        <f>F20&amp;"＝"&amp;G20*100&amp;"%"</f>
        <v>外構緑化指数＝0%</v>
      </c>
      <c r="O29" s="3500"/>
    </row>
    <row r="30" spans="1:15" ht="15.75">
      <c r="B30">
        <v>2</v>
      </c>
      <c r="D30" s="503"/>
      <c r="E30" s="404"/>
      <c r="F30" s="1927" t="s">
        <v>3027</v>
      </c>
      <c r="G30" s="3463"/>
      <c r="H30" s="3503"/>
      <c r="I30" s="3504"/>
      <c r="J30" s="3457" t="s">
        <v>3023</v>
      </c>
      <c r="K30" s="3458"/>
      <c r="L30" s="3458"/>
      <c r="M30" s="3458"/>
      <c r="N30" s="3459"/>
      <c r="O30" s="3499" t="s">
        <v>185</v>
      </c>
    </row>
    <row r="31" spans="1:15" ht="48" customHeight="1">
      <c r="D31" s="503"/>
      <c r="E31" s="404"/>
      <c r="F31" s="1927"/>
      <c r="G31" s="3508"/>
      <c r="H31" s="3505"/>
      <c r="I31" s="3506"/>
      <c r="J31" s="3454" t="s">
        <v>3024</v>
      </c>
      <c r="K31" s="3455"/>
      <c r="L31" s="3455"/>
      <c r="M31" s="3455"/>
      <c r="N31" s="1974" t="str">
        <f>F21&amp;"＝"&amp;G21*100&amp;"%"</f>
        <v>建物緑化指数＝0%</v>
      </c>
      <c r="O31" s="3509"/>
    </row>
    <row r="32" spans="1:15" ht="27" customHeight="1">
      <c r="B32">
        <v>1</v>
      </c>
      <c r="D32" s="503"/>
      <c r="E32" s="404"/>
      <c r="F32" s="1927" t="s">
        <v>3028</v>
      </c>
      <c r="G32" s="1963"/>
      <c r="H32" s="3458" t="s">
        <v>935</v>
      </c>
      <c r="I32" s="3480"/>
      <c r="J32" s="3328" t="s">
        <v>2728</v>
      </c>
      <c r="K32" s="3345"/>
      <c r="L32" s="3345"/>
      <c r="M32" s="3345"/>
      <c r="N32" s="3372"/>
      <c r="O32" s="743">
        <v>1</v>
      </c>
    </row>
    <row r="33" spans="2:15" ht="27" customHeight="1">
      <c r="B33">
        <v>1</v>
      </c>
      <c r="D33" s="503"/>
      <c r="E33" s="404"/>
      <c r="F33" s="1927" t="s">
        <v>2861</v>
      </c>
      <c r="G33" s="1963">
        <v>1</v>
      </c>
      <c r="H33" s="3481"/>
      <c r="I33" s="3482"/>
      <c r="J33" s="537" t="s">
        <v>2729</v>
      </c>
      <c r="K33" s="627"/>
      <c r="L33" s="627"/>
      <c r="M33" s="627"/>
      <c r="N33" s="626"/>
      <c r="O33" s="743">
        <v>1</v>
      </c>
    </row>
    <row r="34" spans="2:15" ht="27" customHeight="1">
      <c r="B34">
        <v>1</v>
      </c>
      <c r="D34" s="503"/>
      <c r="E34" s="404"/>
      <c r="F34" s="1927" t="s">
        <v>2862</v>
      </c>
      <c r="G34" s="1963">
        <v>1</v>
      </c>
      <c r="H34" s="3496"/>
      <c r="I34" s="3482"/>
      <c r="J34" s="3328" t="s">
        <v>2730</v>
      </c>
      <c r="K34" s="3345"/>
      <c r="L34" s="3345"/>
      <c r="M34" s="3345"/>
      <c r="N34" s="3372"/>
      <c r="O34" s="743">
        <v>1</v>
      </c>
    </row>
    <row r="35" spans="2:15" ht="27" customHeight="1">
      <c r="B35">
        <v>1</v>
      </c>
      <c r="D35" s="503"/>
      <c r="E35" s="404"/>
      <c r="F35" s="1927" t="s">
        <v>2863</v>
      </c>
      <c r="G35" s="1963"/>
      <c r="H35" s="3483"/>
      <c r="I35" s="3484"/>
      <c r="J35" s="3328" t="s">
        <v>2731</v>
      </c>
      <c r="K35" s="3345"/>
      <c r="L35" s="3345"/>
      <c r="M35" s="3345"/>
      <c r="N35" s="3372"/>
      <c r="O35" s="743">
        <v>1</v>
      </c>
    </row>
    <row r="36" spans="2:15" ht="27" customHeight="1">
      <c r="B36">
        <v>1</v>
      </c>
      <c r="D36" s="503"/>
      <c r="E36" s="404"/>
      <c r="F36" s="1927" t="s">
        <v>2864</v>
      </c>
      <c r="G36" s="1963"/>
      <c r="H36" s="3458" t="s">
        <v>936</v>
      </c>
      <c r="I36" s="3480"/>
      <c r="J36" s="3328" t="s">
        <v>2698</v>
      </c>
      <c r="K36" s="3345"/>
      <c r="L36" s="3345"/>
      <c r="M36" s="3345"/>
      <c r="N36" s="3372"/>
      <c r="O36" s="743">
        <v>1</v>
      </c>
    </row>
    <row r="37" spans="2:15" ht="15.75">
      <c r="D37" s="503"/>
      <c r="E37" s="404"/>
      <c r="F37" s="1927"/>
      <c r="G37" s="2774"/>
      <c r="H37" s="3481"/>
      <c r="I37" s="3482"/>
      <c r="J37" s="657" t="s">
        <v>3842</v>
      </c>
      <c r="K37" s="744"/>
      <c r="L37" s="744"/>
      <c r="M37" s="744"/>
      <c r="N37" s="745"/>
      <c r="O37" s="2772" t="s">
        <v>3843</v>
      </c>
    </row>
    <row r="38" spans="2:15" ht="15.75">
      <c r="D38" s="503"/>
      <c r="E38" s="404"/>
      <c r="F38" s="1927"/>
      <c r="G38" s="2773"/>
      <c r="H38" s="3481"/>
      <c r="I38" s="3482"/>
      <c r="J38" s="657" t="s">
        <v>3844</v>
      </c>
      <c r="K38" s="744"/>
      <c r="L38" s="744"/>
      <c r="M38" s="744"/>
      <c r="N38" s="745"/>
      <c r="O38" s="2772" t="s">
        <v>3843</v>
      </c>
    </row>
    <row r="39" spans="2:15" ht="27" customHeight="1">
      <c r="B39">
        <v>1</v>
      </c>
      <c r="D39" s="503"/>
      <c r="E39" s="404"/>
      <c r="F39" s="1927" t="s">
        <v>2893</v>
      </c>
      <c r="G39" s="1963"/>
      <c r="H39" s="3483"/>
      <c r="I39" s="3484"/>
      <c r="J39" s="3328" t="s">
        <v>3845</v>
      </c>
      <c r="K39" s="3345"/>
      <c r="L39" s="3345"/>
      <c r="M39" s="3345"/>
      <c r="N39" s="3372"/>
      <c r="O39" s="743">
        <v>1</v>
      </c>
    </row>
    <row r="40" spans="2:15" ht="27" customHeight="1" thickBot="1">
      <c r="B40">
        <v>1</v>
      </c>
      <c r="D40" s="503"/>
      <c r="E40" s="404"/>
      <c r="F40" s="1927" t="s">
        <v>2894</v>
      </c>
      <c r="G40" s="1964"/>
      <c r="H40" s="3458" t="s">
        <v>2317</v>
      </c>
      <c r="I40" s="3459"/>
      <c r="J40" s="3457" t="s">
        <v>3235</v>
      </c>
      <c r="K40" s="3458"/>
      <c r="L40" s="3458"/>
      <c r="M40" s="3458"/>
      <c r="N40" s="3459"/>
      <c r="O40" s="1989">
        <v>1</v>
      </c>
    </row>
    <row r="41" spans="2:15" ht="21" customHeight="1">
      <c r="D41" s="503"/>
      <c r="E41" s="404"/>
      <c r="F41" s="1927" t="s">
        <v>3016</v>
      </c>
      <c r="G41" s="1958">
        <f>SUM(G25:G40)</f>
        <v>3</v>
      </c>
      <c r="H41" s="1440" t="s">
        <v>2693</v>
      </c>
      <c r="I41" s="705"/>
      <c r="J41" s="705"/>
      <c r="K41" s="706"/>
      <c r="L41" s="705"/>
      <c r="M41" s="706"/>
      <c r="N41" s="705"/>
      <c r="O41" s="2203">
        <f>SUM(B25:B40)</f>
        <v>16</v>
      </c>
    </row>
    <row r="42" spans="2:15" ht="14.25" customHeight="1"/>
    <row r="43" spans="2:15" ht="14.25" customHeight="1">
      <c r="D43" s="503">
        <v>2</v>
      </c>
      <c r="E43" s="508" t="s">
        <v>186</v>
      </c>
      <c r="F43" s="509"/>
    </row>
    <row r="44" spans="2:15" ht="15" thickBot="1">
      <c r="D44" s="1388"/>
      <c r="E44" s="509"/>
      <c r="F44" s="515"/>
      <c r="G44" s="516"/>
      <c r="H44" s="516" t="s">
        <v>1126</v>
      </c>
      <c r="I44" s="614"/>
      <c r="J44" s="1608">
        <f>重み!M116</f>
        <v>0.4</v>
      </c>
      <c r="K44" s="517"/>
      <c r="L44" s="517"/>
      <c r="M44" s="517"/>
      <c r="N44" s="517"/>
      <c r="O44" s="606"/>
    </row>
    <row r="45" spans="2:15" ht="27" customHeight="1" thickBot="1">
      <c r="B45" t="s">
        <v>3029</v>
      </c>
      <c r="D45" s="503"/>
      <c r="E45" s="508"/>
      <c r="F45" s="1777">
        <f>G54</f>
        <v>2</v>
      </c>
      <c r="G45" s="526" t="s">
        <v>407</v>
      </c>
      <c r="H45" s="527"/>
      <c r="I45" s="527"/>
      <c r="J45" s="527"/>
      <c r="K45" s="527"/>
      <c r="L45" s="527"/>
      <c r="M45" s="527"/>
      <c r="N45" s="527"/>
      <c r="O45" s="528"/>
    </row>
    <row r="46" spans="2:15" ht="21" customHeight="1">
      <c r="B46">
        <v>0</v>
      </c>
      <c r="D46" s="503"/>
      <c r="E46" s="50"/>
      <c r="F46" s="534" t="str">
        <f>IF(ROUNDDOWN($F$45,0)=$F$2,$H$2,$G$2)</f>
        <v>　レベル　1</v>
      </c>
      <c r="G46" s="1263" t="s">
        <v>187</v>
      </c>
      <c r="H46" s="720"/>
      <c r="I46" s="720"/>
      <c r="J46" s="720"/>
      <c r="K46" s="720"/>
      <c r="L46" s="720"/>
      <c r="M46" s="720"/>
      <c r="N46" s="720"/>
      <c r="O46" s="1559"/>
    </row>
    <row r="47" spans="2:15" ht="21" customHeight="1">
      <c r="B47">
        <v>1</v>
      </c>
      <c r="D47" s="503"/>
      <c r="E47" s="50"/>
      <c r="F47" s="534" t="str">
        <f>IF(ROUNDDOWN($F$45,0)=$F$3,$H$3,$G$3)</f>
        <v>■レベル　2</v>
      </c>
      <c r="G47" s="662" t="s">
        <v>1966</v>
      </c>
      <c r="H47" s="647"/>
      <c r="I47" s="647"/>
      <c r="J47" s="647"/>
      <c r="K47" s="647"/>
      <c r="L47" s="647"/>
      <c r="M47" s="647"/>
      <c r="N47" s="647"/>
      <c r="O47" s="543"/>
    </row>
    <row r="48" spans="2:15" ht="21" customHeight="1">
      <c r="B48">
        <v>3</v>
      </c>
      <c r="D48" s="503"/>
      <c r="E48" s="50"/>
      <c r="F48" s="534" t="str">
        <f>IF(ROUNDDOWN($F$45,0)=$F$4,$H$4,$G$4)</f>
        <v>　レベル　3</v>
      </c>
      <c r="G48" s="662" t="s">
        <v>288</v>
      </c>
      <c r="H48" s="647"/>
      <c r="I48" s="647"/>
      <c r="J48" s="647"/>
      <c r="K48" s="647"/>
      <c r="L48" s="647"/>
      <c r="M48" s="647"/>
      <c r="N48" s="647"/>
      <c r="O48" s="543"/>
    </row>
    <row r="49" spans="2:15" ht="21" customHeight="1">
      <c r="B49">
        <v>4</v>
      </c>
      <c r="D49" s="503"/>
      <c r="E49" s="50"/>
      <c r="F49" s="534" t="str">
        <f>IF(ROUNDDOWN($F$45,0)=$F$5,$H$5,$G$5)</f>
        <v>　レベル　4</v>
      </c>
      <c r="G49" s="662" t="s">
        <v>188</v>
      </c>
      <c r="H49" s="647"/>
      <c r="I49" s="647"/>
      <c r="J49" s="647"/>
      <c r="K49" s="647"/>
      <c r="L49" s="647"/>
      <c r="M49" s="647"/>
      <c r="N49" s="647"/>
      <c r="O49" s="543"/>
    </row>
    <row r="50" spans="2:15" ht="21" customHeight="1">
      <c r="B50">
        <v>5</v>
      </c>
      <c r="D50" s="503"/>
      <c r="E50" s="50"/>
      <c r="F50" s="544" t="str">
        <f>IF(ROUNDDOWN($F$45,0)=$F$6,$H$6,$G$6)</f>
        <v>　レベル　5</v>
      </c>
      <c r="G50" s="810" t="s">
        <v>189</v>
      </c>
      <c r="H50" s="642"/>
      <c r="I50" s="642"/>
      <c r="J50" s="642"/>
      <c r="K50" s="642"/>
      <c r="L50" s="642"/>
      <c r="M50" s="642"/>
      <c r="N50" s="642"/>
      <c r="O50" s="547"/>
    </row>
    <row r="51" spans="2:15" ht="15.75">
      <c r="D51" s="503"/>
      <c r="E51" s="50"/>
      <c r="F51" s="839" t="s">
        <v>2938</v>
      </c>
      <c r="G51" s="1941"/>
      <c r="H51" s="1917"/>
      <c r="I51" s="1915"/>
      <c r="J51" s="1916"/>
      <c r="K51" s="1949" t="s">
        <v>3233</v>
      </c>
      <c r="L51"/>
      <c r="M51" s="1918"/>
      <c r="N51"/>
      <c r="O51"/>
    </row>
    <row r="52" spans="2:15" ht="39.75" customHeight="1">
      <c r="D52" s="503"/>
      <c r="E52" s="51"/>
      <c r="F52" s="51"/>
      <c r="G52" s="3521" t="s">
        <v>3030</v>
      </c>
      <c r="H52" s="3522"/>
      <c r="I52" s="3522"/>
      <c r="J52" s="3522"/>
      <c r="K52" s="3522"/>
      <c r="L52" s="3522"/>
      <c r="M52" s="3522"/>
      <c r="N52" s="3522"/>
      <c r="O52" s="3522"/>
    </row>
    <row r="53" spans="2:15" ht="15.75">
      <c r="D53" s="503"/>
      <c r="E53" s="51"/>
      <c r="F53" s="507" t="s">
        <v>2041</v>
      </c>
      <c r="G53"/>
      <c r="H53"/>
      <c r="I53"/>
      <c r="J53"/>
      <c r="K53"/>
      <c r="L53"/>
      <c r="M53"/>
      <c r="N53"/>
      <c r="O53"/>
    </row>
    <row r="54" spans="2:15" ht="25.5" customHeight="1" thickBot="1">
      <c r="B54" t="s">
        <v>3026</v>
      </c>
      <c r="D54" s="503"/>
      <c r="E54" s="50"/>
      <c r="G54" s="1960">
        <f>IF(G61&gt;=B50,5,IF(G61&gt;=B49,4,IF(G61&gt;=B48,3,IF(G61&gt;=B47,2,1))))</f>
        <v>2</v>
      </c>
      <c r="H54" s="3487" t="s">
        <v>1431</v>
      </c>
      <c r="I54" s="3488"/>
      <c r="J54" s="3487" t="s">
        <v>1430</v>
      </c>
      <c r="K54" s="3488"/>
      <c r="L54" s="3488"/>
      <c r="M54" s="3488"/>
      <c r="N54" s="3489"/>
      <c r="O54" s="708" t="s">
        <v>1432</v>
      </c>
    </row>
    <row r="55" spans="2:15" ht="39.75" customHeight="1">
      <c r="B55">
        <v>2</v>
      </c>
      <c r="D55" s="503"/>
      <c r="E55" s="404"/>
      <c r="F55" s="1927" t="s">
        <v>2856</v>
      </c>
      <c r="G55" s="1961"/>
      <c r="H55" s="3433" t="s">
        <v>289</v>
      </c>
      <c r="I55" s="3498"/>
      <c r="J55" s="3485" t="s">
        <v>290</v>
      </c>
      <c r="K55" s="3485"/>
      <c r="L55" s="3485"/>
      <c r="M55" s="3485"/>
      <c r="N55" s="3486"/>
      <c r="O55" s="742">
        <v>2</v>
      </c>
    </row>
    <row r="56" spans="2:15" ht="25.5" customHeight="1">
      <c r="B56">
        <v>1</v>
      </c>
      <c r="D56" s="503"/>
      <c r="E56" s="404"/>
      <c r="F56" s="1927" t="s">
        <v>2936</v>
      </c>
      <c r="G56" s="1963">
        <v>1</v>
      </c>
      <c r="H56" s="3436" t="s">
        <v>190</v>
      </c>
      <c r="I56" s="3495"/>
      <c r="J56" s="662" t="s">
        <v>1967</v>
      </c>
      <c r="K56" s="647"/>
      <c r="L56" s="647"/>
      <c r="M56" s="647"/>
      <c r="N56" s="543"/>
      <c r="O56" s="743">
        <v>1</v>
      </c>
    </row>
    <row r="57" spans="2:15" ht="39.75" customHeight="1">
      <c r="B57">
        <v>1</v>
      </c>
      <c r="D57" s="503"/>
      <c r="E57" s="404"/>
      <c r="F57" s="1927" t="s">
        <v>2858</v>
      </c>
      <c r="G57" s="1963"/>
      <c r="H57" s="3436" t="s">
        <v>1968</v>
      </c>
      <c r="I57" s="3495"/>
      <c r="J57" s="3328" t="s">
        <v>94</v>
      </c>
      <c r="K57" s="3345"/>
      <c r="L57" s="3345"/>
      <c r="M57" s="3345"/>
      <c r="N57" s="3372"/>
      <c r="O57" s="748">
        <v>1</v>
      </c>
    </row>
    <row r="58" spans="2:15" ht="25.5" customHeight="1">
      <c r="B58">
        <v>1</v>
      </c>
      <c r="D58" s="503"/>
      <c r="E58" s="404"/>
      <c r="F58" s="1927" t="s">
        <v>2859</v>
      </c>
      <c r="G58" s="1963"/>
      <c r="H58" s="3436" t="s">
        <v>191</v>
      </c>
      <c r="I58" s="3495"/>
      <c r="J58" s="662" t="s">
        <v>95</v>
      </c>
      <c r="K58" s="647"/>
      <c r="L58" s="647"/>
      <c r="M58" s="647"/>
      <c r="N58" s="543"/>
      <c r="O58" s="748">
        <v>1</v>
      </c>
    </row>
    <row r="59" spans="2:15" ht="39.75" customHeight="1">
      <c r="B59">
        <v>1</v>
      </c>
      <c r="D59" s="503"/>
      <c r="E59" s="404"/>
      <c r="F59" s="1927" t="s">
        <v>2860</v>
      </c>
      <c r="G59" s="1963"/>
      <c r="H59" s="3436" t="s">
        <v>192</v>
      </c>
      <c r="I59" s="3497"/>
      <c r="J59" s="3328" t="s">
        <v>96</v>
      </c>
      <c r="K59" s="3345"/>
      <c r="L59" s="3345"/>
      <c r="M59" s="3345"/>
      <c r="N59" s="3372"/>
      <c r="O59" s="748">
        <v>1</v>
      </c>
    </row>
    <row r="60" spans="2:15" ht="25.5" customHeight="1" thickBot="1">
      <c r="B60">
        <v>1</v>
      </c>
      <c r="D60" s="503"/>
      <c r="E60" s="404"/>
      <c r="F60" s="1927" t="s">
        <v>2861</v>
      </c>
      <c r="G60" s="1962"/>
      <c r="H60" s="3523" t="s">
        <v>3067</v>
      </c>
      <c r="I60" s="3524"/>
      <c r="J60" s="657" t="s">
        <v>3235</v>
      </c>
      <c r="K60" s="744"/>
      <c r="L60" s="744"/>
      <c r="M60" s="744"/>
      <c r="N60" s="745"/>
      <c r="O60" s="1988">
        <v>1</v>
      </c>
    </row>
    <row r="61" spans="2:15" ht="21" customHeight="1">
      <c r="D61" s="503"/>
      <c r="E61" s="404"/>
      <c r="F61" s="1927" t="s">
        <v>3016</v>
      </c>
      <c r="G61" s="1958">
        <f>SUM(G55:G60)</f>
        <v>1</v>
      </c>
      <c r="H61" s="1440" t="s">
        <v>2693</v>
      </c>
      <c r="I61" s="705"/>
      <c r="J61" s="705"/>
      <c r="K61" s="706"/>
      <c r="L61" s="705"/>
      <c r="M61" s="706"/>
      <c r="N61" s="705"/>
      <c r="O61" s="2203">
        <f>SUM(B55:B60)</f>
        <v>7</v>
      </c>
    </row>
    <row r="62" spans="2:15" ht="15.75">
      <c r="D62" s="503"/>
      <c r="E62" s="63"/>
      <c r="F62" s="628"/>
      <c r="G62" s="664"/>
      <c r="H62" s="664"/>
      <c r="I62" s="664"/>
      <c r="J62" s="664"/>
      <c r="K62" s="664"/>
      <c r="L62" s="664"/>
      <c r="M62" s="664"/>
      <c r="N62" s="664"/>
      <c r="O62" s="664"/>
    </row>
    <row r="63" spans="2:15" ht="15.75">
      <c r="D63" s="1389">
        <v>3</v>
      </c>
      <c r="E63" s="508" t="s">
        <v>193</v>
      </c>
      <c r="F63" s="508"/>
      <c r="G63" s="509"/>
      <c r="H63" s="509"/>
      <c r="I63" s="749"/>
      <c r="J63" s="509"/>
      <c r="K63" s="509"/>
      <c r="L63" s="509"/>
      <c r="M63" s="509"/>
      <c r="N63" s="509"/>
      <c r="O63" s="509"/>
    </row>
    <row r="64" spans="2:15" ht="15.75">
      <c r="D64" s="503">
        <v>3.1</v>
      </c>
      <c r="E64" s="508" t="s">
        <v>194</v>
      </c>
      <c r="F64" s="509"/>
      <c r="G64" s="509"/>
      <c r="H64" s="509"/>
      <c r="I64" s="749"/>
      <c r="J64" s="509"/>
      <c r="K64" s="509"/>
      <c r="L64" s="509"/>
      <c r="M64" s="509"/>
      <c r="N64" s="509"/>
      <c r="O64" s="509"/>
    </row>
    <row r="65" spans="2:15" ht="15" thickBot="1">
      <c r="D65" s="1388"/>
      <c r="E65" s="509"/>
      <c r="F65" s="515"/>
      <c r="G65" s="516"/>
      <c r="H65" s="516" t="s">
        <v>1126</v>
      </c>
      <c r="I65" s="614"/>
      <c r="J65" s="1608">
        <f>重み!M118</f>
        <v>0.5</v>
      </c>
      <c r="K65" s="517"/>
      <c r="L65" s="517"/>
      <c r="M65" s="517"/>
      <c r="N65" s="517"/>
      <c r="O65" s="606"/>
    </row>
    <row r="66" spans="2:15" ht="27" customHeight="1" thickBot="1">
      <c r="B66" t="s">
        <v>3029</v>
      </c>
      <c r="C66" s="670" t="s">
        <v>3031</v>
      </c>
      <c r="D66" s="503"/>
      <c r="E66" s="50"/>
      <c r="F66" s="1777">
        <f>G74</f>
        <v>2</v>
      </c>
      <c r="G66" s="526" t="s">
        <v>407</v>
      </c>
      <c r="H66" s="527"/>
      <c r="I66" s="527"/>
      <c r="J66" s="527"/>
      <c r="K66" s="527"/>
      <c r="L66" s="527"/>
      <c r="M66" s="527"/>
      <c r="N66" s="527"/>
      <c r="O66" s="528"/>
    </row>
    <row r="67" spans="2:15" ht="21" customHeight="1">
      <c r="B67">
        <v>0</v>
      </c>
      <c r="D67" s="503"/>
      <c r="E67" s="50"/>
      <c r="F67" s="529" t="str">
        <f>IF(ROUNDDOWN($F$66,0)=$F$2,$H$2,$G$2)</f>
        <v>　レベル　1</v>
      </c>
      <c r="G67" s="531" t="s">
        <v>195</v>
      </c>
      <c r="H67" s="532"/>
      <c r="I67" s="532"/>
      <c r="J67" s="532"/>
      <c r="K67" s="532"/>
      <c r="L67" s="532"/>
      <c r="M67" s="532"/>
      <c r="N67" s="532"/>
      <c r="O67" s="533"/>
    </row>
    <row r="68" spans="2:15" ht="21" customHeight="1">
      <c r="B68">
        <v>1</v>
      </c>
      <c r="D68" s="503"/>
      <c r="E68" s="50"/>
      <c r="F68" s="534" t="str">
        <f>IF(ROUNDDOWN($F$66,0)=$F$3,$H$3,$G$3)</f>
        <v>■レベル　2</v>
      </c>
      <c r="G68" s="537" t="s">
        <v>196</v>
      </c>
      <c r="H68" s="538"/>
      <c r="I68" s="538"/>
      <c r="J68" s="538"/>
      <c r="K68" s="538"/>
      <c r="L68" s="538"/>
      <c r="M68" s="538"/>
      <c r="N68" s="538"/>
      <c r="O68" s="539"/>
    </row>
    <row r="69" spans="2:15" ht="21" customHeight="1">
      <c r="B69">
        <v>2</v>
      </c>
      <c r="D69" s="503"/>
      <c r="E69" s="50"/>
      <c r="F69" s="534" t="str">
        <f>IF(ROUNDDOWN($F$66,0)=$F$4,$H$4,$G$4)</f>
        <v>　レベル　3</v>
      </c>
      <c r="G69" s="537" t="s">
        <v>876</v>
      </c>
      <c r="H69" s="538"/>
      <c r="I69" s="538"/>
      <c r="J69" s="538"/>
      <c r="K69" s="538"/>
      <c r="L69" s="538"/>
      <c r="M69" s="538"/>
      <c r="N69" s="538"/>
      <c r="O69" s="539"/>
    </row>
    <row r="70" spans="2:15" ht="21" customHeight="1">
      <c r="B70">
        <v>4</v>
      </c>
      <c r="D70" s="503"/>
      <c r="E70" s="50"/>
      <c r="F70" s="534" t="str">
        <f>IF(ROUNDDOWN($F$66,0)=$F$5,$H$5,$G$5)</f>
        <v>　レベル　4</v>
      </c>
      <c r="G70" s="537" t="s">
        <v>877</v>
      </c>
      <c r="H70" s="538"/>
      <c r="I70" s="538"/>
      <c r="J70" s="538"/>
      <c r="K70" s="538"/>
      <c r="L70" s="538"/>
      <c r="M70" s="538"/>
      <c r="N70" s="538"/>
      <c r="O70" s="539"/>
    </row>
    <row r="71" spans="2:15" ht="21" customHeight="1">
      <c r="B71">
        <v>5</v>
      </c>
      <c r="D71" s="503"/>
      <c r="E71" s="50"/>
      <c r="F71" s="544" t="str">
        <f>IF(ROUNDDOWN($F$66,0)=$F$6,$H$6,$G$6)</f>
        <v>　レベル　5</v>
      </c>
      <c r="G71" s="548" t="s">
        <v>878</v>
      </c>
      <c r="H71" s="549"/>
      <c r="I71" s="549"/>
      <c r="J71" s="549"/>
      <c r="K71" s="549"/>
      <c r="L71" s="549"/>
      <c r="M71" s="549"/>
      <c r="N71" s="549"/>
      <c r="O71" s="550"/>
    </row>
    <row r="72" spans="2:15" ht="15.75">
      <c r="D72" s="503"/>
      <c r="E72" s="50"/>
      <c r="F72" s="839" t="s">
        <v>2938</v>
      </c>
      <c r="G72" s="1941"/>
      <c r="H72" s="1915"/>
      <c r="I72" s="1915"/>
      <c r="J72" s="1916"/>
      <c r="K72" s="2094" t="s">
        <v>3232</v>
      </c>
      <c r="L72"/>
      <c r="M72"/>
      <c r="N72"/>
      <c r="O72"/>
    </row>
    <row r="73" spans="2:15" ht="15.75">
      <c r="D73" s="503"/>
      <c r="E73" s="50"/>
      <c r="F73" s="507" t="s">
        <v>2041</v>
      </c>
      <c r="H73" s="404"/>
      <c r="I73" s="741"/>
      <c r="J73" s="736"/>
      <c r="K73" s="404"/>
      <c r="L73" s="404"/>
      <c r="M73" s="404"/>
      <c r="N73" s="404"/>
      <c r="O73" s="404"/>
    </row>
    <row r="74" spans="2:15" ht="28.5" customHeight="1" thickBot="1">
      <c r="B74" t="s">
        <v>3026</v>
      </c>
      <c r="D74" s="503"/>
      <c r="E74" s="50"/>
      <c r="F74" s="404"/>
      <c r="G74" s="1960">
        <f>IF(G96&gt;=B71,5,IF(G96&gt;=B70,4,IF(G96&gt;=B69,3,IF(G96&gt;=B68,2,1))))</f>
        <v>2</v>
      </c>
      <c r="H74" s="3487" t="s">
        <v>1431</v>
      </c>
      <c r="I74" s="3488"/>
      <c r="J74" s="3487" t="s">
        <v>1430</v>
      </c>
      <c r="K74" s="3488"/>
      <c r="L74" s="3488"/>
      <c r="M74" s="3488"/>
      <c r="N74" s="3489"/>
      <c r="O74" s="708" t="s">
        <v>1432</v>
      </c>
    </row>
    <row r="75" spans="2:15" ht="15.75">
      <c r="B75">
        <v>1</v>
      </c>
      <c r="D75" s="503"/>
      <c r="E75" s="404"/>
      <c r="F75" s="1927" t="s">
        <v>2856</v>
      </c>
      <c r="G75" s="3471"/>
      <c r="H75" s="3490" t="s">
        <v>2732</v>
      </c>
      <c r="I75" s="3491"/>
      <c r="J75" s="3400" t="s">
        <v>3057</v>
      </c>
      <c r="K75" s="3494"/>
      <c r="L75" s="3494"/>
      <c r="M75" s="3494"/>
      <c r="N75" s="3401"/>
      <c r="O75" s="3468">
        <v>1</v>
      </c>
    </row>
    <row r="76" spans="2:15" ht="27" customHeight="1">
      <c r="D76" s="503"/>
      <c r="E76" s="404"/>
      <c r="F76" s="1927"/>
      <c r="G76" s="3465"/>
      <c r="H76" s="3492"/>
      <c r="I76" s="3482"/>
      <c r="J76" s="3454" t="s">
        <v>3054</v>
      </c>
      <c r="K76" s="3455"/>
      <c r="L76" s="3455"/>
      <c r="M76" s="3455"/>
      <c r="N76" s="3456"/>
      <c r="O76" s="3469"/>
    </row>
    <row r="77" spans="2:15" ht="15.75">
      <c r="B77">
        <v>1</v>
      </c>
      <c r="D77" s="503"/>
      <c r="E77" s="404"/>
      <c r="F77" s="1927" t="s">
        <v>2936</v>
      </c>
      <c r="G77" s="3463"/>
      <c r="H77" s="3492"/>
      <c r="I77" s="3482"/>
      <c r="J77" s="1987" t="s">
        <v>3055</v>
      </c>
      <c r="K77" s="1938"/>
      <c r="L77" s="1938"/>
      <c r="M77" s="1938"/>
      <c r="N77" s="1939"/>
      <c r="O77" s="3470">
        <v>1</v>
      </c>
    </row>
    <row r="78" spans="2:15" ht="33.75" customHeight="1">
      <c r="D78" s="503"/>
      <c r="E78" s="404"/>
      <c r="G78" s="3465"/>
      <c r="H78" s="3493"/>
      <c r="I78" s="3484"/>
      <c r="J78" s="3473" t="s">
        <v>3056</v>
      </c>
      <c r="K78" s="3474"/>
      <c r="L78" s="3474"/>
      <c r="M78" s="3474"/>
      <c r="N78" s="3477"/>
      <c r="O78" s="3469"/>
    </row>
    <row r="79" spans="2:15" ht="15.75" customHeight="1">
      <c r="B79">
        <v>1</v>
      </c>
      <c r="D79" s="503"/>
      <c r="E79" s="404"/>
      <c r="F79" s="1927" t="s">
        <v>2858</v>
      </c>
      <c r="G79" s="3463"/>
      <c r="H79" s="3514" t="s">
        <v>2733</v>
      </c>
      <c r="I79" s="3528"/>
      <c r="J79" s="3457" t="s">
        <v>548</v>
      </c>
      <c r="K79" s="3458"/>
      <c r="L79" s="3458"/>
      <c r="M79" s="3458"/>
      <c r="N79" s="3459"/>
      <c r="O79" s="3470">
        <v>1</v>
      </c>
    </row>
    <row r="80" spans="2:15" ht="42.75" customHeight="1">
      <c r="D80" s="503"/>
      <c r="E80" s="404"/>
      <c r="F80" s="404"/>
      <c r="G80" s="3513"/>
      <c r="H80" s="3492"/>
      <c r="I80" s="3529"/>
      <c r="J80" s="3473" t="s">
        <v>549</v>
      </c>
      <c r="K80" s="3474"/>
      <c r="L80" s="3474"/>
      <c r="M80" s="3474"/>
      <c r="N80" s="3477"/>
      <c r="O80" s="3519"/>
    </row>
    <row r="81" spans="2:15" ht="31.5" customHeight="1">
      <c r="D81" s="503"/>
      <c r="E81" s="404"/>
      <c r="F81" s="404"/>
      <c r="G81" s="3465"/>
      <c r="H81" s="3492"/>
      <c r="I81" s="3529"/>
      <c r="J81" s="3454" t="s">
        <v>550</v>
      </c>
      <c r="K81" s="3455"/>
      <c r="L81" s="3455"/>
      <c r="M81" s="3455"/>
      <c r="N81" s="3456"/>
      <c r="O81" s="3469"/>
    </row>
    <row r="82" spans="2:15" ht="15.75">
      <c r="B82">
        <v>1</v>
      </c>
      <c r="D82" s="503"/>
      <c r="E82" s="404"/>
      <c r="F82" s="1927" t="s">
        <v>2859</v>
      </c>
      <c r="G82" s="3463"/>
      <c r="H82" s="3492"/>
      <c r="I82" s="3529"/>
      <c r="J82" s="657" t="s">
        <v>3066</v>
      </c>
      <c r="K82" s="1990"/>
      <c r="L82" s="1990"/>
      <c r="M82" s="1990"/>
      <c r="N82" s="1991"/>
      <c r="O82" s="3470">
        <v>1</v>
      </c>
    </row>
    <row r="83" spans="2:15" ht="40.5" customHeight="1">
      <c r="G83" s="3465"/>
      <c r="H83" s="3492"/>
      <c r="I83" s="3529"/>
      <c r="J83" s="3454" t="s">
        <v>3065</v>
      </c>
      <c r="K83" s="3455"/>
      <c r="L83" s="3455"/>
      <c r="M83" s="3455"/>
      <c r="N83" s="3456"/>
      <c r="O83" s="3469"/>
    </row>
    <row r="84" spans="2:15" ht="15.75">
      <c r="B84">
        <v>1</v>
      </c>
      <c r="D84" s="503"/>
      <c r="E84" s="404"/>
      <c r="F84" s="1927" t="s">
        <v>2860</v>
      </c>
      <c r="G84" s="3463"/>
      <c r="H84" s="3514" t="s">
        <v>2734</v>
      </c>
      <c r="I84" s="3515"/>
      <c r="J84" s="3457" t="s">
        <v>551</v>
      </c>
      <c r="K84" s="3458"/>
      <c r="L84" s="3458"/>
      <c r="M84" s="3458"/>
      <c r="N84" s="3459"/>
      <c r="O84" s="3470">
        <v>1</v>
      </c>
    </row>
    <row r="85" spans="2:15" ht="48.75" customHeight="1">
      <c r="D85" s="503"/>
      <c r="E85" s="404"/>
      <c r="G85" s="3513"/>
      <c r="H85" s="3492"/>
      <c r="I85" s="3516"/>
      <c r="J85" s="3473" t="s">
        <v>980</v>
      </c>
      <c r="K85" s="3474"/>
      <c r="L85" s="3474"/>
      <c r="M85" s="3474"/>
      <c r="N85" s="3477"/>
      <c r="O85" s="3519"/>
    </row>
    <row r="86" spans="2:15" ht="40.5" customHeight="1">
      <c r="D86" s="503"/>
      <c r="E86" s="404"/>
      <c r="F86" s="1927"/>
      <c r="G86" s="3465"/>
      <c r="H86" s="3517"/>
      <c r="I86" s="3518"/>
      <c r="J86" s="3454" t="s">
        <v>981</v>
      </c>
      <c r="K86" s="3455"/>
      <c r="L86" s="3455"/>
      <c r="M86" s="3455"/>
      <c r="N86" s="3456"/>
      <c r="O86" s="3469"/>
    </row>
    <row r="87" spans="2:15" ht="15.75">
      <c r="B87">
        <v>1</v>
      </c>
      <c r="D87" s="503"/>
      <c r="E87" s="404"/>
      <c r="F87" s="1927" t="s">
        <v>2861</v>
      </c>
      <c r="G87" s="3463">
        <v>1</v>
      </c>
      <c r="H87" s="3514" t="s">
        <v>1747</v>
      </c>
      <c r="I87" s="3515"/>
      <c r="J87" s="3457" t="s">
        <v>982</v>
      </c>
      <c r="K87" s="3458"/>
      <c r="L87" s="3458"/>
      <c r="M87" s="3458"/>
      <c r="N87" s="3459"/>
      <c r="O87" s="3525">
        <v>1</v>
      </c>
    </row>
    <row r="88" spans="2:15" ht="48" customHeight="1">
      <c r="D88" s="503"/>
      <c r="E88" s="404"/>
      <c r="F88" s="1927"/>
      <c r="G88" s="3513"/>
      <c r="H88" s="3492"/>
      <c r="I88" s="3516"/>
      <c r="J88" s="3473" t="s">
        <v>983</v>
      </c>
      <c r="K88" s="3474"/>
      <c r="L88" s="3474"/>
      <c r="M88" s="3474"/>
      <c r="N88" s="3477"/>
      <c r="O88" s="3526"/>
    </row>
    <row r="89" spans="2:15" ht="38.25" customHeight="1">
      <c r="D89" s="503"/>
      <c r="E89" s="404"/>
      <c r="F89" s="1927"/>
      <c r="G89" s="3513"/>
      <c r="H89" s="3492"/>
      <c r="I89" s="3516"/>
      <c r="J89" s="3473" t="s">
        <v>984</v>
      </c>
      <c r="K89" s="3474"/>
      <c r="L89" s="3474"/>
      <c r="M89" s="3474"/>
      <c r="N89" s="3477"/>
      <c r="O89" s="3526"/>
    </row>
    <row r="90" spans="2:15" ht="39.75" customHeight="1">
      <c r="D90" s="503"/>
      <c r="E90" s="404"/>
      <c r="F90" s="1927"/>
      <c r="G90" s="3513"/>
      <c r="H90" s="3517"/>
      <c r="I90" s="3518"/>
      <c r="J90" s="3454" t="s">
        <v>985</v>
      </c>
      <c r="K90" s="3455"/>
      <c r="L90" s="3455"/>
      <c r="M90" s="3455"/>
      <c r="N90" s="3456"/>
      <c r="O90" s="3527"/>
    </row>
    <row r="91" spans="2:15" ht="15.75" hidden="1" customHeight="1">
      <c r="B91" s="670" t="s">
        <v>1748</v>
      </c>
      <c r="D91" s="503"/>
      <c r="E91" s="404"/>
      <c r="F91" s="1927"/>
      <c r="G91" s="1963">
        <v>0</v>
      </c>
      <c r="H91" s="3475" t="s">
        <v>1749</v>
      </c>
      <c r="I91" s="3476"/>
      <c r="J91" s="3328" t="s">
        <v>1750</v>
      </c>
      <c r="K91" s="3345"/>
      <c r="L91" s="3345"/>
      <c r="M91" s="3345"/>
      <c r="N91" s="3372"/>
      <c r="O91" s="751">
        <v>1</v>
      </c>
    </row>
    <row r="92" spans="2:15" ht="15.75">
      <c r="B92">
        <v>1</v>
      </c>
      <c r="D92" s="503"/>
      <c r="E92" s="404"/>
      <c r="F92" s="1927" t="s">
        <v>3033</v>
      </c>
      <c r="G92" s="3463"/>
      <c r="H92" s="3514" t="s">
        <v>1751</v>
      </c>
      <c r="I92" s="3515"/>
      <c r="J92" s="3457" t="s">
        <v>3052</v>
      </c>
      <c r="K92" s="3458"/>
      <c r="L92" s="3458"/>
      <c r="M92" s="3458"/>
      <c r="N92" s="3459"/>
      <c r="O92" s="3466">
        <v>1</v>
      </c>
    </row>
    <row r="93" spans="2:15" ht="61.5" customHeight="1">
      <c r="D93" s="503"/>
      <c r="E93" s="404"/>
      <c r="F93" s="1927"/>
      <c r="G93" s="3465"/>
      <c r="H93" s="3517"/>
      <c r="I93" s="3518"/>
      <c r="J93" s="3454" t="s">
        <v>3053</v>
      </c>
      <c r="K93" s="3455"/>
      <c r="L93" s="3455"/>
      <c r="M93" s="3455"/>
      <c r="N93" s="3456"/>
      <c r="O93" s="3467"/>
    </row>
    <row r="94" spans="2:15" ht="25.5" customHeight="1">
      <c r="D94" s="503"/>
      <c r="E94" s="404"/>
      <c r="F94" s="1927"/>
      <c r="G94" s="2774"/>
      <c r="H94" s="3475" t="s">
        <v>3846</v>
      </c>
      <c r="I94" s="3520"/>
      <c r="J94" s="537" t="s">
        <v>3847</v>
      </c>
      <c r="K94" s="627"/>
      <c r="L94" s="627"/>
      <c r="M94" s="627"/>
      <c r="N94" s="626"/>
      <c r="O94" s="2775" t="s">
        <v>3843</v>
      </c>
    </row>
    <row r="95" spans="2:15" ht="21.75" customHeight="1" thickBot="1">
      <c r="B95">
        <v>1</v>
      </c>
      <c r="D95" s="503"/>
      <c r="E95" s="404"/>
      <c r="F95" s="1927" t="s">
        <v>3032</v>
      </c>
      <c r="G95" s="1962"/>
      <c r="H95" s="3478" t="s">
        <v>3848</v>
      </c>
      <c r="I95" s="3479"/>
      <c r="J95" s="3402" t="s">
        <v>3236</v>
      </c>
      <c r="K95" s="3512"/>
      <c r="L95" s="3512"/>
      <c r="M95" s="3512"/>
      <c r="N95" s="3403"/>
      <c r="O95" s="1436">
        <v>1</v>
      </c>
    </row>
    <row r="96" spans="2:15" ht="21" customHeight="1">
      <c r="D96" s="503"/>
      <c r="E96" s="404"/>
      <c r="F96" s="1927" t="s">
        <v>3116</v>
      </c>
      <c r="G96" s="1958">
        <f>SUM(G75:G95)</f>
        <v>1</v>
      </c>
      <c r="H96" s="1440" t="s">
        <v>2693</v>
      </c>
      <c r="I96" s="706"/>
      <c r="J96" s="705"/>
      <c r="K96" s="706"/>
      <c r="L96" s="705"/>
      <c r="M96" s="706"/>
      <c r="N96" s="705"/>
      <c r="O96" s="2203">
        <f>SUM(B75:B95)</f>
        <v>8</v>
      </c>
    </row>
    <row r="97" spans="2:15" ht="15.75">
      <c r="D97" s="503"/>
      <c r="E97" s="404"/>
      <c r="F97" s="404"/>
      <c r="G97" s="404"/>
      <c r="H97" s="404"/>
      <c r="I97" s="404"/>
      <c r="J97" s="736"/>
      <c r="K97" s="404"/>
      <c r="L97" s="404"/>
      <c r="M97" s="404"/>
      <c r="N97" s="404"/>
      <c r="O97" s="404"/>
    </row>
    <row r="98" spans="2:15" ht="21.75" customHeight="1">
      <c r="D98" s="503">
        <v>3.2</v>
      </c>
      <c r="E98" s="508" t="s">
        <v>2133</v>
      </c>
      <c r="F98" s="509"/>
      <c r="G98" s="404"/>
      <c r="H98" s="404"/>
      <c r="I98" s="404"/>
      <c r="J98" s="736"/>
      <c r="K98" s="404"/>
      <c r="L98" s="404"/>
      <c r="M98" s="404"/>
      <c r="N98" s="404"/>
      <c r="O98" s="404"/>
    </row>
    <row r="99" spans="2:15" ht="14.25" thickBot="1">
      <c r="D99" s="63"/>
      <c r="E99" s="404"/>
      <c r="F99" s="515"/>
      <c r="G99" s="516"/>
      <c r="H99" s="516"/>
      <c r="I99" s="614" t="s">
        <v>1126</v>
      </c>
      <c r="J99" s="1608">
        <f>重み!M119</f>
        <v>0.5</v>
      </c>
      <c r="K99" s="517"/>
      <c r="L99" s="517"/>
      <c r="M99" s="517"/>
      <c r="N99" s="517"/>
      <c r="O99" s="606"/>
    </row>
    <row r="100" spans="2:15" ht="27" customHeight="1" thickBot="1">
      <c r="B100" t="s">
        <v>3029</v>
      </c>
      <c r="D100" s="503"/>
      <c r="E100" s="50"/>
      <c r="F100" s="1777">
        <f>G121</f>
        <v>3</v>
      </c>
      <c r="G100" s="526" t="s">
        <v>407</v>
      </c>
      <c r="H100" s="527"/>
      <c r="I100" s="527"/>
      <c r="J100" s="527"/>
      <c r="K100" s="527"/>
      <c r="L100" s="527"/>
      <c r="M100" s="527"/>
      <c r="N100" s="527"/>
      <c r="O100" s="528"/>
    </row>
    <row r="101" spans="2:15" ht="21" customHeight="1">
      <c r="B101">
        <v>0</v>
      </c>
      <c r="D101" s="503"/>
      <c r="E101" s="50"/>
      <c r="F101" s="529" t="str">
        <f>IF(ROUNDDOWN($F$100,0)=$F$2,$H$2,$G$2)</f>
        <v>　レベル　1</v>
      </c>
      <c r="G101" s="3322" t="s">
        <v>1752</v>
      </c>
      <c r="H101" s="3344"/>
      <c r="I101" s="3344"/>
      <c r="J101" s="3344"/>
      <c r="K101" s="3344"/>
      <c r="L101" s="3344"/>
      <c r="M101" s="3344"/>
      <c r="N101" s="3344"/>
      <c r="O101" s="3329"/>
    </row>
    <row r="102" spans="2:15" ht="21" customHeight="1">
      <c r="B102">
        <v>1</v>
      </c>
      <c r="D102" s="503"/>
      <c r="E102" s="50"/>
      <c r="F102" s="534" t="str">
        <f>IF(ROUNDDOWN($F$100,0)=$F$3,$H$3,$G$3)</f>
        <v>　レベル　2</v>
      </c>
      <c r="G102" s="3328" t="s">
        <v>1753</v>
      </c>
      <c r="H102" s="3345"/>
      <c r="I102" s="3345"/>
      <c r="J102" s="3345"/>
      <c r="K102" s="3345"/>
      <c r="L102" s="3345"/>
      <c r="M102" s="3345"/>
      <c r="N102" s="3345"/>
      <c r="O102" s="3372"/>
    </row>
    <row r="103" spans="2:15" ht="21" customHeight="1">
      <c r="B103">
        <v>6</v>
      </c>
      <c r="D103" s="503"/>
      <c r="E103" s="50"/>
      <c r="F103" s="534" t="str">
        <f>IF(ROUNDDOWN($F$100,0)=$F$4,$H$4,$G$4)</f>
        <v>■レベル　3</v>
      </c>
      <c r="G103" s="3328" t="s">
        <v>1754</v>
      </c>
      <c r="H103" s="3345"/>
      <c r="I103" s="3345"/>
      <c r="J103" s="3345"/>
      <c r="K103" s="3345"/>
      <c r="L103" s="3345"/>
      <c r="M103" s="3345"/>
      <c r="N103" s="3345"/>
      <c r="O103" s="3372"/>
    </row>
    <row r="104" spans="2:15" ht="21" customHeight="1">
      <c r="B104">
        <v>12</v>
      </c>
      <c r="D104" s="503"/>
      <c r="E104" s="50"/>
      <c r="F104" s="534" t="str">
        <f>IF(ROUNDDOWN($F$100,0)=$F$5,$H$5,$G$5)</f>
        <v>　レベル　4</v>
      </c>
      <c r="G104" s="3328" t="s">
        <v>1755</v>
      </c>
      <c r="H104" s="3345"/>
      <c r="I104" s="3345"/>
      <c r="J104" s="3345"/>
      <c r="K104" s="3345"/>
      <c r="L104" s="3345"/>
      <c r="M104" s="3345"/>
      <c r="N104" s="3345"/>
      <c r="O104" s="3372"/>
    </row>
    <row r="105" spans="2:15" ht="15.75">
      <c r="B105">
        <v>18</v>
      </c>
      <c r="D105" s="503"/>
      <c r="E105" s="50"/>
      <c r="F105" s="544" t="str">
        <f>IF(ROUNDDOWN($F$100,0)=$F$6,$H$6,$G$6)</f>
        <v>　レベル　5</v>
      </c>
      <c r="G105" s="3332" t="s">
        <v>1090</v>
      </c>
      <c r="H105" s="3350"/>
      <c r="I105" s="3350"/>
      <c r="J105" s="3350"/>
      <c r="K105" s="3350"/>
      <c r="L105" s="3350"/>
      <c r="M105" s="3350"/>
      <c r="N105" s="3350"/>
      <c r="O105" s="3356"/>
    </row>
    <row r="106" spans="2:15" ht="15.75">
      <c r="D106" s="503"/>
      <c r="E106" s="50"/>
      <c r="F106" s="839" t="s">
        <v>2938</v>
      </c>
      <c r="G106" s="1941"/>
      <c r="H106" s="1915"/>
      <c r="I106" s="1915"/>
      <c r="J106" s="1916"/>
      <c r="K106" s="2094" t="s">
        <v>3232</v>
      </c>
      <c r="L106"/>
      <c r="M106"/>
      <c r="N106"/>
      <c r="O106"/>
    </row>
    <row r="107" spans="2:15">
      <c r="D107"/>
      <c r="E107"/>
      <c r="F107" s="1949" t="s">
        <v>3064</v>
      </c>
      <c r="G107"/>
      <c r="H107" s="1973">
        <v>0.74</v>
      </c>
      <c r="I107"/>
      <c r="J107"/>
      <c r="K107"/>
      <c r="L107"/>
      <c r="M107"/>
      <c r="N107"/>
      <c r="O107"/>
    </row>
    <row r="108" spans="2:15">
      <c r="D108"/>
      <c r="E108"/>
      <c r="F108" s="1949"/>
      <c r="G108"/>
      <c r="H108" s="500"/>
      <c r="I108" s="2206" t="s">
        <v>3014</v>
      </c>
      <c r="J108" s="2206" t="s">
        <v>2927</v>
      </c>
      <c r="K108" s="2748" t="s">
        <v>3818</v>
      </c>
      <c r="L108" s="2747" t="s">
        <v>3819</v>
      </c>
      <c r="M108" s="2207" t="s">
        <v>3059</v>
      </c>
      <c r="N108" s="2207" t="s">
        <v>3060</v>
      </c>
      <c r="O108" s="2206" t="s">
        <v>2928</v>
      </c>
    </row>
    <row r="109" spans="2:15">
      <c r="D109"/>
      <c r="E109"/>
      <c r="F109" s="1949" t="s">
        <v>3062</v>
      </c>
      <c r="G109"/>
      <c r="H109" s="3010">
        <f>ROUNDDOWN(I109,2)</f>
        <v>0.44</v>
      </c>
      <c r="I109" s="2079">
        <f>M109+N109</f>
        <v>0.44500000000000001</v>
      </c>
      <c r="J109" s="2079"/>
      <c r="K109" s="2079"/>
      <c r="L109" s="2079"/>
      <c r="M109" s="2079">
        <f>M110</f>
        <v>0</v>
      </c>
      <c r="N109" s="2079">
        <f>N114/$I114</f>
        <v>0.44500000000000001</v>
      </c>
      <c r="O109" s="2079"/>
    </row>
    <row r="110" spans="2:15">
      <c r="D110"/>
      <c r="E110"/>
      <c r="F110" s="1949" t="s">
        <v>3011</v>
      </c>
      <c r="G110"/>
      <c r="H110" s="3010">
        <f>ROUNDDOWN(I110,2)</f>
        <v>0.39</v>
      </c>
      <c r="I110" s="2079">
        <f>J110+2*K110+1.5*M110</f>
        <v>0.39189999999999997</v>
      </c>
      <c r="J110" s="2079">
        <f>J114/$I114</f>
        <v>0.39189999999999997</v>
      </c>
      <c r="K110" s="2079">
        <f>K114/$I114</f>
        <v>0</v>
      </c>
      <c r="L110" s="2079"/>
      <c r="M110" s="2079">
        <f>M114/$I114</f>
        <v>0</v>
      </c>
      <c r="N110" s="2079"/>
      <c r="O110" s="2079"/>
    </row>
    <row r="111" spans="2:15">
      <c r="D111"/>
      <c r="E111"/>
      <c r="F111" s="1949" t="s">
        <v>3063</v>
      </c>
      <c r="G111"/>
      <c r="H111" s="3010">
        <f>ROUNDDOWN(I111,2)</f>
        <v>1.03</v>
      </c>
      <c r="I111" s="2079">
        <f>O111</f>
        <v>1.0349999999999999</v>
      </c>
      <c r="J111" s="2079"/>
      <c r="K111" s="2079"/>
      <c r="L111" s="2079"/>
      <c r="M111" s="2079"/>
      <c r="N111" s="2079"/>
      <c r="O111" s="2079">
        <f>O114/$I114</f>
        <v>1.0349999999999999</v>
      </c>
    </row>
    <row r="112" spans="2:15">
      <c r="D112"/>
      <c r="E112"/>
      <c r="F112" s="1949" t="s">
        <v>3013</v>
      </c>
      <c r="G112"/>
      <c r="H112" s="3010">
        <f>ROUNDDOWN(I112,2)</f>
        <v>0</v>
      </c>
      <c r="I112" s="2079">
        <f>J112+K112+L112</f>
        <v>0</v>
      </c>
      <c r="J112" s="2079">
        <f>J116/$I116</f>
        <v>0</v>
      </c>
      <c r="K112" s="2079">
        <f>K116/$I116</f>
        <v>0</v>
      </c>
      <c r="L112" s="2079">
        <f>L116/$I116</f>
        <v>0</v>
      </c>
      <c r="M112" s="2079"/>
      <c r="N112" s="2079"/>
      <c r="O112" s="2079"/>
    </row>
    <row r="113" spans="2:15">
      <c r="D113"/>
      <c r="E113"/>
      <c r="F113"/>
      <c r="G113"/>
      <c r="H113"/>
      <c r="I113" s="2207" t="s">
        <v>3002</v>
      </c>
      <c r="J113" s="2207" t="s">
        <v>3003</v>
      </c>
      <c r="K113" s="2747" t="s">
        <v>3820</v>
      </c>
      <c r="L113" s="2747" t="s">
        <v>3114</v>
      </c>
      <c r="M113" s="2207" t="s">
        <v>3004</v>
      </c>
      <c r="N113" s="2207" t="s">
        <v>3058</v>
      </c>
      <c r="O113" s="2207" t="s">
        <v>3061</v>
      </c>
    </row>
    <row r="114" spans="2:15">
      <c r="D114"/>
      <c r="E114"/>
      <c r="F114"/>
      <c r="G114" s="1949" t="s">
        <v>3015</v>
      </c>
      <c r="H114" s="1977" t="s">
        <v>2999</v>
      </c>
      <c r="I114" s="2208">
        <f>メイン!C17</f>
        <v>1000</v>
      </c>
      <c r="J114" s="2217">
        <v>391.9</v>
      </c>
      <c r="K114" s="2217">
        <v>0</v>
      </c>
      <c r="L114" s="2208"/>
      <c r="M114" s="2208">
        <f>M21</f>
        <v>0</v>
      </c>
      <c r="N114" s="2217">
        <v>445</v>
      </c>
      <c r="O114" s="2217">
        <v>1035</v>
      </c>
    </row>
    <row r="115" spans="2:15" hidden="1">
      <c r="D115"/>
      <c r="E115"/>
      <c r="F115"/>
      <c r="G115"/>
      <c r="H115" s="1977"/>
      <c r="I115" s="2209"/>
      <c r="J115" s="2210"/>
      <c r="K115" s="2209"/>
      <c r="L115" s="2209"/>
      <c r="M115" s="2209"/>
      <c r="N115" s="2209"/>
      <c r="O115" s="2209"/>
    </row>
    <row r="116" spans="2:15">
      <c r="D116"/>
      <c r="E116"/>
      <c r="F116"/>
      <c r="G116"/>
      <c r="H116" s="1977" t="s">
        <v>3001</v>
      </c>
      <c r="I116" s="2217">
        <v>2630</v>
      </c>
      <c r="J116" s="2208">
        <f>O22</f>
        <v>0</v>
      </c>
      <c r="K116" s="2217">
        <v>0</v>
      </c>
      <c r="L116" s="2217">
        <v>0</v>
      </c>
      <c r="M116" s="2208"/>
      <c r="N116" s="2208"/>
      <c r="O116" s="2208"/>
    </row>
    <row r="117" spans="2:15" hidden="1">
      <c r="D117"/>
      <c r="E117"/>
      <c r="F117"/>
      <c r="G117"/>
      <c r="H117"/>
      <c r="I117"/>
      <c r="J117"/>
      <c r="K117"/>
      <c r="L117"/>
      <c r="M117"/>
      <c r="N117"/>
      <c r="O117"/>
    </row>
    <row r="118" spans="2:15" hidden="1">
      <c r="D118"/>
      <c r="E118"/>
      <c r="F118"/>
      <c r="G118"/>
      <c r="H118"/>
      <c r="I118"/>
      <c r="J118"/>
      <c r="K118"/>
      <c r="L118"/>
      <c r="M118"/>
      <c r="N118"/>
      <c r="O118"/>
    </row>
    <row r="119" spans="2:15" hidden="1">
      <c r="D119"/>
      <c r="E119"/>
      <c r="F119"/>
      <c r="G119"/>
      <c r="H119"/>
      <c r="I119"/>
      <c r="J119"/>
      <c r="K119"/>
      <c r="L119"/>
      <c r="M119"/>
      <c r="N119"/>
      <c r="O119"/>
    </row>
    <row r="120" spans="2:15">
      <c r="D120" s="63"/>
      <c r="E120" s="404"/>
      <c r="F120" s="507" t="s">
        <v>344</v>
      </c>
      <c r="H120" s="404"/>
      <c r="I120"/>
      <c r="J120"/>
      <c r="K120"/>
      <c r="L120"/>
      <c r="M120"/>
      <c r="N120"/>
      <c r="O120"/>
    </row>
    <row r="121" spans="2:15" ht="25.5" customHeight="1" thickBot="1">
      <c r="B121" t="s">
        <v>3026</v>
      </c>
      <c r="D121" s="503"/>
      <c r="E121" s="404"/>
      <c r="F121"/>
      <c r="G121" s="1960">
        <f>IF(G139&gt;=B105,5,IF(G139&gt;=B104,4,IF(G139&gt;=B103,3,IF(G139&gt;=B102,2,1))))</f>
        <v>3</v>
      </c>
      <c r="H121" s="3487" t="s">
        <v>1431</v>
      </c>
      <c r="I121" s="3488"/>
      <c r="J121" s="3487" t="s">
        <v>1430</v>
      </c>
      <c r="K121" s="3488"/>
      <c r="L121" s="3488"/>
      <c r="M121" s="3488"/>
      <c r="N121" s="3489"/>
      <c r="O121" s="708" t="s">
        <v>1432</v>
      </c>
    </row>
    <row r="122" spans="2:15" ht="36" customHeight="1">
      <c r="B122">
        <v>2</v>
      </c>
      <c r="F122" s="1927" t="s">
        <v>2856</v>
      </c>
      <c r="G122" s="1961"/>
      <c r="H122" s="3514" t="s">
        <v>2838</v>
      </c>
      <c r="I122" s="3515"/>
      <c r="J122" s="3322" t="s">
        <v>2839</v>
      </c>
      <c r="K122" s="3344"/>
      <c r="L122" s="3344"/>
      <c r="M122" s="3344"/>
      <c r="N122" s="3329"/>
      <c r="O122" s="750">
        <v>2</v>
      </c>
    </row>
    <row r="123" spans="2:15" ht="26.25" customHeight="1">
      <c r="B123">
        <v>3</v>
      </c>
      <c r="F123" s="1927" t="s">
        <v>2936</v>
      </c>
      <c r="G123" s="3463">
        <v>1</v>
      </c>
      <c r="H123" s="3492"/>
      <c r="I123" s="3516"/>
      <c r="J123" s="3457" t="s">
        <v>2840</v>
      </c>
      <c r="K123" s="3458"/>
      <c r="L123" s="3458"/>
      <c r="M123" s="3458"/>
      <c r="N123" s="3459"/>
      <c r="O123" s="3472" t="s">
        <v>184</v>
      </c>
    </row>
    <row r="124" spans="2:15" ht="47.25" customHeight="1">
      <c r="G124" s="3465"/>
      <c r="H124" s="3492"/>
      <c r="I124" s="3516"/>
      <c r="J124" s="3473" t="s">
        <v>3043</v>
      </c>
      <c r="K124" s="3474"/>
      <c r="L124" s="3474"/>
      <c r="M124" s="3474"/>
      <c r="N124" s="1974" t="str">
        <f>F107&amp;"＝"&amp;H107*100&amp;"%"</f>
        <v>　空地率＝74%</v>
      </c>
      <c r="O124" s="3472"/>
    </row>
    <row r="125" spans="2:15" ht="34.5" customHeight="1">
      <c r="B125">
        <v>3</v>
      </c>
      <c r="F125" s="1927" t="s">
        <v>2858</v>
      </c>
      <c r="G125" s="3463">
        <v>2</v>
      </c>
      <c r="H125" s="3514" t="s">
        <v>3302</v>
      </c>
      <c r="I125" s="3515"/>
      <c r="J125" s="3457" t="s">
        <v>2841</v>
      </c>
      <c r="K125" s="3458"/>
      <c r="L125" s="3458"/>
      <c r="M125" s="3458"/>
      <c r="N125" s="3459"/>
      <c r="O125" s="3472" t="s">
        <v>184</v>
      </c>
    </row>
    <row r="126" spans="2:15" ht="51" customHeight="1">
      <c r="F126" s="404"/>
      <c r="G126" s="3465"/>
      <c r="H126" s="3517"/>
      <c r="I126" s="3518"/>
      <c r="J126" s="3473" t="s">
        <v>3044</v>
      </c>
      <c r="K126" s="3474"/>
      <c r="L126" s="3474"/>
      <c r="M126" s="3474"/>
      <c r="N126" s="1974" t="str">
        <f>$I$108&amp;"＝"&amp;H109*100&amp;"%"</f>
        <v>対策面積率＝44%</v>
      </c>
      <c r="O126" s="3472"/>
    </row>
    <row r="127" spans="2:15" ht="30" customHeight="1">
      <c r="B127">
        <v>3</v>
      </c>
      <c r="F127" s="1927" t="s">
        <v>2859</v>
      </c>
      <c r="G127" s="3463">
        <v>3</v>
      </c>
      <c r="H127" s="3514" t="s">
        <v>3303</v>
      </c>
      <c r="I127" s="3515"/>
      <c r="J127" s="3457" t="s">
        <v>2842</v>
      </c>
      <c r="K127" s="3458"/>
      <c r="L127" s="3458"/>
      <c r="M127" s="3458"/>
      <c r="N127" s="3459"/>
      <c r="O127" s="3472" t="s">
        <v>184</v>
      </c>
    </row>
    <row r="128" spans="2:15" ht="52.5" customHeight="1">
      <c r="G128" s="3465"/>
      <c r="H128" s="3492"/>
      <c r="I128" s="3516"/>
      <c r="J128" s="3473" t="s">
        <v>3045</v>
      </c>
      <c r="K128" s="3474"/>
      <c r="L128" s="3474"/>
      <c r="M128" s="3474"/>
      <c r="N128" s="1974" t="str">
        <f>$I$108&amp;"＝"&amp;H110*100&amp;"%"</f>
        <v>対策面積率＝39%</v>
      </c>
      <c r="O128" s="3472"/>
    </row>
    <row r="129" spans="2:15">
      <c r="B129">
        <v>3</v>
      </c>
      <c r="F129" s="1927" t="s">
        <v>2860</v>
      </c>
      <c r="G129" s="3463"/>
      <c r="H129" s="3492"/>
      <c r="I129" s="3516"/>
      <c r="J129" s="3457" t="s">
        <v>2843</v>
      </c>
      <c r="K129" s="3458"/>
      <c r="L129" s="3458"/>
      <c r="M129" s="3458"/>
      <c r="N129" s="3459"/>
      <c r="O129" s="3472" t="s">
        <v>184</v>
      </c>
    </row>
    <row r="130" spans="2:15" ht="53.25" customHeight="1">
      <c r="D130" s="503"/>
      <c r="F130" s="1927"/>
      <c r="G130" s="3465"/>
      <c r="H130" s="3517"/>
      <c r="I130" s="3518"/>
      <c r="J130" s="3473" t="s">
        <v>3042</v>
      </c>
      <c r="K130" s="3474"/>
      <c r="L130" s="3474"/>
      <c r="M130" s="3474"/>
      <c r="N130" s="1974" t="str">
        <f>$I$108&amp;"＝"&amp;H111*100&amp;"%"</f>
        <v>対策面積率＝103%</v>
      </c>
      <c r="O130" s="3472"/>
    </row>
    <row r="131" spans="2:15" ht="15.75">
      <c r="B131">
        <v>3</v>
      </c>
      <c r="D131" s="503"/>
      <c r="F131" s="1927" t="s">
        <v>2861</v>
      </c>
      <c r="G131" s="3463"/>
      <c r="H131" s="3514" t="s">
        <v>3304</v>
      </c>
      <c r="I131" s="3515"/>
      <c r="J131" s="3457" t="s">
        <v>2699</v>
      </c>
      <c r="K131" s="3458"/>
      <c r="L131" s="3458"/>
      <c r="M131" s="3458"/>
      <c r="N131" s="3459"/>
      <c r="O131" s="3472" t="s">
        <v>1091</v>
      </c>
    </row>
    <row r="132" spans="2:15" ht="29.25" customHeight="1">
      <c r="D132" s="503"/>
      <c r="F132"/>
      <c r="G132" s="3465"/>
      <c r="H132" s="3492"/>
      <c r="I132" s="3516"/>
      <c r="J132" s="3454" t="s">
        <v>3046</v>
      </c>
      <c r="K132" s="3455"/>
      <c r="L132" s="3455"/>
      <c r="M132" s="3455"/>
      <c r="N132" s="3456"/>
      <c r="O132" s="3472"/>
    </row>
    <row r="133" spans="2:15" ht="15.75">
      <c r="B133">
        <v>3</v>
      </c>
      <c r="D133" s="503"/>
      <c r="F133" s="1927" t="s">
        <v>2862</v>
      </c>
      <c r="G133" s="3463"/>
      <c r="H133" s="3492"/>
      <c r="I133" s="3516"/>
      <c r="J133" s="3457" t="s">
        <v>2700</v>
      </c>
      <c r="K133" s="3458"/>
      <c r="L133" s="3458"/>
      <c r="M133" s="3458"/>
      <c r="N133" s="3459"/>
      <c r="O133" s="3472" t="s">
        <v>184</v>
      </c>
    </row>
    <row r="134" spans="2:15" ht="49.5" customHeight="1">
      <c r="D134" s="503"/>
      <c r="F134"/>
      <c r="G134" s="3465"/>
      <c r="H134" s="3517"/>
      <c r="I134" s="3518"/>
      <c r="J134" s="3473" t="s">
        <v>3047</v>
      </c>
      <c r="K134" s="3474"/>
      <c r="L134" s="3474"/>
      <c r="M134" s="3474"/>
      <c r="N134" s="1974" t="str">
        <f>$I$108&amp;"＝"&amp;H112*100&amp;"%"</f>
        <v>対策面積率＝0%</v>
      </c>
      <c r="O134" s="3472"/>
    </row>
    <row r="135" spans="2:15" ht="30.75" customHeight="1">
      <c r="B135">
        <v>2</v>
      </c>
      <c r="D135" s="503"/>
      <c r="F135" s="1927" t="s">
        <v>2863</v>
      </c>
      <c r="G135" s="3463">
        <v>2</v>
      </c>
      <c r="H135" s="3514" t="s">
        <v>3305</v>
      </c>
      <c r="I135" s="3515"/>
      <c r="J135" s="3457" t="s">
        <v>3048</v>
      </c>
      <c r="K135" s="3458"/>
      <c r="L135" s="3458"/>
      <c r="M135" s="3458"/>
      <c r="N135" s="3459"/>
      <c r="O135" s="3460" t="s">
        <v>98</v>
      </c>
    </row>
    <row r="136" spans="2:15" ht="49.5" customHeight="1">
      <c r="D136" s="503"/>
      <c r="F136"/>
      <c r="G136" s="3465"/>
      <c r="H136" s="3492"/>
      <c r="I136" s="3516"/>
      <c r="J136" s="3454" t="s">
        <v>3051</v>
      </c>
      <c r="K136" s="3455"/>
      <c r="L136" s="3455"/>
      <c r="M136" s="3455"/>
      <c r="N136" s="3456"/>
      <c r="O136" s="3461"/>
    </row>
    <row r="137" spans="2:15" ht="27.75" customHeight="1">
      <c r="B137">
        <v>2</v>
      </c>
      <c r="D137" s="503"/>
      <c r="F137" s="1927" t="s">
        <v>2864</v>
      </c>
      <c r="G137" s="3463">
        <v>2</v>
      </c>
      <c r="H137" s="3492"/>
      <c r="I137" s="3516"/>
      <c r="J137" s="3457" t="s">
        <v>3049</v>
      </c>
      <c r="K137" s="3458"/>
      <c r="L137" s="3458"/>
      <c r="M137" s="3458"/>
      <c r="N137" s="3459"/>
      <c r="O137" s="3460" t="s">
        <v>98</v>
      </c>
    </row>
    <row r="138" spans="2:15" ht="53.25" customHeight="1" thickBot="1">
      <c r="D138" s="503"/>
      <c r="F138" s="1927"/>
      <c r="G138" s="3464"/>
      <c r="H138" s="3517"/>
      <c r="I138" s="3518"/>
      <c r="J138" s="3454" t="s">
        <v>3050</v>
      </c>
      <c r="K138" s="3455"/>
      <c r="L138" s="3455"/>
      <c r="M138" s="3455"/>
      <c r="N138" s="3456"/>
      <c r="O138" s="3462"/>
    </row>
    <row r="139" spans="2:15" ht="21" customHeight="1">
      <c r="E139" s="404"/>
      <c r="F139" s="1927" t="s">
        <v>3016</v>
      </c>
      <c r="G139" s="1958">
        <f>SUM(G122:G138)</f>
        <v>10</v>
      </c>
      <c r="H139" s="1440" t="s">
        <v>2693</v>
      </c>
      <c r="I139" s="705"/>
      <c r="J139" s="705"/>
      <c r="K139" s="706"/>
      <c r="L139" s="705"/>
      <c r="M139" s="706"/>
      <c r="N139" s="705"/>
      <c r="O139" s="2203">
        <f>SUM(B122:B138)</f>
        <v>24</v>
      </c>
    </row>
    <row r="140" spans="2:15"/>
    <row r="141" spans="2:15" ht="13.5" hidden="1" customHeight="1"/>
    <row r="142" spans="2:15" ht="13.5" hidden="1" customHeight="1"/>
    <row r="143" spans="2:15" ht="13.5" hidden="1" customHeight="1"/>
    <row r="144" spans="2:15" ht="13.5" hidden="1" customHeight="1"/>
    <row r="289"/>
    <row r="290"/>
    <row r="291"/>
    <row r="292"/>
    <row r="304"/>
    <row r="305"/>
    <row r="306"/>
    <row r="307"/>
    <row r="308"/>
    <row r="309"/>
    <row r="310"/>
    <row r="311"/>
    <row r="312"/>
    <row r="313"/>
    <row r="314"/>
    <row r="315"/>
    <row r="316"/>
    <row r="317"/>
    <row r="318"/>
    <row r="319"/>
    <row r="320"/>
    <row r="321"/>
    <row r="322"/>
    <row r="323"/>
    <row r="324"/>
    <row r="325"/>
    <row r="326"/>
    <row r="327"/>
    <row r="328"/>
    <row r="329"/>
    <row r="330"/>
    <row r="331"/>
    <row r="332"/>
    <row r="333"/>
  </sheetData>
  <sheetProtection password="C784" sheet="1" objects="1" scenarios="1"/>
  <mergeCells count="123">
    <mergeCell ref="J123:N123"/>
    <mergeCell ref="G101:O101"/>
    <mergeCell ref="G127:G128"/>
    <mergeCell ref="J129:N129"/>
    <mergeCell ref="G123:G124"/>
    <mergeCell ref="O127:O128"/>
    <mergeCell ref="J130:M130"/>
    <mergeCell ref="J134:M134"/>
    <mergeCell ref="H56:I56"/>
    <mergeCell ref="H60:I60"/>
    <mergeCell ref="J87:N87"/>
    <mergeCell ref="O87:O90"/>
    <mergeCell ref="J127:N127"/>
    <mergeCell ref="J59:N59"/>
    <mergeCell ref="J89:N89"/>
    <mergeCell ref="J90:N90"/>
    <mergeCell ref="G82:G83"/>
    <mergeCell ref="O82:O83"/>
    <mergeCell ref="H79:I83"/>
    <mergeCell ref="J126:M126"/>
    <mergeCell ref="J124:M124"/>
    <mergeCell ref="H121:I121"/>
    <mergeCell ref="J121:N121"/>
    <mergeCell ref="J122:N122"/>
    <mergeCell ref="H125:I126"/>
    <mergeCell ref="G77:G78"/>
    <mergeCell ref="H54:I54"/>
    <mergeCell ref="J54:N54"/>
    <mergeCell ref="G52:O52"/>
    <mergeCell ref="H135:I138"/>
    <mergeCell ref="J135:N135"/>
    <mergeCell ref="J138:N138"/>
    <mergeCell ref="H122:I124"/>
    <mergeCell ref="H127:I130"/>
    <mergeCell ref="G129:G130"/>
    <mergeCell ref="O129:O130"/>
    <mergeCell ref="G131:G132"/>
    <mergeCell ref="H131:I134"/>
    <mergeCell ref="J131:N131"/>
    <mergeCell ref="O131:O132"/>
    <mergeCell ref="J132:N132"/>
    <mergeCell ref="G133:G134"/>
    <mergeCell ref="J133:N133"/>
    <mergeCell ref="O133:O134"/>
    <mergeCell ref="G125:G126"/>
    <mergeCell ref="J57:N57"/>
    <mergeCell ref="H58:I58"/>
    <mergeCell ref="H55:I55"/>
    <mergeCell ref="J95:N95"/>
    <mergeCell ref="G84:G86"/>
    <mergeCell ref="H84:I86"/>
    <mergeCell ref="J84:N84"/>
    <mergeCell ref="G79:G81"/>
    <mergeCell ref="J79:N79"/>
    <mergeCell ref="O84:O86"/>
    <mergeCell ref="J85:N85"/>
    <mergeCell ref="J86:N86"/>
    <mergeCell ref="G87:G90"/>
    <mergeCell ref="H87:I90"/>
    <mergeCell ref="G92:G93"/>
    <mergeCell ref="H92:I93"/>
    <mergeCell ref="J92:N92"/>
    <mergeCell ref="J93:N93"/>
    <mergeCell ref="O79:O81"/>
    <mergeCell ref="J80:N80"/>
    <mergeCell ref="J81:N81"/>
    <mergeCell ref="H94:I94"/>
    <mergeCell ref="H24:I24"/>
    <mergeCell ref="J24:N24"/>
    <mergeCell ref="H25:I25"/>
    <mergeCell ref="O28:O29"/>
    <mergeCell ref="J25:N25"/>
    <mergeCell ref="J26:N26"/>
    <mergeCell ref="H28:I31"/>
    <mergeCell ref="G28:G29"/>
    <mergeCell ref="G30:G31"/>
    <mergeCell ref="J30:N30"/>
    <mergeCell ref="J28:N28"/>
    <mergeCell ref="O30:O31"/>
    <mergeCell ref="J29:M29"/>
    <mergeCell ref="J31:M31"/>
    <mergeCell ref="H26:I27"/>
    <mergeCell ref="J32:N32"/>
    <mergeCell ref="H36:I39"/>
    <mergeCell ref="J35:N35"/>
    <mergeCell ref="J40:N40"/>
    <mergeCell ref="J55:N55"/>
    <mergeCell ref="H74:I74"/>
    <mergeCell ref="J74:N74"/>
    <mergeCell ref="H75:I78"/>
    <mergeCell ref="J75:N75"/>
    <mergeCell ref="J78:N78"/>
    <mergeCell ref="J39:N39"/>
    <mergeCell ref="H57:I57"/>
    <mergeCell ref="J34:N34"/>
    <mergeCell ref="H40:I40"/>
    <mergeCell ref="H32:I35"/>
    <mergeCell ref="J36:N36"/>
    <mergeCell ref="H59:I59"/>
    <mergeCell ref="J136:N136"/>
    <mergeCell ref="J137:N137"/>
    <mergeCell ref="O135:O136"/>
    <mergeCell ref="O137:O138"/>
    <mergeCell ref="G137:G138"/>
    <mergeCell ref="G135:G136"/>
    <mergeCell ref="O92:O93"/>
    <mergeCell ref="J76:N76"/>
    <mergeCell ref="O75:O76"/>
    <mergeCell ref="O77:O78"/>
    <mergeCell ref="G75:G76"/>
    <mergeCell ref="G102:O102"/>
    <mergeCell ref="G103:O103"/>
    <mergeCell ref="G104:O104"/>
    <mergeCell ref="G105:O105"/>
    <mergeCell ref="O123:O124"/>
    <mergeCell ref="O125:O126"/>
    <mergeCell ref="J128:M128"/>
    <mergeCell ref="J83:N83"/>
    <mergeCell ref="H91:I91"/>
    <mergeCell ref="J91:N91"/>
    <mergeCell ref="J88:N88"/>
    <mergeCell ref="J125:N125"/>
    <mergeCell ref="H95:I95"/>
  </mergeCells>
  <phoneticPr fontId="27"/>
  <printOptions horizontalCentered="1"/>
  <pageMargins left="0.59055118110236227" right="0.59055118110236227" top="0.78740157480314965" bottom="0.59055118110236227" header="0.51181102362204722" footer="0.51181102362204722"/>
  <pageSetup paperSize="9" scale="78" fitToHeight="0" orientation="portrait" verticalDpi="4294967293" r:id="rId1"/>
  <headerFooter alignWithMargins="0">
    <oddHeader>&amp;L&amp;F&amp;R&amp;A</oddHeader>
    <oddFooter>&amp;C&amp;P/&amp;N</oddFooter>
  </headerFooter>
  <rowBreaks count="3" manualBreakCount="3">
    <brk id="42" max="16383" man="1"/>
    <brk id="62" max="16383" man="1"/>
    <brk id="9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メイン</vt:lpstr>
      <vt:lpstr>結果（SDGs評価なし）</vt:lpstr>
      <vt:lpstr>結果（SDGs評価あり）</vt:lpstr>
      <vt:lpstr>係数</vt:lpstr>
      <vt:lpstr>重点項目</vt:lpstr>
      <vt:lpstr>スコア</vt:lpstr>
      <vt:lpstr>採点Q1</vt:lpstr>
      <vt:lpstr>採点Q2</vt:lpstr>
      <vt:lpstr>採点Q3</vt:lpstr>
      <vt:lpstr>採点LR1 </vt:lpstr>
      <vt:lpstr>計画書</vt:lpstr>
      <vt:lpstr>採点LR2</vt:lpstr>
      <vt:lpstr>採点LR3</vt:lpstr>
      <vt:lpstr>建築環境SDGsチェックリスト</vt:lpstr>
      <vt:lpstr>CO2計算</vt:lpstr>
      <vt:lpstr>条件(標準)</vt:lpstr>
      <vt:lpstr>条件(個別)</vt:lpstr>
      <vt:lpstr>重み</vt:lpstr>
      <vt:lpstr>CO2データ</vt:lpstr>
      <vt:lpstr>クレジット</vt:lpstr>
      <vt:lpstr>CO2データ!Print_Area</vt:lpstr>
      <vt:lpstr>CO2計算!Print_Area</vt:lpstr>
      <vt:lpstr>クレジット!Print_Area</vt:lpstr>
      <vt:lpstr>スコア!Print_Area</vt:lpstr>
      <vt:lpstr>メイン!Print_Area</vt:lpstr>
      <vt:lpstr>係数!Print_Area</vt:lpstr>
      <vt:lpstr>計画書!Print_Area</vt:lpstr>
      <vt:lpstr>'結果（SDGs評価あり）'!Print_Area</vt:lpstr>
      <vt:lpstr>'結果（SDGs評価なし）'!Print_Area</vt:lpstr>
      <vt:lpstr>建築環境SDGsチェックリスト!Print_Area</vt:lpstr>
      <vt:lpstr>'採点LR1 '!Print_Area</vt:lpstr>
      <vt:lpstr>採点LR2!Print_Area</vt:lpstr>
      <vt:lpstr>採点LR3!Print_Area</vt:lpstr>
      <vt:lpstr>採点Q1!Print_Area</vt:lpstr>
      <vt:lpstr>採点Q2!Print_Area</vt:lpstr>
      <vt:lpstr>採点Q3!Print_Area</vt:lpstr>
      <vt:lpstr>重み!Print_Area</vt:lpstr>
      <vt:lpstr>'条件(個別)'!Print_Area</vt:lpstr>
      <vt:lpstr>重み!Print_Titles</vt:lpstr>
      <vt:lpstr>非表示</vt:lpstr>
      <vt:lpstr>表示</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青沼徹_50（ま）指導部建築管理課</cp:lastModifiedBy>
  <cp:lastPrinted>2025-02-16T06:27:30Z</cp:lastPrinted>
  <dcterms:created xsi:type="dcterms:W3CDTF">2010-08-30T05:31:56Z</dcterms:created>
  <dcterms:modified xsi:type="dcterms:W3CDTF">2026-01-09T01:19:14Z</dcterms:modified>
</cp:coreProperties>
</file>